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Nextcloud\Documents partagés C+FOR\Geoffroy\Projets\Projets C+for\CNPF C+for n° 188 Saint-Seurin-de-Bourg (Teréga n° 12)\"/>
    </mc:Choice>
  </mc:AlternateContent>
  <bookViews>
    <workbookView xWindow="0" yWindow="0" windowWidth="20496" windowHeight="7752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2" i="1" l="1"/>
  <c r="D282" i="1" s="1"/>
  <c r="B281" i="1"/>
  <c r="D280" i="1"/>
  <c r="B280" i="1"/>
  <c r="B279" i="1"/>
  <c r="D278" i="1"/>
  <c r="B278" i="1"/>
  <c r="B277" i="1"/>
  <c r="D276" i="1"/>
  <c r="B276" i="1"/>
  <c r="B275" i="1"/>
  <c r="D274" i="1"/>
  <c r="B274" i="1"/>
  <c r="B273" i="1"/>
  <c r="D272" i="1"/>
  <c r="B272" i="1"/>
  <c r="B271" i="1"/>
  <c r="B270" i="1"/>
  <c r="B263" i="1" l="1"/>
  <c r="D263" i="1" s="1"/>
  <c r="B262" i="1"/>
  <c r="D261" i="1"/>
  <c r="B261" i="1"/>
  <c r="B260" i="1"/>
  <c r="D259" i="1"/>
  <c r="B259" i="1"/>
  <c r="B258" i="1"/>
  <c r="D257" i="1"/>
  <c r="B257" i="1"/>
  <c r="B256" i="1"/>
  <c r="D255" i="1"/>
  <c r="B255" i="1"/>
  <c r="B254" i="1"/>
  <c r="D253" i="1"/>
  <c r="B253" i="1"/>
  <c r="B252" i="1"/>
  <c r="D251" i="1"/>
  <c r="B251" i="1"/>
  <c r="B250" i="1"/>
  <c r="D249" i="1"/>
  <c r="B249" i="1"/>
  <c r="B248" i="1"/>
  <c r="D247" i="1"/>
  <c r="B247" i="1"/>
  <c r="B246" i="1"/>
  <c r="B245" i="1"/>
  <c r="B244" i="1"/>
  <c r="D237" i="1"/>
  <c r="D236" i="1"/>
  <c r="D235" i="1"/>
  <c r="D234" i="1"/>
  <c r="D233" i="1"/>
  <c r="D231" i="1"/>
  <c r="D229" i="1"/>
  <c r="D227" i="1"/>
  <c r="D225" i="1"/>
  <c r="D223" i="1"/>
  <c r="D221" i="1"/>
  <c r="B218" i="1"/>
  <c r="B211" i="1" l="1"/>
  <c r="D211" i="1" s="1"/>
  <c r="B210" i="1"/>
  <c r="D209" i="1"/>
  <c r="B209" i="1"/>
  <c r="B208" i="1"/>
  <c r="D207" i="1"/>
  <c r="B207" i="1"/>
  <c r="B206" i="1"/>
  <c r="D205" i="1"/>
  <c r="B205" i="1"/>
  <c r="B204" i="1"/>
  <c r="D203" i="1"/>
  <c r="B203" i="1"/>
  <c r="B202" i="1"/>
  <c r="D201" i="1"/>
  <c r="B201" i="1"/>
  <c r="B200" i="1"/>
  <c r="D199" i="1"/>
  <c r="B199" i="1"/>
  <c r="B198" i="1"/>
  <c r="D197" i="1"/>
  <c r="B197" i="1"/>
  <c r="B196" i="1"/>
  <c r="D195" i="1"/>
  <c r="B195" i="1"/>
  <c r="B194" i="1"/>
  <c r="B193" i="1"/>
  <c r="B192" i="1"/>
  <c r="D147" i="1"/>
  <c r="D146" i="1"/>
  <c r="D145" i="1"/>
  <c r="D144" i="1"/>
  <c r="D143" i="1"/>
  <c r="D142" i="1"/>
  <c r="D141" i="1"/>
  <c r="D140" i="1"/>
  <c r="B147" i="1"/>
  <c r="B146" i="1"/>
  <c r="B145" i="1"/>
  <c r="B144" i="1"/>
  <c r="B143" i="1"/>
  <c r="B142" i="1"/>
  <c r="B141" i="1"/>
  <c r="B140" i="1"/>
  <c r="D120" i="1" l="1"/>
  <c r="B120" i="1"/>
  <c r="D119" i="1"/>
  <c r="B119" i="1"/>
  <c r="D118" i="1"/>
  <c r="B118" i="1"/>
  <c r="D117" i="1"/>
  <c r="B117" i="1"/>
  <c r="D116" i="1"/>
  <c r="B116" i="1"/>
  <c r="D115" i="1"/>
  <c r="B115" i="1"/>
  <c r="B114" i="1"/>
  <c r="B94" i="1" l="1"/>
  <c r="D94" i="1" s="1"/>
  <c r="D93" i="1"/>
  <c r="B93" i="1"/>
  <c r="D92" i="1"/>
  <c r="B92" i="1"/>
  <c r="D91" i="1"/>
  <c r="B91" i="1"/>
  <c r="D90" i="1"/>
  <c r="B90" i="1"/>
  <c r="D89" i="1"/>
  <c r="B89" i="1"/>
  <c r="D88" i="1"/>
  <c r="B88" i="1"/>
  <c r="B81" i="1" l="1"/>
  <c r="D81" i="1" s="1"/>
  <c r="B80" i="1"/>
  <c r="D79" i="1"/>
  <c r="B79" i="1"/>
  <c r="B78" i="1"/>
  <c r="D77" i="1"/>
  <c r="B77" i="1"/>
  <c r="B76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B63" i="1"/>
  <c r="B62" i="1"/>
  <c r="B43" i="1"/>
  <c r="D42" i="1"/>
  <c r="B42" i="1"/>
  <c r="B41" i="1"/>
  <c r="D40" i="1"/>
  <c r="B40" i="1"/>
  <c r="B39" i="1"/>
  <c r="D38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DE3" i="2"/>
  <c r="DB3" i="2"/>
  <c r="DA3" i="2"/>
  <c r="CU3" i="2"/>
  <c r="CW3" i="2" s="1"/>
  <c r="CX3" i="2" s="1"/>
  <c r="CO1" i="2"/>
  <c r="DI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D19" i="1"/>
  <c r="B14" i="4"/>
  <c r="P67" i="6" l="1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ET4" i="2"/>
  <c r="DC4" i="2"/>
  <c r="BM4" i="2"/>
  <c r="DD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Q4" i="2"/>
  <c r="BK4" i="2"/>
  <c r="BL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FR4" i="2"/>
  <c r="FQ4" i="2"/>
  <c r="GL4" i="2"/>
  <c r="EA4" i="2"/>
  <c r="HI4" i="2"/>
  <c r="EX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AS5" i="2"/>
  <c r="DX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BO5" i="2"/>
  <c r="BB5" i="2"/>
  <c r="BK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AU5" i="2"/>
  <c r="AV5" i="2"/>
  <c r="AW5" i="2"/>
  <c r="BR5" i="2"/>
  <c r="BP5" i="2"/>
  <c r="BQ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AS6" i="2"/>
  <c r="W6" i="2"/>
  <c r="DD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GG6" i="2"/>
  <c r="ER6" i="2"/>
  <c r="DV6" i="2"/>
  <c r="DM6" i="2"/>
  <c r="DA6" i="2"/>
  <c r="CR6" i="2"/>
  <c r="CQ6" i="2"/>
  <c r="EG6" i="2"/>
  <c r="EU6" i="2"/>
  <c r="DW6" i="2"/>
  <c r="DB6" i="2"/>
  <c r="BL6" i="2"/>
  <c r="BO6" i="2"/>
  <c r="BB6" i="2"/>
  <c r="BA6" i="2"/>
  <c r="BK6" i="2"/>
  <c r="AT6" i="2"/>
  <c r="HJ4" i="2"/>
  <c r="AA5" i="2"/>
  <c r="BS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AW6" i="2"/>
  <c r="AV6" i="2"/>
  <c r="AU6" i="2"/>
  <c r="BR6" i="2"/>
  <c r="BP6" i="2"/>
  <c r="BQ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AS7" i="2"/>
  <c r="W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DV7" i="2"/>
  <c r="DA7" i="2"/>
  <c r="CR7" i="2"/>
  <c r="CQ7" i="2"/>
  <c r="ER7" i="2"/>
  <c r="BL7" i="2"/>
  <c r="DM7" i="2"/>
  <c r="BO7" i="2"/>
  <c r="BB7" i="2"/>
  <c r="BA7" i="2"/>
  <c r="BK7" i="2"/>
  <c r="AT7" i="2"/>
  <c r="BS5" i="2"/>
  <c r="GO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V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AU7" i="2"/>
  <c r="AV7" i="2"/>
  <c r="AW7" i="2"/>
  <c r="BR7" i="2"/>
  <c r="BQ7" i="2"/>
  <c r="BP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DD8" i="2"/>
  <c r="DC8" i="2"/>
  <c r="BM8" i="2"/>
  <c r="AR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R8" i="2"/>
  <c r="CQ8" i="2"/>
  <c r="BK8" i="2"/>
  <c r="BL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AW8" i="2"/>
  <c r="AV8" i="2"/>
  <c r="AU8" i="2"/>
  <c r="BR8" i="2"/>
  <c r="BP8" i="2"/>
  <c r="BQ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AS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BO9" i="2"/>
  <c r="BB9" i="2"/>
  <c r="BK9" i="2"/>
  <c r="BL9" i="2"/>
  <c r="AT9" i="2"/>
  <c r="BA9" i="2"/>
  <c r="CR9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AU9" i="2"/>
  <c r="AV9" i="2"/>
  <c r="AW9" i="2"/>
  <c r="BR9" i="2"/>
  <c r="BP9" i="2"/>
  <c r="BQ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AS10" i="2"/>
  <c r="DC10" i="2"/>
  <c r="BM10" i="2"/>
  <c r="W10" i="2"/>
  <c r="X10" i="2"/>
  <c r="DY10" i="2"/>
  <c r="DD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FX10" i="2"/>
  <c r="ER10" i="2"/>
  <c r="DV10" i="2"/>
  <c r="DM10" i="2"/>
  <c r="DA10" i="2"/>
  <c r="CQ10" i="2"/>
  <c r="GG10" i="2"/>
  <c r="DW10" i="2"/>
  <c r="EG10" i="2"/>
  <c r="DB10" i="2"/>
  <c r="EU10" i="2"/>
  <c r="BL10" i="2"/>
  <c r="BO10" i="2"/>
  <c r="BB10" i="2"/>
  <c r="BA10" i="2"/>
  <c r="BK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AW10" i="2"/>
  <c r="AV10" i="2"/>
  <c r="AU10" i="2"/>
  <c r="BR10" i="2"/>
  <c r="BQ10" i="2"/>
  <c r="BP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DX11" i="2"/>
  <c r="W11" i="2"/>
  <c r="DD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FP11" i="2"/>
  <c r="FB11" i="2"/>
  <c r="ER11" i="2"/>
  <c r="DM11" i="2"/>
  <c r="DV11" i="2"/>
  <c r="DA11" i="2"/>
  <c r="BL11" i="2"/>
  <c r="CQ11" i="2"/>
  <c r="BO11" i="2"/>
  <c r="BB11" i="2"/>
  <c r="BA11" i="2"/>
  <c r="BK11" i="2"/>
  <c r="AT11" i="2"/>
  <c r="CR11" i="2"/>
  <c r="ED9" i="2"/>
  <c r="FT9" i="2"/>
  <c r="EY9" i="2"/>
  <c r="DI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AV11" i="2"/>
  <c r="AW11" i="2"/>
  <c r="BR11" i="2"/>
  <c r="BQ11" i="2"/>
  <c r="BP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FN12" i="2"/>
  <c r="DC12" i="2"/>
  <c r="BM12" i="2"/>
  <c r="ET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BK12" i="2"/>
  <c r="BL12" i="2"/>
  <c r="BO12" i="2"/>
  <c r="BB12" i="2"/>
  <c r="BA12" i="2"/>
  <c r="AT12" i="2"/>
  <c r="CR12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BQ12" i="2"/>
  <c r="AV12" i="2"/>
  <c r="BR12" i="2"/>
  <c r="BP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GO11" i="2"/>
  <c r="HE13" i="2"/>
  <c r="GJ13" i="2"/>
  <c r="GI13" i="2"/>
  <c r="FO13" i="2"/>
  <c r="FN13" i="2"/>
  <c r="HD13" i="2"/>
  <c r="DY13" i="2"/>
  <c r="ET13" i="2"/>
  <c r="ES13" i="2"/>
  <c r="DD13" i="2"/>
  <c r="AS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BO13" i="2"/>
  <c r="BB13" i="2"/>
  <c r="DL13" i="2"/>
  <c r="BK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AU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AS14" i="2"/>
  <c r="W14" i="2"/>
  <c r="DC14" i="2"/>
  <c r="BM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ER14" i="2"/>
  <c r="DV14" i="2"/>
  <c r="DM14" i="2"/>
  <c r="DA14" i="2"/>
  <c r="CQ14" i="2"/>
  <c r="FX14" i="2"/>
  <c r="DW14" i="2"/>
  <c r="EG14" i="2"/>
  <c r="DB14" i="2"/>
  <c r="EU14" i="2"/>
  <c r="BL14" i="2"/>
  <c r="BO14" i="2"/>
  <c r="BB14" i="2"/>
  <c r="BA14" i="2"/>
  <c r="BK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C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AU14" i="2"/>
  <c r="AV14" i="2"/>
  <c r="BP14" i="2"/>
  <c r="BR14" i="2"/>
  <c r="BQ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ER15" i="2"/>
  <c r="DM15" i="2"/>
  <c r="CQ15" i="2"/>
  <c r="DV15" i="2"/>
  <c r="BL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AU15" i="2"/>
  <c r="AV15" i="2"/>
  <c r="AW15" i="2"/>
  <c r="BR15" i="2"/>
  <c r="BP15" i="2"/>
  <c r="BQ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DC16" i="2"/>
  <c r="BM16" i="2"/>
  <c r="AR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Q16" i="2"/>
  <c r="BK16" i="2"/>
  <c r="BL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BR16" i="2"/>
  <c r="AU16" i="2"/>
  <c r="AW16" i="2"/>
  <c r="AV16" i="2"/>
  <c r="BP16" i="2"/>
  <c r="BQ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BM17" i="2"/>
  <c r="HE17" i="2"/>
  <c r="GJ17" i="2"/>
  <c r="HD17" i="2"/>
  <c r="FO17" i="2"/>
  <c r="FN17" i="2"/>
  <c r="GI17" i="2"/>
  <c r="DY17" i="2"/>
  <c r="DD17" i="2"/>
  <c r="ET17" i="2"/>
  <c r="AS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BO17" i="2"/>
  <c r="BB17" i="2"/>
  <c r="BK17" i="2"/>
  <c r="DE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AU17" i="2"/>
  <c r="AV17" i="2"/>
  <c r="AW17" i="2"/>
  <c r="BQ17" i="2"/>
  <c r="BP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HD18" i="2"/>
  <c r="HE18" i="2"/>
  <c r="GI18" i="2"/>
  <c r="GJ18" i="2"/>
  <c r="ET18" i="2"/>
  <c r="FN18" i="2"/>
  <c r="DY18" i="2"/>
  <c r="DD18" i="2"/>
  <c r="BN18" i="2"/>
  <c r="FO18" i="2"/>
  <c r="AS18" i="2"/>
  <c r="ES18" i="2"/>
  <c r="DX18" i="2"/>
  <c r="DC18" i="2"/>
  <c r="W18" i="2"/>
  <c r="X18" i="2"/>
  <c r="BM18" i="2"/>
  <c r="AR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GK18" i="2"/>
  <c r="FB18" i="2"/>
  <c r="ER18" i="2"/>
  <c r="DV18" i="2"/>
  <c r="DM18" i="2"/>
  <c r="DA18" i="2"/>
  <c r="CQ18" i="2"/>
  <c r="EU18" i="2"/>
  <c r="DW18" i="2"/>
  <c r="EG18" i="2"/>
  <c r="DB18" i="2"/>
  <c r="BL18" i="2"/>
  <c r="BO18" i="2"/>
  <c r="BB18" i="2"/>
  <c r="BA18" i="2"/>
  <c r="BK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EW18" i="2"/>
  <c r="FS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BM19" i="2"/>
  <c r="W19" i="2"/>
  <c r="AS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FB19" i="2"/>
  <c r="DV19" i="2"/>
  <c r="DA19" i="2"/>
  <c r="ER19" i="2"/>
  <c r="DM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BR19" i="2"/>
  <c r="AU19" i="2"/>
  <c r="AV19" i="2"/>
  <c r="AW19" i="2"/>
  <c r="BQ19" i="2"/>
  <c r="BP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BM20" i="2"/>
  <c r="GI20" i="2"/>
  <c r="ET20" i="2"/>
  <c r="DC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BK20" i="2"/>
  <c r="BL20" i="2"/>
  <c r="BO20" i="2"/>
  <c r="BB20" i="2"/>
  <c r="BA20" i="2"/>
  <c r="AT20" i="2"/>
  <c r="CR20" i="2"/>
  <c r="ED18" i="2"/>
  <c r="EY18" i="2"/>
  <c r="FT18" i="2"/>
  <c r="DI18" i="2"/>
  <c r="GO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BR20" i="2"/>
  <c r="AU20" i="2"/>
  <c r="BQ20" i="2"/>
  <c r="BP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AS21" i="2"/>
  <c r="DX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BO21" i="2"/>
  <c r="BB21" i="2"/>
  <c r="BK21" i="2"/>
  <c r="BL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BR21" i="2"/>
  <c r="AU21" i="2"/>
  <c r="AV21" i="2"/>
  <c r="AW21" i="2"/>
  <c r="BQ21" i="2"/>
  <c r="BP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FT20" i="2"/>
  <c r="HD22" i="2"/>
  <c r="HE22" i="2"/>
  <c r="GI22" i="2"/>
  <c r="GJ22" i="2"/>
  <c r="ET22" i="2"/>
  <c r="FO22" i="2"/>
  <c r="FN22" i="2"/>
  <c r="DY22" i="2"/>
  <c r="ES22" i="2"/>
  <c r="BN22" i="2"/>
  <c r="AS22" i="2"/>
  <c r="W22" i="2"/>
  <c r="DX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GG22" i="2"/>
  <c r="FB22" i="2"/>
  <c r="ER22" i="2"/>
  <c r="DV22" i="2"/>
  <c r="DM22" i="2"/>
  <c r="DA22" i="2"/>
  <c r="CR22" i="2"/>
  <c r="CQ22" i="2"/>
  <c r="EG22" i="2"/>
  <c r="EU22" i="2"/>
  <c r="DW22" i="2"/>
  <c r="DB22" i="2"/>
  <c r="BO22" i="2"/>
  <c r="BB22" i="2"/>
  <c r="BA22" i="2"/>
  <c r="BK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AU22" i="2"/>
  <c r="AW22" i="2"/>
  <c r="AV22" i="2"/>
  <c r="BR22" i="2"/>
  <c r="BQ22" i="2"/>
  <c r="BP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AS23" i="2"/>
  <c r="W23" i="2"/>
  <c r="DX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FB23" i="2"/>
  <c r="DV23" i="2"/>
  <c r="DA23" i="2"/>
  <c r="CQ23" i="2"/>
  <c r="ER23" i="2"/>
  <c r="BL23" i="2"/>
  <c r="BO23" i="2"/>
  <c r="BA23" i="2"/>
  <c r="DM23" i="2"/>
  <c r="BK23" i="2"/>
  <c r="CR23" i="2"/>
  <c r="AT23" i="2"/>
  <c r="BB23" i="2"/>
  <c r="ED21" i="2"/>
  <c r="FT21" i="2"/>
  <c r="EY21" i="2"/>
  <c r="GO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BM24" i="2"/>
  <c r="DD24" i="2"/>
  <c r="DC24" i="2"/>
  <c r="AR24" i="2"/>
  <c r="AS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Q24" i="2"/>
  <c r="BK24" i="2"/>
  <c r="BL24" i="2"/>
  <c r="CR24" i="2"/>
  <c r="BB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AU24" i="2"/>
  <c r="AW24" i="2"/>
  <c r="AV24" i="2"/>
  <c r="BQ24" i="2"/>
  <c r="BR24" i="2"/>
  <c r="BP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AS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BO25" i="2"/>
  <c r="BK25" i="2"/>
  <c r="BL25" i="2"/>
  <c r="BB25" i="2"/>
  <c r="AT25" i="2"/>
  <c r="BA25" i="2"/>
  <c r="DI23" i="2"/>
  <c r="ED23" i="2"/>
  <c r="GO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AV25" i="2"/>
  <c r="AU25" i="2"/>
  <c r="AW25" i="2"/>
  <c r="BQ25" i="2"/>
  <c r="BR25" i="2"/>
  <c r="BP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AS26" i="2"/>
  <c r="DY26" i="2"/>
  <c r="DD26" i="2"/>
  <c r="DC26" i="2"/>
  <c r="W26" i="2"/>
  <c r="X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BB26" i="2"/>
  <c r="BO26" i="2"/>
  <c r="BA26" i="2"/>
  <c r="BK26" i="2"/>
  <c r="BL26" i="2"/>
  <c r="AT26" i="2"/>
  <c r="FT24" i="2"/>
  <c r="EY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AU26" i="2"/>
  <c r="AW26" i="2"/>
  <c r="AV26" i="2"/>
  <c r="BP26" i="2"/>
  <c r="BR26" i="2"/>
  <c r="BQ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BM27" i="2"/>
  <c r="DY27" i="2"/>
  <c r="DD27" i="2"/>
  <c r="W27" i="2"/>
  <c r="DX27" i="2"/>
  <c r="AS27" i="2"/>
  <c r="X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R27" i="2"/>
  <c r="FP27" i="2"/>
  <c r="FB27" i="2"/>
  <c r="ER27" i="2"/>
  <c r="DM27" i="2"/>
  <c r="DV27" i="2"/>
  <c r="DA27" i="2"/>
  <c r="CQ27" i="2"/>
  <c r="BL27" i="2"/>
  <c r="BB27" i="2"/>
  <c r="BO27" i="2"/>
  <c r="BA27" i="2"/>
  <c r="BK27" i="2"/>
  <c r="AT27" i="2"/>
  <c r="DI25" i="2"/>
  <c r="EY25" i="2"/>
  <c r="HJ25" i="2"/>
  <c r="ED25" i="2"/>
  <c r="GO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AU27" i="2"/>
  <c r="BR27" i="2"/>
  <c r="BP27" i="2"/>
  <c r="BQ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BM28" i="2"/>
  <c r="FN28" i="2"/>
  <c r="DC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BL28" i="2"/>
  <c r="BB28" i="2"/>
  <c r="BO28" i="2"/>
  <c r="CR28" i="2"/>
  <c r="AT28" i="2"/>
  <c r="BA28" i="2"/>
  <c r="DI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HG28" i="2"/>
  <c r="FS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AS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BO29" i="2"/>
  <c r="BK29" i="2"/>
  <c r="DL29" i="2"/>
  <c r="BL29" i="2"/>
  <c r="BB29" i="2"/>
  <c r="BA29" i="2"/>
  <c r="AT29" i="2"/>
  <c r="EY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AS30" i="2"/>
  <c r="W30" i="2"/>
  <c r="DC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BB30" i="2"/>
  <c r="BO30" i="2"/>
  <c r="BK30" i="2"/>
  <c r="BL30" i="2"/>
  <c r="BA30" i="2"/>
  <c r="AT30" i="2"/>
  <c r="HJ28" i="2"/>
  <c r="ED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GL30" i="2"/>
  <c r="GM30" i="2"/>
  <c r="AU30" i="2"/>
  <c r="AW30" i="2"/>
  <c r="AV30" i="2"/>
  <c r="BR30" i="2"/>
  <c r="BQ30" i="2"/>
  <c r="BP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FB31" i="2"/>
  <c r="ER31" i="2"/>
  <c r="DM31" i="2"/>
  <c r="DV31" i="2"/>
  <c r="DA31" i="2"/>
  <c r="BL31" i="2"/>
  <c r="CQ31" i="2"/>
  <c r="BB31" i="2"/>
  <c r="BO31" i="2"/>
  <c r="BK31" i="2"/>
  <c r="BA31" i="2"/>
  <c r="AT31" i="2"/>
  <c r="GO29" i="2"/>
  <c r="FT29" i="2"/>
  <c r="HJ29" i="2"/>
  <c r="EY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GL31" i="2"/>
  <c r="GM31" i="2"/>
  <c r="EA31" i="2"/>
  <c r="EB31" i="2"/>
  <c r="BR31" i="2"/>
  <c r="AU31" i="2"/>
  <c r="AV31" i="2"/>
  <c r="AW31" i="2"/>
  <c r="BQ31" i="2"/>
  <c r="BP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HJ30" i="2"/>
  <c r="GO30" i="2"/>
  <c r="HD32" i="2"/>
  <c r="GJ32" i="2"/>
  <c r="HE32" i="2"/>
  <c r="FO32" i="2"/>
  <c r="GI32" i="2"/>
  <c r="DY32" i="2"/>
  <c r="ES32" i="2"/>
  <c r="DX32" i="2"/>
  <c r="FN32" i="2"/>
  <c r="ET32" i="2"/>
  <c r="BM32" i="2"/>
  <c r="DC32" i="2"/>
  <c r="AR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Q32" i="2"/>
  <c r="BK32" i="2"/>
  <c r="BL32" i="2"/>
  <c r="BB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GL32" i="2"/>
  <c r="GM32" i="2"/>
  <c r="EV32" i="2"/>
  <c r="EA32" i="2"/>
  <c r="EB32" i="2"/>
  <c r="AU32" i="2"/>
  <c r="AW32" i="2"/>
  <c r="AV32" i="2"/>
  <c r="BR32" i="2"/>
  <c r="BQ32" i="2"/>
  <c r="BP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AS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BO33" i="2"/>
  <c r="BK33" i="2"/>
  <c r="BL33" i="2"/>
  <c r="DE33" i="2"/>
  <c r="CR33" i="2"/>
  <c r="BB33" i="2"/>
  <c r="BA33" i="2"/>
  <c r="AT33" i="2"/>
  <c r="DI31" i="2"/>
  <c r="GO31" i="2"/>
  <c r="HJ31" i="2"/>
  <c r="EY31" i="2"/>
  <c r="ED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W33" i="2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AS34" i="2"/>
  <c r="DC34" i="2"/>
  <c r="W34" i="2"/>
  <c r="X34" i="2"/>
  <c r="ES34" i="2"/>
  <c r="DX34" i="2"/>
  <c r="FO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BB34" i="2"/>
  <c r="BO34" i="2"/>
  <c r="BK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BM35" i="2"/>
  <c r="W35" i="2"/>
  <c r="FN35" i="2"/>
  <c r="DY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FB35" i="2"/>
  <c r="DV35" i="2"/>
  <c r="DA35" i="2"/>
  <c r="ER35" i="2"/>
  <c r="DM35" i="2"/>
  <c r="BL35" i="2"/>
  <c r="BB35" i="2"/>
  <c r="CQ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EB35" i="2"/>
  <c r="EA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BM36" i="2"/>
  <c r="ET36" i="2"/>
  <c r="DC36" i="2"/>
  <c r="DD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BK36" i="2"/>
  <c r="BL36" i="2"/>
  <c r="BB36" i="2"/>
  <c r="BO36" i="2"/>
  <c r="BA36" i="2"/>
  <c r="AT36" i="2"/>
  <c r="EY34" i="2"/>
  <c r="ED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AU36" i="2"/>
  <c r="AW36" i="2"/>
  <c r="AV36" i="2"/>
  <c r="BR36" i="2"/>
  <c r="BQ36" i="2"/>
  <c r="BP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AS37" i="2"/>
  <c r="DX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BO37" i="2"/>
  <c r="BK37" i="2"/>
  <c r="BL37" i="2"/>
  <c r="BB37" i="2"/>
  <c r="BA37" i="2"/>
  <c r="AT37" i="2"/>
  <c r="ED35" i="2"/>
  <c r="HJ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AW37" i="2"/>
  <c r="AU37" i="2"/>
  <c r="BR37" i="2"/>
  <c r="BQ37" i="2"/>
  <c r="BP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HD38" i="2"/>
  <c r="HE38" i="2"/>
  <c r="GI38" i="2"/>
  <c r="GJ38" i="2"/>
  <c r="ET38" i="2"/>
  <c r="FO38" i="2"/>
  <c r="FN38" i="2"/>
  <c r="DY38" i="2"/>
  <c r="ES38" i="2"/>
  <c r="BN38" i="2"/>
  <c r="AS38" i="2"/>
  <c r="W38" i="2"/>
  <c r="DD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GG38" i="2"/>
  <c r="FB38" i="2"/>
  <c r="ER38" i="2"/>
  <c r="DV38" i="2"/>
  <c r="DM38" i="2"/>
  <c r="DA38" i="2"/>
  <c r="HB38" i="2"/>
  <c r="EG38" i="2"/>
  <c r="EU38" i="2"/>
  <c r="DW38" i="2"/>
  <c r="CQ38" i="2"/>
  <c r="BB38" i="2"/>
  <c r="BO38" i="2"/>
  <c r="DB38" i="2"/>
  <c r="BK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HG38" i="2"/>
  <c r="HI38" i="2"/>
  <c r="EA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BR38" i="2"/>
  <c r="AV38" i="2"/>
  <c r="AU38" i="2"/>
  <c r="AW38" i="2"/>
  <c r="BP38" i="2"/>
  <c r="BQ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AS39" i="2"/>
  <c r="W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FB39" i="2"/>
  <c r="DV39" i="2"/>
  <c r="DA39" i="2"/>
  <c r="ER39" i="2"/>
  <c r="CR39" i="2"/>
  <c r="DM39" i="2"/>
  <c r="BL39" i="2"/>
  <c r="BB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AV39" i="2"/>
  <c r="AU39" i="2"/>
  <c r="BP39" i="2"/>
  <c r="BQ39" i="2"/>
  <c r="BR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BM40" i="2"/>
  <c r="DD40" i="2"/>
  <c r="DC40" i="2"/>
  <c r="AR40" i="2"/>
  <c r="AS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BK40" i="2"/>
  <c r="BL40" i="2"/>
  <c r="BB40" i="2"/>
  <c r="BO40" i="2"/>
  <c r="AT40" i="2"/>
  <c r="BA40" i="2"/>
  <c r="EY38" i="2"/>
  <c r="DI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AV40" i="2"/>
  <c r="AU40" i="2"/>
  <c r="AW40" i="2"/>
  <c r="BR40" i="2"/>
  <c r="BP40" i="2"/>
  <c r="BQ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AS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BO41" i="2"/>
  <c r="BK41" i="2"/>
  <c r="BL41" i="2"/>
  <c r="BB41" i="2"/>
  <c r="BA41" i="2"/>
  <c r="AT41" i="2"/>
  <c r="FT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AV41" i="2"/>
  <c r="AU41" i="2"/>
  <c r="BR41" i="2"/>
  <c r="BP41" i="2"/>
  <c r="BQ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AS42" i="2"/>
  <c r="DC42" i="2"/>
  <c r="W42" i="2"/>
  <c r="X42" i="2"/>
  <c r="DD42" i="2"/>
  <c r="BM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BB42" i="2"/>
  <c r="BO42" i="2"/>
  <c r="BK42" i="2"/>
  <c r="BL42" i="2"/>
  <c r="BA42" i="2"/>
  <c r="AT42" i="2"/>
  <c r="ED40" i="2"/>
  <c r="FT40" i="2"/>
  <c r="HJ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AV42" i="2"/>
  <c r="AU42" i="2"/>
  <c r="AW42" i="2"/>
  <c r="BR42" i="2"/>
  <c r="BP42" i="2"/>
  <c r="BQ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BM43" i="2"/>
  <c r="DX43" i="2"/>
  <c r="W43" i="2"/>
  <c r="DD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FP43" i="2"/>
  <c r="FB43" i="2"/>
  <c r="ER43" i="2"/>
  <c r="DM43" i="2"/>
  <c r="DV43" i="2"/>
  <c r="DA43" i="2"/>
  <c r="CQ43" i="2"/>
  <c r="BL43" i="2"/>
  <c r="BB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BP43" i="2"/>
  <c r="AV43" i="2"/>
  <c r="AU43" i="2"/>
  <c r="BQ43" i="2"/>
  <c r="BR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ED42" i="2"/>
  <c r="HD44" i="2"/>
  <c r="HE44" i="2"/>
  <c r="FO44" i="2"/>
  <c r="GI44" i="2"/>
  <c r="DY44" i="2"/>
  <c r="ES44" i="2"/>
  <c r="DX44" i="2"/>
  <c r="DD44" i="2"/>
  <c r="BM44" i="2"/>
  <c r="FN44" i="2"/>
  <c r="DC44" i="2"/>
  <c r="ET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L44" i="2"/>
  <c r="BB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AV44" i="2"/>
  <c r="AW44" i="2"/>
  <c r="BQ44" i="2"/>
  <c r="BR44" i="2"/>
  <c r="BP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AS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BO45" i="2"/>
  <c r="BK45" i="2"/>
  <c r="BL45" i="2"/>
  <c r="DL45" i="2"/>
  <c r="BB45" i="2"/>
  <c r="BA45" i="2"/>
  <c r="AT45" i="2"/>
  <c r="EY43" i="2"/>
  <c r="ED43" i="2"/>
  <c r="DI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B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BQ45" i="2"/>
  <c r="AV45" i="2"/>
  <c r="AW45" i="2"/>
  <c r="AU45" i="2"/>
  <c r="BR45" i="2"/>
  <c r="BP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AS46" i="2"/>
  <c r="W46" i="2"/>
  <c r="DC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BB46" i="2"/>
  <c r="BO46" i="2"/>
  <c r="BK46" i="2"/>
  <c r="BL46" i="2"/>
  <c r="BA46" i="2"/>
  <c r="AT46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AV46" i="2"/>
  <c r="AU46" i="2"/>
  <c r="AW46" i="2"/>
  <c r="BR46" i="2"/>
  <c r="BQ46" i="2"/>
  <c r="BP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FB47" i="2"/>
  <c r="ER47" i="2"/>
  <c r="DM47" i="2"/>
  <c r="CR47" i="2"/>
  <c r="DV47" i="2"/>
  <c r="BL47" i="2"/>
  <c r="DA47" i="2"/>
  <c r="CQ47" i="2"/>
  <c r="BB47" i="2"/>
  <c r="BO47" i="2"/>
  <c r="BK47" i="2"/>
  <c r="BA47" i="2"/>
  <c r="AT47" i="2"/>
  <c r="FT45" i="2"/>
  <c r="EY45" i="2"/>
  <c r="GO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BR47" i="2"/>
  <c r="AV47" i="2"/>
  <c r="AW47" i="2"/>
  <c r="AU47" i="2"/>
  <c r="BP47" i="2"/>
  <c r="BQ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BM48" i="2"/>
  <c r="DC48" i="2"/>
  <c r="AR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Q48" i="2"/>
  <c r="BK48" i="2"/>
  <c r="BL48" i="2"/>
  <c r="BB48" i="2"/>
  <c r="BO48" i="2"/>
  <c r="CR48" i="2"/>
  <c r="AT48" i="2"/>
  <c r="BA48" i="2"/>
  <c r="DI46" i="2"/>
  <c r="FT46" i="2"/>
  <c r="ED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BR48" i="2"/>
  <c r="BP48" i="2"/>
  <c r="AV48" i="2"/>
  <c r="AU48" i="2"/>
  <c r="AW48" i="2"/>
  <c r="BQ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AS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BO49" i="2"/>
  <c r="BK49" i="2"/>
  <c r="BL49" i="2"/>
  <c r="BB49" i="2"/>
  <c r="BA49" i="2"/>
  <c r="AT49" i="2"/>
  <c r="GO47" i="2"/>
  <c r="EY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GL49" i="2"/>
  <c r="EW49" i="2"/>
  <c r="EV49" i="2"/>
  <c r="EA49" i="2"/>
  <c r="EB49" i="2"/>
  <c r="BR49" i="2"/>
  <c r="AV49" i="2"/>
  <c r="AW49" i="2"/>
  <c r="AU49" i="2"/>
  <c r="BQ49" i="2"/>
  <c r="BP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AS50" i="2"/>
  <c r="ES50" i="2"/>
  <c r="DX50" i="2"/>
  <c r="DC50" i="2"/>
  <c r="W50" i="2"/>
  <c r="DY50" i="2"/>
  <c r="X50" i="2"/>
  <c r="BM50" i="2"/>
  <c r="AR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R50" i="2"/>
  <c r="FB50" i="2"/>
  <c r="ER50" i="2"/>
  <c r="DV50" i="2"/>
  <c r="DM50" i="2"/>
  <c r="DA50" i="2"/>
  <c r="EU50" i="2"/>
  <c r="DW50" i="2"/>
  <c r="EG50" i="2"/>
  <c r="DB50" i="2"/>
  <c r="CQ50" i="2"/>
  <c r="BB50" i="2"/>
  <c r="BO50" i="2"/>
  <c r="BK50" i="2"/>
  <c r="BL50" i="2"/>
  <c r="BA50" i="2"/>
  <c r="AT50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AV50" i="2"/>
  <c r="AU50" i="2"/>
  <c r="AW50" i="2"/>
  <c r="BR50" i="2"/>
  <c r="BP50" i="2"/>
  <c r="BQ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BM51" i="2"/>
  <c r="W51" i="2"/>
  <c r="AS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R51" i="2"/>
  <c r="FB51" i="2"/>
  <c r="DV51" i="2"/>
  <c r="DA51" i="2"/>
  <c r="ER51" i="2"/>
  <c r="DM51" i="2"/>
  <c r="BL51" i="2"/>
  <c r="BB51" i="2"/>
  <c r="CQ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BR51" i="2"/>
  <c r="AV51" i="2"/>
  <c r="AU51" i="2"/>
  <c r="BQ51" i="2"/>
  <c r="BP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BM52" i="2"/>
  <c r="ET52" i="2"/>
  <c r="DC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BK52" i="2"/>
  <c r="CR52" i="2"/>
  <c r="BL52" i="2"/>
  <c r="BB52" i="2"/>
  <c r="BO52" i="2"/>
  <c r="BA52" i="2"/>
  <c r="AT52" i="2"/>
  <c r="EY50" i="2"/>
  <c r="FT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AV52" i="2"/>
  <c r="AW52" i="2"/>
  <c r="BQ52" i="2"/>
  <c r="BP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AS53" i="2"/>
  <c r="DX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BO53" i="2"/>
  <c r="BK53" i="2"/>
  <c r="BL53" i="2"/>
  <c r="BB53" i="2"/>
  <c r="BA53" i="2"/>
  <c r="AT53" i="2"/>
  <c r="CR53" i="2"/>
  <c r="HJ51" i="2"/>
  <c r="DI51" i="2"/>
  <c r="EY51" i="2"/>
  <c r="ED51" i="2"/>
  <c r="GO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BQ53" i="2"/>
  <c r="AV53" i="2"/>
  <c r="AU53" i="2"/>
  <c r="BR53" i="2"/>
  <c r="BP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AS54" i="2"/>
  <c r="W54" i="2"/>
  <c r="DX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GG54" i="2"/>
  <c r="FB54" i="2"/>
  <c r="ER54" i="2"/>
  <c r="DV54" i="2"/>
  <c r="DM54" i="2"/>
  <c r="DA54" i="2"/>
  <c r="EG54" i="2"/>
  <c r="EU54" i="2"/>
  <c r="CR54" i="2"/>
  <c r="DW54" i="2"/>
  <c r="CQ54" i="2"/>
  <c r="BB54" i="2"/>
  <c r="BO54" i="2"/>
  <c r="BK54" i="2"/>
  <c r="DB54" i="2"/>
  <c r="BL54" i="2"/>
  <c r="BA54" i="2"/>
  <c r="AT54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BR54" i="2"/>
  <c r="AV54" i="2"/>
  <c r="AU54" i="2"/>
  <c r="AW54" i="2"/>
  <c r="BQ54" i="2"/>
  <c r="BP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AS55" i="2"/>
  <c r="W55" i="2"/>
  <c r="DX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FB55" i="2"/>
  <c r="DV55" i="2"/>
  <c r="DA55" i="2"/>
  <c r="ER55" i="2"/>
  <c r="BL55" i="2"/>
  <c r="DM55" i="2"/>
  <c r="BB55" i="2"/>
  <c r="BO55" i="2"/>
  <c r="CQ55" i="2"/>
  <c r="BK55" i="2"/>
  <c r="BA55" i="2"/>
  <c r="AT55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AV55" i="2"/>
  <c r="AW55" i="2"/>
  <c r="AU55" i="2"/>
  <c r="BQ55" i="2"/>
  <c r="BP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HJ54" i="2"/>
  <c r="HD56" i="2"/>
  <c r="FO56" i="2"/>
  <c r="GJ56" i="2"/>
  <c r="GI56" i="2"/>
  <c r="DY56" i="2"/>
  <c r="HE56" i="2"/>
  <c r="ES56" i="2"/>
  <c r="DX56" i="2"/>
  <c r="FN56" i="2"/>
  <c r="ET56" i="2"/>
  <c r="BM56" i="2"/>
  <c r="DD56" i="2"/>
  <c r="DC56" i="2"/>
  <c r="AR56" i="2"/>
  <c r="AS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BK56" i="2"/>
  <c r="BL56" i="2"/>
  <c r="BB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AV56" i="2"/>
  <c r="AU56" i="2"/>
  <c r="AW56" i="2"/>
  <c r="BR56" i="2"/>
  <c r="BP56" i="2"/>
  <c r="BQ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AS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BO57" i="2"/>
  <c r="BK57" i="2"/>
  <c r="BL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BR57" i="2"/>
  <c r="AV57" i="2"/>
  <c r="AW57" i="2"/>
  <c r="AU57" i="2"/>
  <c r="BP57" i="2"/>
  <c r="BQ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AS58" i="2"/>
  <c r="DD58" i="2"/>
  <c r="DC58" i="2"/>
  <c r="W58" i="2"/>
  <c r="X58" i="2"/>
  <c r="DY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BB58" i="2"/>
  <c r="BO58" i="2"/>
  <c r="BK58" i="2"/>
  <c r="BL58" i="2"/>
  <c r="BA58" i="2"/>
  <c r="AT58" i="2"/>
  <c r="CR58" i="2"/>
  <c r="GO56" i="2"/>
  <c r="FT56" i="2"/>
  <c r="ED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BP58" i="2"/>
  <c r="AV58" i="2"/>
  <c r="AU58" i="2"/>
  <c r="AW58" i="2"/>
  <c r="BR58" i="2"/>
  <c r="BQ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BM59" i="2"/>
  <c r="DD59" i="2"/>
  <c r="W59" i="2"/>
  <c r="DY59" i="2"/>
  <c r="AS59" i="2"/>
  <c r="X59" i="2"/>
  <c r="DX59" i="2"/>
  <c r="AR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FP59" i="2"/>
  <c r="FB59" i="2"/>
  <c r="ER59" i="2"/>
  <c r="DM59" i="2"/>
  <c r="DV59" i="2"/>
  <c r="DA59" i="2"/>
  <c r="CR59" i="2"/>
  <c r="CQ59" i="2"/>
  <c r="BL59" i="2"/>
  <c r="BB59" i="2"/>
  <c r="BO59" i="2"/>
  <c r="BK59" i="2"/>
  <c r="BA59" i="2"/>
  <c r="AT59" i="2"/>
  <c r="HJ57" i="2"/>
  <c r="EY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AV59" i="2"/>
  <c r="AW59" i="2"/>
  <c r="AU59" i="2"/>
  <c r="BR59" i="2"/>
  <c r="BP59" i="2"/>
  <c r="BQ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ED58" i="2"/>
  <c r="EY58" i="2"/>
  <c r="HD60" i="2"/>
  <c r="HE60" i="2"/>
  <c r="FO60" i="2"/>
  <c r="GI60" i="2"/>
  <c r="DY60" i="2"/>
  <c r="ES60" i="2"/>
  <c r="GJ60" i="2"/>
  <c r="DX60" i="2"/>
  <c r="DD60" i="2"/>
  <c r="BM60" i="2"/>
  <c r="FN60" i="2"/>
  <c r="DC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L60" i="2"/>
  <c r="BB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AV60" i="2"/>
  <c r="AU60" i="2"/>
  <c r="AW60" i="2"/>
  <c r="BP60" i="2"/>
  <c r="BR60" i="2"/>
  <c r="BQ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AS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BO61" i="2"/>
  <c r="BK61" i="2"/>
  <c r="BL61" i="2"/>
  <c r="BB61" i="2"/>
  <c r="BA61" i="2"/>
  <c r="AT61" i="2"/>
  <c r="EY59" i="2"/>
  <c r="HJ59" i="2"/>
  <c r="FT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AV61" i="2"/>
  <c r="AW61" i="2"/>
  <c r="AU61" i="2"/>
  <c r="BR61" i="2"/>
  <c r="BP61" i="2"/>
  <c r="BQ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AS62" i="2"/>
  <c r="W62" i="2"/>
  <c r="DC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FB62" i="2"/>
  <c r="ER62" i="2"/>
  <c r="DV62" i="2"/>
  <c r="DM62" i="2"/>
  <c r="DA62" i="2"/>
  <c r="FX62" i="2"/>
  <c r="DW62" i="2"/>
  <c r="EG62" i="2"/>
  <c r="DB62" i="2"/>
  <c r="EU62" i="2"/>
  <c r="CQ62" i="2"/>
  <c r="BB62" i="2"/>
  <c r="BO62" i="2"/>
  <c r="CR62" i="2"/>
  <c r="BK62" i="2"/>
  <c r="BL62" i="2"/>
  <c r="BA62" i="2"/>
  <c r="AT62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AV62" i="2"/>
  <c r="AU62" i="2"/>
  <c r="AW62" i="2"/>
  <c r="BR62" i="2"/>
  <c r="BP62" i="2"/>
  <c r="BQ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AS63" i="2"/>
  <c r="W63" i="2"/>
  <c r="DD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GR63" i="2"/>
  <c r="FB63" i="2"/>
  <c r="ER63" i="2"/>
  <c r="DM63" i="2"/>
  <c r="DV63" i="2"/>
  <c r="BL63" i="2"/>
  <c r="CQ63" i="2"/>
  <c r="BB63" i="2"/>
  <c r="DA63" i="2"/>
  <c r="BO63" i="2"/>
  <c r="BK63" i="2"/>
  <c r="CR63" i="2"/>
  <c r="BA63" i="2"/>
  <c r="AT63" i="2"/>
  <c r="DI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BR63" i="2"/>
  <c r="AV63" i="2"/>
  <c r="AW63" i="2"/>
  <c r="AU63" i="2"/>
  <c r="BP63" i="2"/>
  <c r="BQ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ED62" i="2"/>
  <c r="HD64" i="2"/>
  <c r="HE64" i="2"/>
  <c r="FO64" i="2"/>
  <c r="GJ64" i="2"/>
  <c r="GI64" i="2"/>
  <c r="DY64" i="2"/>
  <c r="ES64" i="2"/>
  <c r="DX64" i="2"/>
  <c r="FN64" i="2"/>
  <c r="ET64" i="2"/>
  <c r="BM64" i="2"/>
  <c r="DC64" i="2"/>
  <c r="AR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R64" i="2"/>
  <c r="CQ64" i="2"/>
  <c r="BK64" i="2"/>
  <c r="BL64" i="2"/>
  <c r="BB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BR64" i="2"/>
  <c r="AV64" i="2"/>
  <c r="AU64" i="2"/>
  <c r="AW64" i="2"/>
  <c r="BP64" i="2"/>
  <c r="BQ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AS65" i="2"/>
  <c r="DY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BO65" i="2"/>
  <c r="DE65" i="2"/>
  <c r="BK65" i="2"/>
  <c r="BL65" i="2"/>
  <c r="BB65" i="2"/>
  <c r="BA65" i="2"/>
  <c r="AT65" i="2"/>
  <c r="FT63" i="2"/>
  <c r="EY63" i="2"/>
  <c r="ED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AV65" i="2"/>
  <c r="AW65" i="2"/>
  <c r="AU65" i="2"/>
  <c r="BP65" i="2"/>
  <c r="BR65" i="2"/>
  <c r="BQ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AS66" i="2"/>
  <c r="DY66" i="2"/>
  <c r="DC66" i="2"/>
  <c r="W66" i="2"/>
  <c r="FO66" i="2"/>
  <c r="X66" i="2"/>
  <c r="ES66" i="2"/>
  <c r="DX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FB66" i="2"/>
  <c r="ER66" i="2"/>
  <c r="DV66" i="2"/>
  <c r="DM66" i="2"/>
  <c r="DA66" i="2"/>
  <c r="CR66" i="2"/>
  <c r="EU66" i="2"/>
  <c r="DW66" i="2"/>
  <c r="EG66" i="2"/>
  <c r="DB66" i="2"/>
  <c r="CQ66" i="2"/>
  <c r="BB66" i="2"/>
  <c r="BO66" i="2"/>
  <c r="BK66" i="2"/>
  <c r="BL66" i="2"/>
  <c r="BA66" i="2"/>
  <c r="AT66" i="2"/>
  <c r="GO64" i="2"/>
  <c r="FT64" i="2"/>
  <c r="DI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AV66" i="2"/>
  <c r="AU66" i="2"/>
  <c r="AW66" i="2"/>
  <c r="BP66" i="2"/>
  <c r="BR66" i="2"/>
  <c r="BQ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BM67" i="2"/>
  <c r="W67" i="2"/>
  <c r="FN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FB67" i="2"/>
  <c r="DV67" i="2"/>
  <c r="DA67" i="2"/>
  <c r="ER67" i="2"/>
  <c r="CR67" i="2"/>
  <c r="DM67" i="2"/>
  <c r="BL67" i="2"/>
  <c r="BB67" i="2"/>
  <c r="CQ67" i="2"/>
  <c r="BO67" i="2"/>
  <c r="BK67" i="2"/>
  <c r="BA67" i="2"/>
  <c r="AT67" i="2"/>
  <c r="HJ65" i="2"/>
  <c r="ED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BR67" i="2"/>
  <c r="AV67" i="2"/>
  <c r="AW67" i="2"/>
  <c r="AU67" i="2"/>
  <c r="BP67" i="2"/>
  <c r="BQ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HD68" i="2"/>
  <c r="HE68" i="2"/>
  <c r="FO68" i="2"/>
  <c r="GJ68" i="2"/>
  <c r="ES68" i="2"/>
  <c r="DX68" i="2"/>
  <c r="GI68" i="2"/>
  <c r="BM68" i="2"/>
  <c r="ET68" i="2"/>
  <c r="DC68" i="2"/>
  <c r="DD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BK68" i="2"/>
  <c r="BL68" i="2"/>
  <c r="BB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BP68" i="2"/>
  <c r="BQ68" i="2"/>
  <c r="BR68" i="2"/>
  <c r="AV68" i="2"/>
  <c r="AW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AS69" i="2"/>
  <c r="DX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BO69" i="2"/>
  <c r="BK69" i="2"/>
  <c r="BL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BP69" i="2"/>
  <c r="AV69" i="2"/>
  <c r="AW69" i="2"/>
  <c r="AU69" i="2"/>
  <c r="BQ69" i="2"/>
  <c r="BR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AS70" i="2"/>
  <c r="W70" i="2"/>
  <c r="DD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BB70" i="2"/>
  <c r="BO70" i="2"/>
  <c r="BK70" i="2"/>
  <c r="BL70" i="2"/>
  <c r="BA70" i="2"/>
  <c r="AT70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AV70" i="2"/>
  <c r="AW70" i="2"/>
  <c r="BR70" i="2"/>
  <c r="BQ70" i="2"/>
  <c r="BP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R71" i="2"/>
  <c r="FB71" i="2"/>
  <c r="DV71" i="2"/>
  <c r="DA71" i="2"/>
  <c r="ER71" i="2"/>
  <c r="BL71" i="2"/>
  <c r="BB71" i="2"/>
  <c r="DM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AV71" i="2"/>
  <c r="AW71" i="2"/>
  <c r="AU71" i="2"/>
  <c r="BR71" i="2"/>
  <c r="BQ71" i="2"/>
  <c r="BP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BM72" i="2"/>
  <c r="DD72" i="2"/>
  <c r="DC72" i="2"/>
  <c r="AR72" i="2"/>
  <c r="AS72" i="2"/>
  <c r="DY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BK72" i="2"/>
  <c r="BL72" i="2"/>
  <c r="BB72" i="2"/>
  <c r="CR72" i="2"/>
  <c r="BO72" i="2"/>
  <c r="AT72" i="2"/>
  <c r="BA72" i="2"/>
  <c r="HJ70" i="2"/>
  <c r="GO70" i="2"/>
  <c r="EY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AV72" i="2"/>
  <c r="AU72" i="2"/>
  <c r="AW72" i="2"/>
  <c r="BQ72" i="2"/>
  <c r="BR72" i="2"/>
  <c r="BP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AS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BO73" i="2"/>
  <c r="BK73" i="2"/>
  <c r="BL73" i="2"/>
  <c r="BB73" i="2"/>
  <c r="BA73" i="2"/>
  <c r="AT73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BQ73" i="2"/>
  <c r="AV73" i="2"/>
  <c r="AW73" i="2"/>
  <c r="AU73" i="2"/>
  <c r="BR73" i="2"/>
  <c r="BP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AS74" i="2"/>
  <c r="DC74" i="2"/>
  <c r="W74" i="2"/>
  <c r="X74" i="2"/>
  <c r="DD74" i="2"/>
  <c r="BM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BB74" i="2"/>
  <c r="BO74" i="2"/>
  <c r="BK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R74" i="2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AV74" i="2"/>
  <c r="AU74" i="2"/>
  <c r="AW74" i="2"/>
  <c r="BR74" i="2"/>
  <c r="BP74" i="2"/>
  <c r="BQ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HD75" i="2"/>
  <c r="HE75" i="2"/>
  <c r="GI75" i="2"/>
  <c r="FO75" i="2"/>
  <c r="ES75" i="2"/>
  <c r="GJ75" i="2"/>
  <c r="ET75" i="2"/>
  <c r="DY75" i="2"/>
  <c r="FN75" i="2"/>
  <c r="DC75" i="2"/>
  <c r="BN75" i="2"/>
  <c r="BM75" i="2"/>
  <c r="DX75" i="2"/>
  <c r="W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R75" i="2"/>
  <c r="FP75" i="2"/>
  <c r="FB75" i="2"/>
  <c r="ER75" i="2"/>
  <c r="DM75" i="2"/>
  <c r="DV75" i="2"/>
  <c r="DA75" i="2"/>
  <c r="CQ75" i="2"/>
  <c r="BL75" i="2"/>
  <c r="BB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EB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AV75" i="2"/>
  <c r="AW75" i="2"/>
  <c r="AU75" i="2"/>
  <c r="BR75" i="2"/>
  <c r="BP75" i="2"/>
  <c r="BQ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HJ74" i="2"/>
  <c r="EY74" i="2"/>
  <c r="HD76" i="2"/>
  <c r="HE76" i="2"/>
  <c r="FO76" i="2"/>
  <c r="GI76" i="2"/>
  <c r="ES76" i="2"/>
  <c r="DX76" i="2"/>
  <c r="DD76" i="2"/>
  <c r="BM76" i="2"/>
  <c r="GJ76" i="2"/>
  <c r="FN76" i="2"/>
  <c r="DY76" i="2"/>
  <c r="DC76" i="2"/>
  <c r="ET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BK76" i="2"/>
  <c r="BL76" i="2"/>
  <c r="BB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BP76" i="2"/>
  <c r="AV76" i="2"/>
  <c r="AU76" i="2"/>
  <c r="AW76" i="2"/>
  <c r="BR76" i="2"/>
  <c r="BQ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AS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BO77" i="2"/>
  <c r="DL77" i="2"/>
  <c r="BK77" i="2"/>
  <c r="BL77" i="2"/>
  <c r="BB77" i="2"/>
  <c r="BA77" i="2"/>
  <c r="AT77" i="2"/>
  <c r="DI75" i="2"/>
  <c r="EY75" i="2"/>
  <c r="HJ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AV77" i="2"/>
  <c r="AW77" i="2"/>
  <c r="AU77" i="2"/>
  <c r="BR77" i="2"/>
  <c r="BQ77" i="2"/>
  <c r="BP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AS78" i="2"/>
  <c r="W78" i="2"/>
  <c r="DY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BB78" i="2"/>
  <c r="BO78" i="2"/>
  <c r="BK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BQ78" i="2"/>
  <c r="BP78" i="2"/>
  <c r="AV78" i="2"/>
  <c r="AW78" i="2"/>
  <c r="BR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AS79" i="2"/>
  <c r="W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R79" i="2"/>
  <c r="FB79" i="2"/>
  <c r="ER79" i="2"/>
  <c r="DM79" i="2"/>
  <c r="DV79" i="2"/>
  <c r="BL79" i="2"/>
  <c r="CQ79" i="2"/>
  <c r="BB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AV79" i="2"/>
  <c r="AW79" i="2"/>
  <c r="AU79" i="2"/>
  <c r="BR79" i="2"/>
  <c r="BP79" i="2"/>
  <c r="BQ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BM80" i="2"/>
  <c r="DC80" i="2"/>
  <c r="AR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Q80" i="2"/>
  <c r="CR80" i="2"/>
  <c r="BK80" i="2"/>
  <c r="BL80" i="2"/>
  <c r="BB80" i="2"/>
  <c r="BO80" i="2"/>
  <c r="BA80" i="2"/>
  <c r="AT80" i="2"/>
  <c r="DI78" i="2"/>
  <c r="ED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AV80" i="2"/>
  <c r="AW80" i="2"/>
  <c r="BR80" i="2"/>
  <c r="BP80" i="2"/>
  <c r="BQ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HE81" i="2"/>
  <c r="HD81" i="2"/>
  <c r="GJ81" i="2"/>
  <c r="FO81" i="2"/>
  <c r="FN81" i="2"/>
  <c r="GI81" i="2"/>
  <c r="DD81" i="2"/>
  <c r="ET81" i="2"/>
  <c r="AS81" i="2"/>
  <c r="DY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BO81" i="2"/>
  <c r="BK81" i="2"/>
  <c r="DE81" i="2"/>
  <c r="BL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AV81" i="2"/>
  <c r="AU81" i="2"/>
  <c r="BR81" i="2"/>
  <c r="BQ81" i="2"/>
  <c r="BP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AS82" i="2"/>
  <c r="ES82" i="2"/>
  <c r="DX82" i="2"/>
  <c r="DC82" i="2"/>
  <c r="W82" i="2"/>
  <c r="X82" i="2"/>
  <c r="DY82" i="2"/>
  <c r="BM82" i="2"/>
  <c r="AR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BB82" i="2"/>
  <c r="BO82" i="2"/>
  <c r="BK82" i="2"/>
  <c r="BL82" i="2"/>
  <c r="BA82" i="2"/>
  <c r="AT82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AV82" i="2"/>
  <c r="AU82" i="2"/>
  <c r="AW82" i="2"/>
  <c r="BR82" i="2"/>
  <c r="BP82" i="2"/>
  <c r="BQ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BM83" i="2"/>
  <c r="W83" i="2"/>
  <c r="AS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R83" i="2"/>
  <c r="FB83" i="2"/>
  <c r="DV83" i="2"/>
  <c r="DA83" i="2"/>
  <c r="ER83" i="2"/>
  <c r="DM83" i="2"/>
  <c r="BL83" i="2"/>
  <c r="BB83" i="2"/>
  <c r="CQ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BP83" i="2"/>
  <c r="AV83" i="2"/>
  <c r="AW83" i="2"/>
  <c r="AU83" i="2"/>
  <c r="BQ83" i="2"/>
  <c r="BR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GO82" i="2"/>
  <c r="EY82" i="2"/>
  <c r="HD84" i="2"/>
  <c r="FO84" i="2"/>
  <c r="GJ84" i="2"/>
  <c r="ES84" i="2"/>
  <c r="HE84" i="2"/>
  <c r="DX84" i="2"/>
  <c r="BM84" i="2"/>
  <c r="GI84" i="2"/>
  <c r="ET84" i="2"/>
  <c r="DC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R84" i="2"/>
  <c r="BK84" i="2"/>
  <c r="BL84" i="2"/>
  <c r="BB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BP84" i="2"/>
  <c r="AV84" i="2"/>
  <c r="AU84" i="2"/>
  <c r="AW84" i="2"/>
  <c r="BR84" i="2"/>
  <c r="BQ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AS85" i="2"/>
  <c r="DX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BO85" i="2"/>
  <c r="BK85" i="2"/>
  <c r="BL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HH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AV85" i="2"/>
  <c r="AW85" i="2"/>
  <c r="AU85" i="2"/>
  <c r="BR85" i="2"/>
  <c r="BP85" i="2"/>
  <c r="BQ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AS86" i="2"/>
  <c r="W86" i="2"/>
  <c r="DC86" i="2"/>
  <c r="DX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R86" i="2"/>
  <c r="GG86" i="2"/>
  <c r="FB86" i="2"/>
  <c r="ER86" i="2"/>
  <c r="DV86" i="2"/>
  <c r="DM86" i="2"/>
  <c r="DA86" i="2"/>
  <c r="EG86" i="2"/>
  <c r="EU86" i="2"/>
  <c r="DW86" i="2"/>
  <c r="CQ86" i="2"/>
  <c r="BB86" i="2"/>
  <c r="DB86" i="2"/>
  <c r="BO86" i="2"/>
  <c r="BK86" i="2"/>
  <c r="BL86" i="2"/>
  <c r="BA86" i="2"/>
  <c r="AT86" i="2"/>
  <c r="ED84" i="2"/>
  <c r="DI84" i="2"/>
  <c r="HJ84" i="2"/>
  <c r="GO84" i="2"/>
  <c r="FT84" i="2"/>
  <c r="EY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AV86" i="2"/>
  <c r="AU86" i="2"/>
  <c r="AW86" i="2"/>
  <c r="BP86" i="2"/>
  <c r="BR86" i="2"/>
  <c r="BQ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R87" i="2"/>
  <c r="FB87" i="2"/>
  <c r="DV87" i="2"/>
  <c r="DA87" i="2"/>
  <c r="ER87" i="2"/>
  <c r="BL87" i="2"/>
  <c r="BB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A87" i="2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BR87" i="2"/>
  <c r="AV87" i="2"/>
  <c r="AW87" i="2"/>
  <c r="AU87" i="2"/>
  <c r="BP87" i="2"/>
  <c r="BQ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HD88" i="2"/>
  <c r="FO88" i="2"/>
  <c r="GJ88" i="2"/>
  <c r="GI88" i="2"/>
  <c r="ES88" i="2"/>
  <c r="DX88" i="2"/>
  <c r="HE88" i="2"/>
  <c r="FN88" i="2"/>
  <c r="ET88" i="2"/>
  <c r="BM88" i="2"/>
  <c r="DD88" i="2"/>
  <c r="DC88" i="2"/>
  <c r="DY88" i="2"/>
  <c r="AR88" i="2"/>
  <c r="BN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BK88" i="2"/>
  <c r="CR88" i="2"/>
  <c r="BL88" i="2"/>
  <c r="BB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BP88" i="2"/>
  <c r="BQ88" i="2"/>
  <c r="AV88" i="2"/>
  <c r="AU88" i="2"/>
  <c r="AW88" i="2"/>
  <c r="BR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HJ87" i="2"/>
  <c r="HE89" i="2"/>
  <c r="GJ89" i="2"/>
  <c r="FO89" i="2"/>
  <c r="FN89" i="2"/>
  <c r="GI89" i="2"/>
  <c r="DD89" i="2"/>
  <c r="HD89" i="2"/>
  <c r="ES89" i="2"/>
  <c r="DX89" i="2"/>
  <c r="AS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BO89" i="2"/>
  <c r="BK89" i="2"/>
  <c r="BL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BR89" i="2"/>
  <c r="AV89" i="2"/>
  <c r="AW89" i="2"/>
  <c r="AU89" i="2"/>
  <c r="BP89" i="2"/>
  <c r="BQ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AS90" i="2"/>
  <c r="DD90" i="2"/>
  <c r="DC90" i="2"/>
  <c r="W90" i="2"/>
  <c r="X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BB90" i="2"/>
  <c r="BO90" i="2"/>
  <c r="BK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AV90" i="2"/>
  <c r="AU90" i="2"/>
  <c r="AW90" i="2"/>
  <c r="BQ90" i="2"/>
  <c r="BP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HD91" i="2"/>
  <c r="HE91" i="2"/>
  <c r="GI91" i="2"/>
  <c r="FO91" i="2"/>
  <c r="ES91" i="2"/>
  <c r="GJ91" i="2"/>
  <c r="ET91" i="2"/>
  <c r="DY91" i="2"/>
  <c r="FN91" i="2"/>
  <c r="DC91" i="2"/>
  <c r="BN91" i="2"/>
  <c r="BM91" i="2"/>
  <c r="DD91" i="2"/>
  <c r="W91" i="2"/>
  <c r="AS91" i="2"/>
  <c r="DX91" i="2"/>
  <c r="X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R91" i="2"/>
  <c r="FP91" i="2"/>
  <c r="FB91" i="2"/>
  <c r="ER91" i="2"/>
  <c r="DM91" i="2"/>
  <c r="DV91" i="2"/>
  <c r="DA91" i="2"/>
  <c r="CQ91" i="2"/>
  <c r="BL91" i="2"/>
  <c r="BB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BR91" i="2"/>
  <c r="AV91" i="2"/>
  <c r="AW91" i="2"/>
  <c r="AU91" i="2"/>
  <c r="BP91" i="2"/>
  <c r="BQ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BM92" i="2"/>
  <c r="FN92" i="2"/>
  <c r="DY92" i="2"/>
  <c r="DC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BL92" i="2"/>
  <c r="BB92" i="2"/>
  <c r="BO92" i="2"/>
  <c r="BA92" i="2"/>
  <c r="AT92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BR92" i="2"/>
  <c r="AV92" i="2"/>
  <c r="AU92" i="2"/>
  <c r="AW92" i="2"/>
  <c r="BQ92" i="2"/>
  <c r="BP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AS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BO93" i="2"/>
  <c r="BK93" i="2"/>
  <c r="DL93" i="2"/>
  <c r="BL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BQ93" i="2"/>
  <c r="BP93" i="2"/>
  <c r="AV93" i="2"/>
  <c r="AU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AS94" i="2"/>
  <c r="W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BB94" i="2"/>
  <c r="BO94" i="2"/>
  <c r="BK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BP94" i="2"/>
  <c r="AV94" i="2"/>
  <c r="AU94" i="2"/>
  <c r="AW94" i="2"/>
  <c r="BR94" i="2"/>
  <c r="BQ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AS95" i="2"/>
  <c r="W95" i="2"/>
  <c r="FO95" i="2"/>
  <c r="DD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R95" i="2"/>
  <c r="FB95" i="2"/>
  <c r="ER95" i="2"/>
  <c r="DM95" i="2"/>
  <c r="DV95" i="2"/>
  <c r="DA95" i="2"/>
  <c r="BL95" i="2"/>
  <c r="CQ95" i="2"/>
  <c r="BB95" i="2"/>
  <c r="BO95" i="2"/>
  <c r="BK95" i="2"/>
  <c r="BA95" i="2"/>
  <c r="AT95" i="2"/>
  <c r="ED93" i="2"/>
  <c r="HJ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BR95" i="2"/>
  <c r="BP95" i="2"/>
  <c r="AV95" i="2"/>
  <c r="AW95" i="2"/>
  <c r="AU95" i="2"/>
  <c r="BQ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BM96" i="2"/>
  <c r="DC96" i="2"/>
  <c r="AR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Q96" i="2"/>
  <c r="BK96" i="2"/>
  <c r="BL96" i="2"/>
  <c r="CR96" i="2"/>
  <c r="BB96" i="2"/>
  <c r="BO96" i="2"/>
  <c r="BA96" i="2"/>
  <c r="AT96" i="2"/>
  <c r="EY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AV96" i="2"/>
  <c r="AU96" i="2"/>
  <c r="AW96" i="2"/>
  <c r="BP96" i="2"/>
  <c r="BR96" i="2"/>
  <c r="BQ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DI95" i="2"/>
  <c r="FT95" i="2"/>
  <c r="ED95" i="2"/>
  <c r="GO95" i="2"/>
  <c r="HE97" i="2"/>
  <c r="HD97" i="2"/>
  <c r="GJ97" i="2"/>
  <c r="FO97" i="2"/>
  <c r="FN97" i="2"/>
  <c r="GI97" i="2"/>
  <c r="DD97" i="2"/>
  <c r="ET97" i="2"/>
  <c r="AS97" i="2"/>
  <c r="DY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BO97" i="2"/>
  <c r="BK97" i="2"/>
  <c r="BL97" i="2"/>
  <c r="DE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BR97" i="2"/>
  <c r="AV97" i="2"/>
  <c r="AU97" i="2"/>
  <c r="BP97" i="2"/>
  <c r="BQ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FT96" i="2"/>
  <c r="DI96" i="2"/>
  <c r="HJ96" i="2"/>
  <c r="HD98" i="2"/>
  <c r="HE98" i="2"/>
  <c r="GI98" i="2"/>
  <c r="GJ98" i="2"/>
  <c r="ET98" i="2"/>
  <c r="FN98" i="2"/>
  <c r="DD98" i="2"/>
  <c r="BN98" i="2"/>
  <c r="AS98" i="2"/>
  <c r="DY98" i="2"/>
  <c r="DC98" i="2"/>
  <c r="W98" i="2"/>
  <c r="X98" i="2"/>
  <c r="ES98" i="2"/>
  <c r="DX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BB98" i="2"/>
  <c r="BO98" i="2"/>
  <c r="BK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BP98" i="2"/>
  <c r="BQ98" i="2"/>
  <c r="AV98" i="2"/>
  <c r="AU98" i="2"/>
  <c r="AW98" i="2"/>
  <c r="BR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BM99" i="2"/>
  <c r="W99" i="2"/>
  <c r="FN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R99" i="2"/>
  <c r="FB99" i="2"/>
  <c r="DV99" i="2"/>
  <c r="DA99" i="2"/>
  <c r="ER99" i="2"/>
  <c r="DM99" i="2"/>
  <c r="BL99" i="2"/>
  <c r="BB99" i="2"/>
  <c r="CQ99" i="2"/>
  <c r="BO99" i="2"/>
  <c r="BK99" i="2"/>
  <c r="BA99" i="2"/>
  <c r="AT99" i="2"/>
  <c r="ED97" i="2"/>
  <c r="DI97" i="2"/>
  <c r="FT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BQ99" i="2"/>
  <c r="AV99" i="2"/>
  <c r="AW99" i="2"/>
  <c r="AU99" i="2"/>
  <c r="BR99" i="2"/>
  <c r="BP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HD100" i="2"/>
  <c r="HE100" i="2"/>
  <c r="FO100" i="2"/>
  <c r="GJ100" i="2"/>
  <c r="ES100" i="2"/>
  <c r="DX100" i="2"/>
  <c r="GI100" i="2"/>
  <c r="BM100" i="2"/>
  <c r="ET100" i="2"/>
  <c r="DC100" i="2"/>
  <c r="DD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R100" i="2"/>
  <c r="BK100" i="2"/>
  <c r="BL100" i="2"/>
  <c r="BB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BP100" i="2"/>
  <c r="BR100" i="2"/>
  <c r="AV100" i="2"/>
  <c r="AW100" i="2"/>
  <c r="BQ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AS101" i="2"/>
  <c r="DX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BO101" i="2"/>
  <c r="BK101" i="2"/>
  <c r="BL101" i="2"/>
  <c r="BB101" i="2"/>
  <c r="BA101" i="2"/>
  <c r="AT101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AV101" i="2"/>
  <c r="AU101" i="2"/>
  <c r="BQ101" i="2"/>
  <c r="BP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AS102" i="2"/>
  <c r="W102" i="2"/>
  <c r="DC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R102" i="2"/>
  <c r="GG102" i="2"/>
  <c r="FB102" i="2"/>
  <c r="ER102" i="2"/>
  <c r="DV102" i="2"/>
  <c r="DM102" i="2"/>
  <c r="DA102" i="2"/>
  <c r="EG102" i="2"/>
  <c r="EU102" i="2"/>
  <c r="DW102" i="2"/>
  <c r="CQ102" i="2"/>
  <c r="BB102" i="2"/>
  <c r="BO102" i="2"/>
  <c r="DB102" i="2"/>
  <c r="BK102" i="2"/>
  <c r="BL102" i="2"/>
  <c r="BA102" i="2"/>
  <c r="AT102" i="2"/>
  <c r="EY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AV102" i="2"/>
  <c r="AW102" i="2"/>
  <c r="BQ102" i="2"/>
  <c r="BP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R103" i="2"/>
  <c r="FB103" i="2"/>
  <c r="DV103" i="2"/>
  <c r="DA103" i="2"/>
  <c r="ER103" i="2"/>
  <c r="DM103" i="2"/>
  <c r="BL103" i="2"/>
  <c r="BB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BQ103" i="2"/>
  <c r="BP103" i="2"/>
  <c r="AV103" i="2"/>
  <c r="AU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ED102" i="2"/>
  <c r="HJ102" i="2"/>
  <c r="HD104" i="2"/>
  <c r="FO104" i="2"/>
  <c r="HE104" i="2"/>
  <c r="GJ104" i="2"/>
  <c r="GI104" i="2"/>
  <c r="ES104" i="2"/>
  <c r="DX104" i="2"/>
  <c r="FN104" i="2"/>
  <c r="ET104" i="2"/>
  <c r="BM104" i="2"/>
  <c r="DC104" i="2"/>
  <c r="AR104" i="2"/>
  <c r="DY104" i="2"/>
  <c r="DD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BK104" i="2"/>
  <c r="BL104" i="2"/>
  <c r="BB104" i="2"/>
  <c r="CR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BP104" i="2"/>
  <c r="AV104" i="2"/>
  <c r="AW104" i="2"/>
  <c r="BQ104" i="2"/>
  <c r="BR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ED103" i="2"/>
  <c r="GO103" i="2"/>
  <c r="EY103" i="2"/>
  <c r="HE105" i="2"/>
  <c r="GJ105" i="2"/>
  <c r="HD105" i="2"/>
  <c r="FO105" i="2"/>
  <c r="FN105" i="2"/>
  <c r="ES105" i="2"/>
  <c r="DX105" i="2"/>
  <c r="AS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BO105" i="2"/>
  <c r="BK105" i="2"/>
  <c r="BL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BP105" i="2"/>
  <c r="AV105" i="2"/>
  <c r="AW105" i="2"/>
  <c r="AU105" i="2"/>
  <c r="BR105" i="2"/>
  <c r="BQ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AS106" i="2"/>
  <c r="DC106" i="2"/>
  <c r="W106" i="2"/>
  <c r="X106" i="2"/>
  <c r="BM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BB106" i="2"/>
  <c r="BO106" i="2"/>
  <c r="BK106" i="2"/>
  <c r="BL106" i="2"/>
  <c r="BA106" i="2"/>
  <c r="AT106" i="2"/>
  <c r="EY104" i="2"/>
  <c r="GO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BR106" i="2"/>
  <c r="AV106" i="2"/>
  <c r="AW106" i="2"/>
  <c r="BQ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BM107" i="2"/>
  <c r="DX107" i="2"/>
  <c r="W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R107" i="2"/>
  <c r="FP107" i="2"/>
  <c r="FB107" i="2"/>
  <c r="ER107" i="2"/>
  <c r="DM107" i="2"/>
  <c r="DV107" i="2"/>
  <c r="DA107" i="2"/>
  <c r="BL107" i="2"/>
  <c r="CQ107" i="2"/>
  <c r="BB107" i="2"/>
  <c r="BO107" i="2"/>
  <c r="BK107" i="2"/>
  <c r="BA107" i="2"/>
  <c r="AT107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AV107" i="2"/>
  <c r="AW107" i="2"/>
  <c r="AU107" i="2"/>
  <c r="BR107" i="2"/>
  <c r="BP107" i="2"/>
  <c r="BQ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HJ106" i="2"/>
  <c r="FT106" i="2"/>
  <c r="ED106" i="2"/>
  <c r="DI106" i="2"/>
  <c r="GO106" i="2"/>
  <c r="HD108" i="2"/>
  <c r="HE108" i="2"/>
  <c r="FO108" i="2"/>
  <c r="GI108" i="2"/>
  <c r="ES108" i="2"/>
  <c r="DX108" i="2"/>
  <c r="BM108" i="2"/>
  <c r="FN108" i="2"/>
  <c r="DY108" i="2"/>
  <c r="DC108" i="2"/>
  <c r="ET108" i="2"/>
  <c r="DD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L108" i="2"/>
  <c r="CQ108" i="2"/>
  <c r="BB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BR108" i="2"/>
  <c r="BQ108" i="2"/>
  <c r="AV108" i="2"/>
  <c r="AU108" i="2"/>
  <c r="AW108" i="2"/>
  <c r="BP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AS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BO109" i="2"/>
  <c r="BK109" i="2"/>
  <c r="BL109" i="2"/>
  <c r="DL109" i="2"/>
  <c r="CQ109" i="2"/>
  <c r="BB109" i="2"/>
  <c r="BA109" i="2"/>
  <c r="AT109" i="2"/>
  <c r="FT107" i="2"/>
  <c r="HJ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BQ109" i="2"/>
  <c r="AV109" i="2"/>
  <c r="AW109" i="2"/>
  <c r="AU109" i="2"/>
  <c r="BR109" i="2"/>
  <c r="BP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AS110" i="2"/>
  <c r="W110" i="2"/>
  <c r="DY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BB110" i="2"/>
  <c r="BO110" i="2"/>
  <c r="BK110" i="2"/>
  <c r="BL110" i="2"/>
  <c r="BA110" i="2"/>
  <c r="AT110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AV110" i="2"/>
  <c r="AW110" i="2"/>
  <c r="BR110" i="2"/>
  <c r="BQ110" i="2"/>
  <c r="BP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AS111" i="2"/>
  <c r="W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R111" i="2"/>
  <c r="FB111" i="2"/>
  <c r="ER111" i="2"/>
  <c r="DM111" i="2"/>
  <c r="DV111" i="2"/>
  <c r="BL111" i="2"/>
  <c r="DA111" i="2"/>
  <c r="CQ111" i="2"/>
  <c r="BB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AV111" i="2"/>
  <c r="AU111" i="2"/>
  <c r="BR111" i="2"/>
  <c r="BQ111" i="2"/>
  <c r="BP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BM112" i="2"/>
  <c r="DC112" i="2"/>
  <c r="AR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R112" i="2"/>
  <c r="BK112" i="2"/>
  <c r="BL112" i="2"/>
  <c r="CQ112" i="2"/>
  <c r="BB112" i="2"/>
  <c r="BO112" i="2"/>
  <c r="BA112" i="2"/>
  <c r="AT112" i="2"/>
  <c r="GO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X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AV112" i="2"/>
  <c r="AU112" i="2"/>
  <c r="AW112" i="2"/>
  <c r="BQ112" i="2"/>
  <c r="BR112" i="2"/>
  <c r="BP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AS113" i="2"/>
  <c r="DY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BO113" i="2"/>
  <c r="BK113" i="2"/>
  <c r="BL113" i="2"/>
  <c r="CQ113" i="2"/>
  <c r="BB113" i="2"/>
  <c r="BA113" i="2"/>
  <c r="AT113" i="2"/>
  <c r="FT111" i="2"/>
  <c r="EY111" i="2"/>
  <c r="HJ111" i="2"/>
  <c r="ED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EB113" i="2"/>
  <c r="FS113" i="2"/>
  <c r="EX113" i="2"/>
  <c r="EW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AV113" i="2"/>
  <c r="AU113" i="2"/>
  <c r="BQ113" i="2"/>
  <c r="BR113" i="2"/>
  <c r="BP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AS114" i="2"/>
  <c r="ES114" i="2"/>
  <c r="DX114" i="2"/>
  <c r="DC114" i="2"/>
  <c r="W114" i="2"/>
  <c r="X114" i="2"/>
  <c r="DY114" i="2"/>
  <c r="BM114" i="2"/>
  <c r="AR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R114" i="2"/>
  <c r="FB114" i="2"/>
  <c r="ER114" i="2"/>
  <c r="DV114" i="2"/>
  <c r="DM114" i="2"/>
  <c r="DA114" i="2"/>
  <c r="EU114" i="2"/>
  <c r="DW114" i="2"/>
  <c r="EG114" i="2"/>
  <c r="DB114" i="2"/>
  <c r="CQ114" i="2"/>
  <c r="BB114" i="2"/>
  <c r="BO114" i="2"/>
  <c r="BK114" i="2"/>
  <c r="BL114" i="2"/>
  <c r="BA114" i="2"/>
  <c r="AT114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BQ114" i="2"/>
  <c r="AV114" i="2"/>
  <c r="AW114" i="2"/>
  <c r="BR114" i="2"/>
  <c r="BP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BM115" i="2"/>
  <c r="W115" i="2"/>
  <c r="AS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R115" i="2"/>
  <c r="DV115" i="2"/>
  <c r="FB115" i="2"/>
  <c r="DA115" i="2"/>
  <c r="ER115" i="2"/>
  <c r="DM115" i="2"/>
  <c r="BL115" i="2"/>
  <c r="CQ115" i="2"/>
  <c r="BB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AV115" i="2"/>
  <c r="AU115" i="2"/>
  <c r="BQ115" i="2"/>
  <c r="BR115" i="2"/>
  <c r="BP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HD116" i="2"/>
  <c r="FO116" i="2"/>
  <c r="HE116" i="2"/>
  <c r="GJ116" i="2"/>
  <c r="ES116" i="2"/>
  <c r="DX116" i="2"/>
  <c r="BM116" i="2"/>
  <c r="ET116" i="2"/>
  <c r="DC116" i="2"/>
  <c r="DD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R116" i="2"/>
  <c r="BK116" i="2"/>
  <c r="BL116" i="2"/>
  <c r="CQ116" i="2"/>
  <c r="BB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BR116" i="2"/>
  <c r="AV116" i="2"/>
  <c r="AU116" i="2"/>
  <c r="AW116" i="2"/>
  <c r="BQ116" i="2"/>
  <c r="BP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AS117" i="2"/>
  <c r="DX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BO117" i="2"/>
  <c r="BK117" i="2"/>
  <c r="BL117" i="2"/>
  <c r="CQ117" i="2"/>
  <c r="BB117" i="2"/>
  <c r="BA117" i="2"/>
  <c r="AT117" i="2"/>
  <c r="ED115" i="2"/>
  <c r="DI115" i="2"/>
  <c r="EY115" i="2"/>
  <c r="HJ115" i="2"/>
  <c r="GO115" i="2"/>
  <c r="FT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AV117" i="2"/>
  <c r="AW117" i="2"/>
  <c r="AU117" i="2"/>
  <c r="BQ117" i="2"/>
  <c r="BR117" i="2"/>
  <c r="BP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AS118" i="2"/>
  <c r="W118" i="2"/>
  <c r="DC118" i="2"/>
  <c r="DX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R118" i="2"/>
  <c r="GG118" i="2"/>
  <c r="FB118" i="2"/>
  <c r="ER118" i="2"/>
  <c r="DV118" i="2"/>
  <c r="DM118" i="2"/>
  <c r="DA118" i="2"/>
  <c r="EG118" i="2"/>
  <c r="EU118" i="2"/>
  <c r="DW118" i="2"/>
  <c r="CQ118" i="2"/>
  <c r="BB118" i="2"/>
  <c r="BO118" i="2"/>
  <c r="BK118" i="2"/>
  <c r="DB118" i="2"/>
  <c r="BL118" i="2"/>
  <c r="BA118" i="2"/>
  <c r="AT118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BQ118" i="2"/>
  <c r="AV118" i="2"/>
  <c r="AU118" i="2"/>
  <c r="AW118" i="2"/>
  <c r="BP118" i="2"/>
  <c r="BR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AS119" i="2"/>
  <c r="W119" i="2"/>
  <c r="DX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R119" i="2"/>
  <c r="DV119" i="2"/>
  <c r="FB119" i="2"/>
  <c r="DA119" i="2"/>
  <c r="ER119" i="2"/>
  <c r="BL119" i="2"/>
  <c r="DM119" i="2"/>
  <c r="CQ119" i="2"/>
  <c r="BB119" i="2"/>
  <c r="BO119" i="2"/>
  <c r="BK119" i="2"/>
  <c r="BA119" i="2"/>
  <c r="AT119" i="2"/>
  <c r="ED117" i="2"/>
  <c r="FT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AV119" i="2"/>
  <c r="AW119" i="2"/>
  <c r="AU119" i="2"/>
  <c r="BR119" i="2"/>
  <c r="BP119" i="2"/>
  <c r="BQ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BM120" i="2"/>
  <c r="DC120" i="2"/>
  <c r="DY120" i="2"/>
  <c r="AR120" i="2"/>
  <c r="BN120" i="2"/>
  <c r="DD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BK120" i="2"/>
  <c r="CR120" i="2"/>
  <c r="BL120" i="2"/>
  <c r="CQ120" i="2"/>
  <c r="BB120" i="2"/>
  <c r="BO120" i="2"/>
  <c r="BA120" i="2"/>
  <c r="AT120" i="2"/>
  <c r="HJ118" i="2"/>
  <c r="DI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X120" i="2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AV120" i="2"/>
  <c r="AW120" i="2"/>
  <c r="BP120" i="2"/>
  <c r="BQ120" i="2"/>
  <c r="BR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ED119" i="2"/>
  <c r="HE121" i="2"/>
  <c r="GJ121" i="2"/>
  <c r="FO121" i="2"/>
  <c r="HD121" i="2"/>
  <c r="FN121" i="2"/>
  <c r="GI121" i="2"/>
  <c r="ES121" i="2"/>
  <c r="DX121" i="2"/>
  <c r="AS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BO121" i="2"/>
  <c r="BK121" i="2"/>
  <c r="BL121" i="2"/>
  <c r="CQ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AV121" i="2"/>
  <c r="AU121" i="2"/>
  <c r="BR121" i="2"/>
  <c r="BP121" i="2"/>
  <c r="BQ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AS122" i="2"/>
  <c r="DC122" i="2"/>
  <c r="W122" i="2"/>
  <c r="X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BB122" i="2"/>
  <c r="BO122" i="2"/>
  <c r="BK122" i="2"/>
  <c r="BL122" i="2"/>
  <c r="BA122" i="2"/>
  <c r="AT122" i="2"/>
  <c r="EY120" i="2"/>
  <c r="HJ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BR122" i="2"/>
  <c r="AV122" i="2"/>
  <c r="AW122" i="2"/>
  <c r="BP122" i="2"/>
  <c r="BQ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BM123" i="2"/>
  <c r="W123" i="2"/>
  <c r="DX123" i="2"/>
  <c r="X123" i="2"/>
  <c r="AR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R123" i="2"/>
  <c r="FP123" i="2"/>
  <c r="ER123" i="2"/>
  <c r="DM123" i="2"/>
  <c r="DV123" i="2"/>
  <c r="FB123" i="2"/>
  <c r="DA123" i="2"/>
  <c r="BL123" i="2"/>
  <c r="CQ123" i="2"/>
  <c r="BB123" i="2"/>
  <c r="BO123" i="2"/>
  <c r="BK123" i="2"/>
  <c r="BA123" i="2"/>
  <c r="AT123" i="2"/>
  <c r="FT121" i="2"/>
  <c r="HJ121" i="2"/>
  <c r="ED121" i="2"/>
  <c r="GO121" i="2"/>
  <c r="DI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BR123" i="2"/>
  <c r="AV123" i="2"/>
  <c r="AW123" i="2"/>
  <c r="AU123" i="2"/>
  <c r="BQ123" i="2"/>
  <c r="BP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BM124" i="2"/>
  <c r="FN124" i="2"/>
  <c r="DY124" i="2"/>
  <c r="DC124" i="2"/>
  <c r="DD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L124" i="2"/>
  <c r="CQ124" i="2"/>
  <c r="BB124" i="2"/>
  <c r="BO124" i="2"/>
  <c r="BA124" i="2"/>
  <c r="AT124" i="2"/>
  <c r="DI122" i="2"/>
  <c r="HJ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AV124" i="2"/>
  <c r="AU124" i="2"/>
  <c r="AW124" i="2"/>
  <c r="BP124" i="2"/>
  <c r="BQ124" i="2"/>
  <c r="BR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AS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BO125" i="2"/>
  <c r="BK125" i="2"/>
  <c r="BL125" i="2"/>
  <c r="CQ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AV125" i="2"/>
  <c r="AW125" i="2"/>
  <c r="AU125" i="2"/>
  <c r="BR125" i="2"/>
  <c r="BP125" i="2"/>
  <c r="BQ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AS126" i="2"/>
  <c r="W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BB126" i="2"/>
  <c r="BO126" i="2"/>
  <c r="BK126" i="2"/>
  <c r="BL126" i="2"/>
  <c r="BA126" i="2"/>
  <c r="AT126" i="2"/>
  <c r="EY124" i="2"/>
  <c r="FT124" i="2"/>
  <c r="ED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BR126" i="2"/>
  <c r="AV126" i="2"/>
  <c r="AU126" i="2"/>
  <c r="AW126" i="2"/>
  <c r="BP126" i="2"/>
  <c r="BQ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R127" i="2"/>
  <c r="GR127" i="2"/>
  <c r="FB127" i="2"/>
  <c r="ER127" i="2"/>
  <c r="DM127" i="2"/>
  <c r="DV127" i="2"/>
  <c r="BL127" i="2"/>
  <c r="CQ127" i="2"/>
  <c r="BB127" i="2"/>
  <c r="DA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BR127" i="2"/>
  <c r="AV127" i="2"/>
  <c r="AW127" i="2"/>
  <c r="AU127" i="2"/>
  <c r="BQ127" i="2"/>
  <c r="BP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BM128" i="2"/>
  <c r="DC128" i="2"/>
  <c r="AR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BK128" i="2"/>
  <c r="BL128" i="2"/>
  <c r="CR128" i="2"/>
  <c r="CQ128" i="2"/>
  <c r="BB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AV128" i="2"/>
  <c r="AU128" i="2"/>
  <c r="AW128" i="2"/>
  <c r="BQ128" i="2"/>
  <c r="BP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EY127" i="2"/>
  <c r="ED127" i="2"/>
  <c r="FT127" i="2"/>
  <c r="HE129" i="2"/>
  <c r="HD129" i="2"/>
  <c r="GJ129" i="2"/>
  <c r="FO129" i="2"/>
  <c r="FN129" i="2"/>
  <c r="GI129" i="2"/>
  <c r="ET129" i="2"/>
  <c r="AS129" i="2"/>
  <c r="DY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BO129" i="2"/>
  <c r="DE129" i="2"/>
  <c r="BK129" i="2"/>
  <c r="BL129" i="2"/>
  <c r="CQ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AV129" i="2"/>
  <c r="AW129" i="2"/>
  <c r="AU129" i="2"/>
  <c r="BQ129" i="2"/>
  <c r="BP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DI128" i="2"/>
  <c r="ED128" i="2"/>
  <c r="EY128" i="2"/>
  <c r="HD130" i="2"/>
  <c r="HE130" i="2"/>
  <c r="GI130" i="2"/>
  <c r="GJ130" i="2"/>
  <c r="ET130" i="2"/>
  <c r="FN130" i="2"/>
  <c r="DD130" i="2"/>
  <c r="BN130" i="2"/>
  <c r="AS130" i="2"/>
  <c r="DY130" i="2"/>
  <c r="DC130" i="2"/>
  <c r="W130" i="2"/>
  <c r="FO130" i="2"/>
  <c r="X130" i="2"/>
  <c r="ES130" i="2"/>
  <c r="DX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R130" i="2"/>
  <c r="FB130" i="2"/>
  <c r="ER130" i="2"/>
  <c r="DV130" i="2"/>
  <c r="DM130" i="2"/>
  <c r="DA130" i="2"/>
  <c r="EU130" i="2"/>
  <c r="DW130" i="2"/>
  <c r="EG130" i="2"/>
  <c r="DB130" i="2"/>
  <c r="CQ130" i="2"/>
  <c r="BO130" i="2"/>
  <c r="BK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BQ130" i="2"/>
  <c r="AV130" i="2"/>
  <c r="AU130" i="2"/>
  <c r="AW130" i="2"/>
  <c r="BR130" i="2"/>
  <c r="BP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BM131" i="2"/>
  <c r="W131" i="2"/>
  <c r="FN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R131" i="2"/>
  <c r="DV131" i="2"/>
  <c r="FB131" i="2"/>
  <c r="DA131" i="2"/>
  <c r="ER131" i="2"/>
  <c r="DM131" i="2"/>
  <c r="BL131" i="2"/>
  <c r="CQ131" i="2"/>
  <c r="BB131" i="2"/>
  <c r="BO131" i="2"/>
  <c r="BK131" i="2"/>
  <c r="BA131" i="2"/>
  <c r="AT131" i="2"/>
  <c r="HJ129" i="2"/>
  <c r="GO129" i="2"/>
  <c r="FT129" i="2"/>
  <c r="EY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AV131" i="2"/>
  <c r="AW131" i="2"/>
  <c r="AU131" i="2"/>
  <c r="BR131" i="2"/>
  <c r="BP131" i="2"/>
  <c r="BQ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BM132" i="2"/>
  <c r="ET132" i="2"/>
  <c r="DC132" i="2"/>
  <c r="DD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R132" i="2"/>
  <c r="BK132" i="2"/>
  <c r="BL132" i="2"/>
  <c r="CQ132" i="2"/>
  <c r="BB132" i="2"/>
  <c r="BO132" i="2"/>
  <c r="AT132" i="2"/>
  <c r="BA132" i="2"/>
  <c r="EY130" i="2"/>
  <c r="DI130" i="2"/>
  <c r="ED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BR132" i="2"/>
  <c r="AV132" i="2"/>
  <c r="AU132" i="2"/>
  <c r="AW132" i="2"/>
  <c r="BP132" i="2"/>
  <c r="BQ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AS133" i="2"/>
  <c r="DX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BO133" i="2"/>
  <c r="BK133" i="2"/>
  <c r="BL133" i="2"/>
  <c r="CQ133" i="2"/>
  <c r="BB133" i="2"/>
  <c r="BA133" i="2"/>
  <c r="AT133" i="2"/>
  <c r="ED131" i="2"/>
  <c r="DI131" i="2"/>
  <c r="GO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BR133" i="2"/>
  <c r="AV133" i="2"/>
  <c r="AW133" i="2"/>
  <c r="AU133" i="2"/>
  <c r="BP133" i="2"/>
  <c r="BQ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AS134" i="2"/>
  <c r="W134" i="2"/>
  <c r="DC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BO134" i="2"/>
  <c r="BK134" i="2"/>
  <c r="BL134" i="2"/>
  <c r="BB134" i="2"/>
  <c r="BA134" i="2"/>
  <c r="AT134" i="2"/>
  <c r="DI132" i="2"/>
  <c r="FT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BR134" i="2"/>
  <c r="AV134" i="2"/>
  <c r="AU134" i="2"/>
  <c r="AW134" i="2"/>
  <c r="BQ134" i="2"/>
  <c r="BP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AS135" i="2"/>
  <c r="W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R135" i="2"/>
  <c r="DV135" i="2"/>
  <c r="FB135" i="2"/>
  <c r="DA135" i="2"/>
  <c r="ER135" i="2"/>
  <c r="BL135" i="2"/>
  <c r="CQ135" i="2"/>
  <c r="BB135" i="2"/>
  <c r="DM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BR135" i="2"/>
  <c r="AV135" i="2"/>
  <c r="AW135" i="2"/>
  <c r="AU135" i="2"/>
  <c r="BQ135" i="2"/>
  <c r="BP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BM136" i="2"/>
  <c r="DC136" i="2"/>
  <c r="AR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BK136" i="2"/>
  <c r="BL136" i="2"/>
  <c r="CQ136" i="2"/>
  <c r="BB136" i="2"/>
  <c r="CR136" i="2"/>
  <c r="BO136" i="2"/>
  <c r="BA136" i="2"/>
  <c r="AT136" i="2"/>
  <c r="HJ134" i="2"/>
  <c r="DI134" i="2"/>
  <c r="EY134" i="2"/>
  <c r="ED134" i="2"/>
  <c r="FT134" i="2"/>
  <c r="GO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AV136" i="2"/>
  <c r="AW136" i="2"/>
  <c r="BR136" i="2"/>
  <c r="BP136" i="2"/>
  <c r="BQ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GO135" i="2"/>
  <c r="HJ135" i="2"/>
  <c r="HE137" i="2"/>
  <c r="HD137" i="2"/>
  <c r="GJ137" i="2"/>
  <c r="FO137" i="2"/>
  <c r="FN137" i="2"/>
  <c r="GI137" i="2"/>
  <c r="ES137" i="2"/>
  <c r="DX137" i="2"/>
  <c r="AS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BO137" i="2"/>
  <c r="BK137" i="2"/>
  <c r="BL137" i="2"/>
  <c r="CQ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BQ137" i="2"/>
  <c r="AV137" i="2"/>
  <c r="AW137" i="2"/>
  <c r="AU137" i="2"/>
  <c r="BR137" i="2"/>
  <c r="BP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DC138" i="2"/>
  <c r="W138" i="2"/>
  <c r="X138" i="2"/>
  <c r="BM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BO138" i="2"/>
  <c r="BK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AV138" i="2"/>
  <c r="AU138" i="2"/>
  <c r="AW138" i="2"/>
  <c r="BR138" i="2"/>
  <c r="BQ138" i="2"/>
  <c r="BP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BM139" i="2"/>
  <c r="AS139" i="2"/>
  <c r="DX139" i="2"/>
  <c r="W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R139" i="2"/>
  <c r="FP139" i="2"/>
  <c r="ER139" i="2"/>
  <c r="DM139" i="2"/>
  <c r="DV139" i="2"/>
  <c r="FB139" i="2"/>
  <c r="DA139" i="2"/>
  <c r="BL139" i="2"/>
  <c r="CQ139" i="2"/>
  <c r="BB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AV139" i="2"/>
  <c r="AW139" i="2"/>
  <c r="AU139" i="2"/>
  <c r="BR139" i="2"/>
  <c r="BP139" i="2"/>
  <c r="BQ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BM140" i="2"/>
  <c r="GJ140" i="2"/>
  <c r="FN140" i="2"/>
  <c r="DY140" i="2"/>
  <c r="DC140" i="2"/>
  <c r="ET140" i="2"/>
  <c r="DD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BK140" i="2"/>
  <c r="BL140" i="2"/>
  <c r="CQ140" i="2"/>
  <c r="BB140" i="2"/>
  <c r="BO140" i="2"/>
  <c r="AT140" i="2"/>
  <c r="BA140" i="2"/>
  <c r="ED138" i="2"/>
  <c r="GO138" i="2"/>
  <c r="FT138" i="2"/>
  <c r="DI138" i="2"/>
  <c r="HJ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EB140" i="2"/>
  <c r="EX140" i="2"/>
  <c r="FS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BR140" i="2"/>
  <c r="AV140" i="2"/>
  <c r="AU140" i="2"/>
  <c r="AW140" i="2"/>
  <c r="BP140" i="2"/>
  <c r="BQ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HJ139" i="2"/>
  <c r="DI139" i="2"/>
  <c r="HE141" i="2"/>
  <c r="GJ141" i="2"/>
  <c r="FO141" i="2"/>
  <c r="FN141" i="2"/>
  <c r="GI141" i="2"/>
  <c r="ET141" i="2"/>
  <c r="ES141" i="2"/>
  <c r="HD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BO141" i="2"/>
  <c r="DL141" i="2"/>
  <c r="BK141" i="2"/>
  <c r="BL141" i="2"/>
  <c r="CQ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BR141" i="2"/>
  <c r="AV141" i="2"/>
  <c r="AW141" i="2"/>
  <c r="AU141" i="2"/>
  <c r="BP141" i="2"/>
  <c r="BQ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W142" i="2"/>
  <c r="DC142" i="2"/>
  <c r="DY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BO142" i="2"/>
  <c r="BK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AV142" i="2"/>
  <c r="AU142" i="2"/>
  <c r="AW142" i="2"/>
  <c r="BR142" i="2"/>
  <c r="BQ142" i="2"/>
  <c r="BP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BM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R143" i="2"/>
  <c r="FB143" i="2"/>
  <c r="ER143" i="2"/>
  <c r="DM143" i="2"/>
  <c r="DV143" i="2"/>
  <c r="BL143" i="2"/>
  <c r="CQ143" i="2"/>
  <c r="BB143" i="2"/>
  <c r="BO143" i="2"/>
  <c r="DA143" i="2"/>
  <c r="BK143" i="2"/>
  <c r="BA143" i="2"/>
  <c r="AT143" i="2"/>
  <c r="ED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BR143" i="2"/>
  <c r="BQ143" i="2"/>
  <c r="AV143" i="2"/>
  <c r="AW143" i="2"/>
  <c r="AU143" i="2"/>
  <c r="BP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BM144" i="2"/>
  <c r="DC144" i="2"/>
  <c r="AR144" i="2"/>
  <c r="AS144" i="2"/>
  <c r="DD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R144" i="2"/>
  <c r="BK144" i="2"/>
  <c r="BL144" i="2"/>
  <c r="CQ144" i="2"/>
  <c r="BB144" i="2"/>
  <c r="BO144" i="2"/>
  <c r="BA144" i="2"/>
  <c r="AT144" i="2"/>
  <c r="FT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AV144" i="2"/>
  <c r="AU144" i="2"/>
  <c r="AW144" i="2"/>
  <c r="BP144" i="2"/>
  <c r="BQ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FT143" i="2"/>
  <c r="HE145" i="2"/>
  <c r="HD145" i="2"/>
  <c r="GJ145" i="2"/>
  <c r="FO145" i="2"/>
  <c r="FN145" i="2"/>
  <c r="GI145" i="2"/>
  <c r="ET145" i="2"/>
  <c r="DY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BO145" i="2"/>
  <c r="BK145" i="2"/>
  <c r="DE145" i="2"/>
  <c r="BL145" i="2"/>
  <c r="CQ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AV145" i="2"/>
  <c r="AW145" i="2"/>
  <c r="AU145" i="2"/>
  <c r="BQ145" i="2"/>
  <c r="BP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ES146" i="2"/>
  <c r="DX146" i="2"/>
  <c r="DC146" i="2"/>
  <c r="W146" i="2"/>
  <c r="X146" i="2"/>
  <c r="DY146" i="2"/>
  <c r="BM146" i="2"/>
  <c r="AR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BO146" i="2"/>
  <c r="BK146" i="2"/>
  <c r="BL146" i="2"/>
  <c r="BA146" i="2"/>
  <c r="AT146" i="2"/>
  <c r="BB146" i="2"/>
  <c r="GO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EA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BR146" i="2"/>
  <c r="AV146" i="2"/>
  <c r="AU146" i="2"/>
  <c r="AW146" i="2"/>
  <c r="BP146" i="2"/>
  <c r="BQ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BM147" i="2"/>
  <c r="AS147" i="2"/>
  <c r="W147" i="2"/>
  <c r="GJ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R147" i="2"/>
  <c r="DV147" i="2"/>
  <c r="FB147" i="2"/>
  <c r="DA147" i="2"/>
  <c r="ER147" i="2"/>
  <c r="DM147" i="2"/>
  <c r="BL147" i="2"/>
  <c r="CQ147" i="2"/>
  <c r="BB147" i="2"/>
  <c r="BO147" i="2"/>
  <c r="BK147" i="2"/>
  <c r="BA147" i="2"/>
  <c r="AT147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BP147" i="2"/>
  <c r="AV147" i="2"/>
  <c r="AW147" i="2"/>
  <c r="AU147" i="2"/>
  <c r="BR147" i="2"/>
  <c r="BQ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DI146" i="2"/>
  <c r="GO146" i="2"/>
  <c r="ED146" i="2"/>
  <c r="HD148" i="2"/>
  <c r="FO148" i="2"/>
  <c r="GI148" i="2"/>
  <c r="GJ148" i="2"/>
  <c r="ES148" i="2"/>
  <c r="DX148" i="2"/>
  <c r="HE148" i="2"/>
  <c r="BM148" i="2"/>
  <c r="ET148" i="2"/>
  <c r="DC148" i="2"/>
  <c r="DD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R148" i="2"/>
  <c r="BK148" i="2"/>
  <c r="BL148" i="2"/>
  <c r="CQ148" i="2"/>
  <c r="BB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AV148" i="2"/>
  <c r="AU148" i="2"/>
  <c r="AW148" i="2"/>
  <c r="BR148" i="2"/>
  <c r="BQ148" i="2"/>
  <c r="BP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DX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BO149" i="2"/>
  <c r="BK149" i="2"/>
  <c r="BL149" i="2"/>
  <c r="CQ149" i="2"/>
  <c r="BB149" i="2"/>
  <c r="BA149" i="2"/>
  <c r="AT149" i="2"/>
  <c r="FT147" i="2"/>
  <c r="HJ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BQ149" i="2"/>
  <c r="BR149" i="2"/>
  <c r="AV149" i="2"/>
  <c r="AW149" i="2"/>
  <c r="AU149" i="2"/>
  <c r="BP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W150" i="2"/>
  <c r="DX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R150" i="2"/>
  <c r="GG150" i="2"/>
  <c r="FB150" i="2"/>
  <c r="ER150" i="2"/>
  <c r="DV150" i="2"/>
  <c r="DM150" i="2"/>
  <c r="DA150" i="2"/>
  <c r="EG150" i="2"/>
  <c r="EU150" i="2"/>
  <c r="DW150" i="2"/>
  <c r="CQ150" i="2"/>
  <c r="DB150" i="2"/>
  <c r="BO150" i="2"/>
  <c r="BK150" i="2"/>
  <c r="BL150" i="2"/>
  <c r="BB150" i="2"/>
  <c r="BA150" i="2"/>
  <c r="AT150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BQ150" i="2"/>
  <c r="BR150" i="2"/>
  <c r="AV150" i="2"/>
  <c r="AU150" i="2"/>
  <c r="AW150" i="2"/>
  <c r="BP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W151" i="2"/>
  <c r="DX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R151" i="2"/>
  <c r="DV151" i="2"/>
  <c r="FB151" i="2"/>
  <c r="DA151" i="2"/>
  <c r="ER151" i="2"/>
  <c r="BL151" i="2"/>
  <c r="CQ151" i="2"/>
  <c r="BB151" i="2"/>
  <c r="BO151" i="2"/>
  <c r="DM151" i="2"/>
  <c r="BK151" i="2"/>
  <c r="BA151" i="2"/>
  <c r="AT151" i="2"/>
  <c r="FT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AV151" i="2"/>
  <c r="AU151" i="2"/>
  <c r="BP151" i="2"/>
  <c r="T24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ED150" i="2"/>
  <c r="DI150" i="2"/>
  <c r="HD152" i="2"/>
  <c r="GJ152" i="2"/>
  <c r="GI152" i="2"/>
  <c r="FO152" i="2"/>
  <c r="ES152" i="2"/>
  <c r="DX152" i="2"/>
  <c r="FN152" i="2"/>
  <c r="ET152" i="2"/>
  <c r="BM152" i="2"/>
  <c r="HE152" i="2"/>
  <c r="DC152" i="2"/>
  <c r="DY152" i="2"/>
  <c r="AR152" i="2"/>
  <c r="DD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BK152" i="2"/>
  <c r="CR152" i="2"/>
  <c r="BL152" i="2"/>
  <c r="CQ152" i="2"/>
  <c r="BB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BP152" i="2"/>
  <c r="AV152" i="2"/>
  <c r="AU152" i="2"/>
  <c r="AW152" i="2"/>
  <c r="BQ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BO153" i="2"/>
  <c r="BK153" i="2"/>
  <c r="BL153" i="2"/>
  <c r="CQ153" i="2"/>
  <c r="BB153" i="2"/>
  <c r="BA153" i="2"/>
  <c r="AT153" i="2"/>
  <c r="GO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BP153" i="2"/>
  <c r="BR153" i="2"/>
  <c r="AV153" i="2"/>
  <c r="AW153" i="2"/>
  <c r="AU153" i="2"/>
  <c r="BQ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EG154" i="2"/>
  <c r="DM154" i="2"/>
  <c r="DE154" i="2"/>
  <c r="ET154" i="2"/>
  <c r="CQ154" i="2"/>
  <c r="BL154" i="2"/>
  <c r="AS154" i="2"/>
  <c r="DW154" i="2"/>
  <c r="CR154" i="2"/>
  <c r="BM154" i="2"/>
  <c r="BA154" i="2"/>
  <c r="AT154" i="2"/>
  <c r="DX154" i="2"/>
  <c r="DA154" i="2"/>
  <c r="DY154" i="2"/>
  <c r="DC154" i="2"/>
  <c r="BK154" i="2"/>
  <c r="BN154" i="2"/>
  <c r="U154" i="2"/>
  <c r="BO154" i="2"/>
  <c r="AP154" i="2"/>
  <c r="V154" i="2"/>
  <c r="L154" i="2"/>
  <c r="DB154" i="2"/>
  <c r="AQ154" i="2"/>
  <c r="AF154" i="2"/>
  <c r="W154" i="2"/>
  <c r="BB154" i="2"/>
  <c r="AR154" i="2"/>
  <c r="AG154" i="2"/>
  <c r="X154" i="2"/>
  <c r="Y154" i="2"/>
  <c r="H192" i="2"/>
  <c r="D193" i="2"/>
  <c r="G193" i="2" s="1"/>
  <c r="ED152" i="2"/>
  <c r="FT152" i="2"/>
  <c r="EY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BR154" i="2"/>
  <c r="AV154" i="2"/>
  <c r="AU154" i="2"/>
  <c r="AW154" i="2"/>
  <c r="BQ154" i="2"/>
  <c r="BP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DY155" i="2"/>
  <c r="CR155" i="2"/>
  <c r="DZ155" i="2"/>
  <c r="DB155" i="2"/>
  <c r="BO155" i="2"/>
  <c r="DC155" i="2"/>
  <c r="DD155" i="2"/>
  <c r="DL155" i="2"/>
  <c r="BK155" i="2"/>
  <c r="BB155" i="2"/>
  <c r="AR155" i="2"/>
  <c r="DX155" i="2"/>
  <c r="AQ155" i="2"/>
  <c r="AG155" i="2"/>
  <c r="U155" i="2"/>
  <c r="V155" i="2"/>
  <c r="AT155" i="2"/>
  <c r="X155" i="2"/>
  <c r="Y155" i="2"/>
  <c r="BL155" i="2"/>
  <c r="CQ155" i="2"/>
  <c r="BM155" i="2"/>
  <c r="L155" i="2"/>
  <c r="AS155" i="2"/>
  <c r="DA155" i="2"/>
  <c r="BN155" i="2"/>
  <c r="BA155" i="2"/>
  <c r="AP155" i="2"/>
  <c r="AF155" i="2"/>
  <c r="W155" i="2"/>
  <c r="A156" i="2"/>
  <c r="H193" i="2"/>
  <c r="D194" i="2"/>
  <c r="G194" i="2" s="1"/>
  <c r="DI153" i="2"/>
  <c r="FT153" i="2"/>
  <c r="HJ153" i="2"/>
  <c r="GO153" i="2"/>
  <c r="EY153" i="2"/>
  <c r="ED153" i="2"/>
  <c r="AC153" i="2"/>
  <c r="AX151" i="2"/>
  <c r="HJ154" i="2" l="1"/>
  <c r="HH155" i="2"/>
  <c r="HG155" i="2"/>
  <c r="DI154" i="2"/>
  <c r="ED154" i="2"/>
  <c r="EY154" i="2"/>
  <c r="EW155" i="2"/>
  <c r="EX155" i="2"/>
  <c r="EA155" i="2"/>
  <c r="AC154" i="2"/>
  <c r="EC155" i="2"/>
  <c r="HI155" i="2"/>
  <c r="AW155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BQ155" i="2"/>
  <c r="AV155" i="2"/>
  <c r="AU155" i="2"/>
  <c r="BR155" i="2"/>
  <c r="BP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ES156" i="2"/>
  <c r="DW156" i="2"/>
  <c r="CQ156" i="2"/>
  <c r="DC156" i="2"/>
  <c r="DM156" i="2"/>
  <c r="DE156" i="2"/>
  <c r="AQ156" i="2"/>
  <c r="EG156" i="2"/>
  <c r="DY156" i="2"/>
  <c r="BK156" i="2"/>
  <c r="AR156" i="2"/>
  <c r="DZ156" i="2"/>
  <c r="DA156" i="2"/>
  <c r="BN156" i="2"/>
  <c r="AG156" i="2"/>
  <c r="CR156" i="2"/>
  <c r="BL156" i="2"/>
  <c r="BA156" i="2"/>
  <c r="X156" i="2"/>
  <c r="BB156" i="2"/>
  <c r="DB156" i="2"/>
  <c r="DD156" i="2"/>
  <c r="BO156" i="2"/>
  <c r="AP156" i="2"/>
  <c r="AS156" i="2"/>
  <c r="AT156" i="2"/>
  <c r="U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HG156" i="2"/>
  <c r="HI156" i="2"/>
  <c r="AB156" i="2"/>
  <c r="EY155" i="2"/>
  <c r="ED155" i="2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GM156" i="2"/>
  <c r="GL156" i="2"/>
  <c r="EA156" i="2"/>
  <c r="BQ156" i="2"/>
  <c r="AV156" i="2"/>
  <c r="AU156" i="2"/>
  <c r="AW156" i="2"/>
  <c r="BR156" i="2"/>
  <c r="BP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FB157" i="2"/>
  <c r="DX157" i="2"/>
  <c r="CR157" i="2"/>
  <c r="BM157" i="2"/>
  <c r="BB157" i="2"/>
  <c r="AT157" i="2"/>
  <c r="DA157" i="2"/>
  <c r="BN157" i="2"/>
  <c r="EQ157" i="2"/>
  <c r="DB157" i="2"/>
  <c r="DL157" i="2"/>
  <c r="DV157" i="2"/>
  <c r="DD157" i="2"/>
  <c r="AP157" i="2"/>
  <c r="DZ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AR157" i="2"/>
  <c r="AA156" i="2"/>
  <c r="H195" i="2"/>
  <c r="AX154" i="2"/>
  <c r="D196" i="2"/>
  <c r="G196" i="2" s="1"/>
  <c r="AX153" i="2"/>
  <c r="HG157" i="2" l="1"/>
  <c r="HH157" i="2"/>
  <c r="EB157" i="2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BR157" i="2"/>
  <c r="AV157" i="2"/>
  <c r="AW157" i="2"/>
  <c r="AU157" i="2"/>
  <c r="BQ157" i="2"/>
  <c r="BP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EG158" i="2"/>
  <c r="DY158" i="2"/>
  <c r="DA158" i="2"/>
  <c r="DL158" i="2"/>
  <c r="CQ158" i="2"/>
  <c r="DM158" i="2"/>
  <c r="DW158" i="2"/>
  <c r="DC158" i="2"/>
  <c r="DD158" i="2"/>
  <c r="BA158" i="2"/>
  <c r="AP158" i="2"/>
  <c r="DE158" i="2"/>
  <c r="ES158" i="2"/>
  <c r="BL158" i="2"/>
  <c r="AS158" i="2"/>
  <c r="BN158" i="2"/>
  <c r="V158" i="2"/>
  <c r="AR158" i="2"/>
  <c r="BB158" i="2"/>
  <c r="AT158" i="2"/>
  <c r="Y158" i="2"/>
  <c r="X158" i="2"/>
  <c r="AF158" i="2"/>
  <c r="DB158" i="2"/>
  <c r="AG158" i="2"/>
  <c r="BK158" i="2"/>
  <c r="L158" i="2"/>
  <c r="BM158" i="2"/>
  <c r="U158" i="2"/>
  <c r="BO158" i="2"/>
  <c r="AQ158" i="2"/>
  <c r="W158" i="2"/>
  <c r="H196" i="2"/>
  <c r="AX155" i="2"/>
  <c r="D197" i="2"/>
  <c r="G197" i="2" s="1"/>
  <c r="HH158" i="2" l="1"/>
  <c r="HG158" i="2"/>
  <c r="ED157" i="2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AV158" i="2"/>
  <c r="AW158" i="2"/>
  <c r="BQ158" i="2"/>
  <c r="BR158" i="2"/>
  <c r="BP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EQ159" i="2"/>
  <c r="DZ159" i="2"/>
  <c r="DB159" i="2"/>
  <c r="DD159" i="2"/>
  <c r="BK159" i="2"/>
  <c r="AR159" i="2"/>
  <c r="DL159" i="2"/>
  <c r="BL159" i="2"/>
  <c r="AS159" i="2"/>
  <c r="DM159" i="2"/>
  <c r="DV159" i="2"/>
  <c r="EU159" i="2"/>
  <c r="DX159" i="2"/>
  <c r="CR159" i="2"/>
  <c r="BO159" i="2"/>
  <c r="BB159" i="2"/>
  <c r="DE159" i="2"/>
  <c r="Y159" i="2"/>
  <c r="BM159" i="2"/>
  <c r="BN159" i="2"/>
  <c r="BA159" i="2"/>
  <c r="AP159" i="2"/>
  <c r="U159" i="2"/>
  <c r="AQ159" i="2"/>
  <c r="V159" i="2"/>
  <c r="CQ159" i="2"/>
  <c r="AT159" i="2"/>
  <c r="AF159" i="2"/>
  <c r="W159" i="2"/>
  <c r="DC159" i="2"/>
  <c r="AG159" i="2"/>
  <c r="X159" i="2"/>
  <c r="L159" i="2"/>
  <c r="H197" i="2"/>
  <c r="AX156" i="2"/>
  <c r="D198" i="2"/>
  <c r="G198" i="2" s="1"/>
  <c r="HI159" i="2" l="1"/>
  <c r="HH159" i="2"/>
  <c r="EC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BR159" i="2"/>
  <c r="AV159" i="2"/>
  <c r="AW159" i="2"/>
  <c r="AU159" i="2"/>
  <c r="BQ159" i="2"/>
  <c r="BP159" i="2"/>
  <c r="HJ158" i="2"/>
  <c r="GO158" i="2"/>
  <c r="FT158" i="2"/>
  <c r="EY158" i="2"/>
  <c r="AB159" i="2"/>
  <c r="Z159" i="2"/>
  <c r="AA159" i="2"/>
  <c r="AC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ES160" i="2"/>
  <c r="DC160" i="2"/>
  <c r="DV160" i="2"/>
  <c r="DW160" i="2"/>
  <c r="DY160" i="2"/>
  <c r="CQ160" i="2"/>
  <c r="BN160" i="2"/>
  <c r="CR160" i="2"/>
  <c r="BO160" i="2"/>
  <c r="DA160" i="2"/>
  <c r="DE160" i="2"/>
  <c r="AQ160" i="2"/>
  <c r="AG160" i="2"/>
  <c r="EU160" i="2"/>
  <c r="DM160" i="2"/>
  <c r="AR160" i="2"/>
  <c r="AF160" i="2"/>
  <c r="DD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D159" i="2"/>
  <c r="EC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BR160" i="2"/>
  <c r="AV160" i="2"/>
  <c r="AW160" i="2"/>
  <c r="BQ160" i="2"/>
  <c r="BP160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GG161" i="2"/>
  <c r="EU161" i="2"/>
  <c r="DL161" i="2"/>
  <c r="DD161" i="2"/>
  <c r="EH161" i="2"/>
  <c r="CR161" i="2"/>
  <c r="ES161" i="2"/>
  <c r="DB161" i="2"/>
  <c r="BB161" i="2"/>
  <c r="AP161" i="2"/>
  <c r="DV161" i="2"/>
  <c r="DE161" i="2"/>
  <c r="AQ161" i="2"/>
  <c r="FN161" i="2"/>
  <c r="DW161" i="2"/>
  <c r="DX161" i="2"/>
  <c r="DZ161" i="2"/>
  <c r="BM161" i="2"/>
  <c r="AT161" i="2"/>
  <c r="BL161" i="2"/>
  <c r="W161" i="2"/>
  <c r="CQ161" i="2"/>
  <c r="BO161" i="2"/>
  <c r="AG161" i="2"/>
  <c r="DA161" i="2"/>
  <c r="AR161" i="2"/>
  <c r="AS161" i="2"/>
  <c r="L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X161" i="2"/>
  <c r="FS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GL161" i="2"/>
  <c r="GM161" i="2"/>
  <c r="EV161" i="2"/>
  <c r="AV161" i="2"/>
  <c r="AU161" i="2"/>
  <c r="BR161" i="2"/>
  <c r="BQ161" i="2"/>
  <c r="BP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DM162" i="2"/>
  <c r="DE162" i="2"/>
  <c r="DX162" i="2"/>
  <c r="DC162" i="2"/>
  <c r="DY162" i="2"/>
  <c r="EH162" i="2"/>
  <c r="BL162" i="2"/>
  <c r="AS162" i="2"/>
  <c r="ES162" i="2"/>
  <c r="BM162" i="2"/>
  <c r="BA162" i="2"/>
  <c r="AT162" i="2"/>
  <c r="EU162" i="2"/>
  <c r="CQ162" i="2"/>
  <c r="DA162" i="2"/>
  <c r="DW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AQ162" i="2"/>
  <c r="X162" i="2"/>
  <c r="AR162" i="2"/>
  <c r="Y162" i="2"/>
  <c r="H200" i="2"/>
  <c r="D201" i="2"/>
  <c r="G201" i="2" s="1"/>
  <c r="AX159" i="2"/>
  <c r="HG162" i="2" l="1"/>
  <c r="HH162" i="2"/>
  <c r="DI161" i="2"/>
  <c r="EB162" i="2"/>
  <c r="EY161" i="2"/>
  <c r="EW162" i="2"/>
  <c r="ED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BQ162" i="2"/>
  <c r="AV162" i="2"/>
  <c r="AW162" i="2"/>
  <c r="BR162" i="2"/>
  <c r="BP162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DL163" i="2"/>
  <c r="CR163" i="2"/>
  <c r="BO163" i="2"/>
  <c r="DX163" i="2"/>
  <c r="DA163" i="2"/>
  <c r="DY163" i="2"/>
  <c r="DB163" i="2"/>
  <c r="ER163" i="2"/>
  <c r="DZ163" i="2"/>
  <c r="EU163" i="2"/>
  <c r="DD163" i="2"/>
  <c r="BK163" i="2"/>
  <c r="BB163" i="2"/>
  <c r="AR163" i="2"/>
  <c r="BN163" i="2"/>
  <c r="AP163" i="2"/>
  <c r="W163" i="2"/>
  <c r="AS163" i="2"/>
  <c r="AT163" i="2"/>
  <c r="X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HI163" i="2"/>
  <c r="EB163" i="2"/>
  <c r="ED162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AV163" i="2"/>
  <c r="AW163" i="2"/>
  <c r="AU163" i="2"/>
  <c r="BR163" i="2"/>
  <c r="BQ163" i="2"/>
  <c r="BP163" i="2"/>
  <c r="GO162" i="2"/>
  <c r="HJ162" i="2"/>
  <c r="FT162" i="2"/>
  <c r="Z163" i="2"/>
  <c r="AC162" i="2"/>
  <c r="DI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ER164" i="2"/>
  <c r="DW164" i="2"/>
  <c r="CQ164" i="2"/>
  <c r="EU164" i="2"/>
  <c r="DZ164" i="2"/>
  <c r="DA164" i="2"/>
  <c r="DC164" i="2"/>
  <c r="AQ164" i="2"/>
  <c r="DD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AS164" i="2"/>
  <c r="U164" i="2"/>
  <c r="AT164" i="2"/>
  <c r="V164" i="2"/>
  <c r="BL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Y163" i="2"/>
  <c r="FS164" i="2"/>
  <c r="FR164" i="2"/>
  <c r="ED163" i="2"/>
  <c r="EX164" i="2"/>
  <c r="EV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BQ164" i="2"/>
  <c r="AV164" i="2"/>
  <c r="AU164" i="2"/>
  <c r="AW164" i="2"/>
  <c r="BP164" i="2"/>
  <c r="BR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ET165" i="2"/>
  <c r="DX165" i="2"/>
  <c r="CR165" i="2"/>
  <c r="DD165" i="2"/>
  <c r="EH165" i="2"/>
  <c r="DL165" i="2"/>
  <c r="ER165" i="2"/>
  <c r="DV165" i="2"/>
  <c r="BM165" i="2"/>
  <c r="BB165" i="2"/>
  <c r="AT165" i="2"/>
  <c r="DZ165" i="2"/>
  <c r="BN165" i="2"/>
  <c r="DB165" i="2"/>
  <c r="AP165" i="2"/>
  <c r="AR165" i="2"/>
  <c r="AF165" i="2"/>
  <c r="DA165" i="2"/>
  <c r="DC165" i="2"/>
  <c r="V165" i="2"/>
  <c r="DE165" i="2"/>
  <c r="BK165" i="2"/>
  <c r="BA165" i="2"/>
  <c r="W165" i="2"/>
  <c r="U165" i="2"/>
  <c r="BL165" i="2"/>
  <c r="X165" i="2"/>
  <c r="BO165" i="2"/>
  <c r="Y165" i="2"/>
  <c r="AS165" i="2"/>
  <c r="AG165" i="2"/>
  <c r="AQ165" i="2"/>
  <c r="L165" i="2"/>
  <c r="H203" i="2"/>
  <c r="AX162" i="2"/>
  <c r="HH165" i="2" l="1"/>
  <c r="HG165" i="2"/>
  <c r="EB165" i="2"/>
  <c r="EX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AV165" i="2"/>
  <c r="AW165" i="2"/>
  <c r="AU165" i="2"/>
  <c r="BR165" i="2"/>
  <c r="BQ165" i="2"/>
  <c r="BP165" i="2"/>
  <c r="GO164" i="2"/>
  <c r="AB165" i="2"/>
  <c r="FT164" i="2"/>
  <c r="HJ164" i="2"/>
  <c r="ED164" i="2"/>
  <c r="EY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FC166" i="2"/>
  <c r="DY166" i="2"/>
  <c r="DA166" i="2"/>
  <c r="CQ166" i="2"/>
  <c r="EH166" i="2"/>
  <c r="DB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AT166" i="2"/>
  <c r="DD166" i="2"/>
  <c r="BB166" i="2"/>
  <c r="X166" i="2"/>
  <c r="BK166" i="2"/>
  <c r="U166" i="2"/>
  <c r="BN166" i="2"/>
  <c r="W166" i="2"/>
  <c r="L166" i="2"/>
  <c r="AX163" i="2"/>
  <c r="HG166" i="2" l="1"/>
  <c r="ED165" i="2"/>
  <c r="FS166" i="2"/>
  <c r="EC166" i="2"/>
  <c r="HI166" i="2"/>
  <c r="HJ166" i="2" s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BQ166" i="2"/>
  <c r="AV166" i="2"/>
  <c r="AU166" i="2"/>
  <c r="AW166" i="2"/>
  <c r="BR166" i="2"/>
  <c r="BP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EH167" i="2"/>
  <c r="DZ167" i="2"/>
  <c r="DB167" i="2"/>
  <c r="ES167" i="2"/>
  <c r="DM167" i="2"/>
  <c r="CR167" i="2"/>
  <c r="ET167" i="2"/>
  <c r="DV167" i="2"/>
  <c r="DX167" i="2"/>
  <c r="DD167" i="2"/>
  <c r="BK167" i="2"/>
  <c r="AR167" i="2"/>
  <c r="DE167" i="2"/>
  <c r="BL167" i="2"/>
  <c r="AS167" i="2"/>
  <c r="BO167" i="2"/>
  <c r="BB167" i="2"/>
  <c r="ER167" i="2"/>
  <c r="DL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AT167" i="2"/>
  <c r="X167" i="2"/>
  <c r="AX164" i="2"/>
  <c r="HI167" i="2" l="1"/>
  <c r="HH167" i="2"/>
  <c r="FR167" i="2"/>
  <c r="EY166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AV167" i="2"/>
  <c r="AW167" i="2"/>
  <c r="AU167" i="2"/>
  <c r="BR167" i="2"/>
  <c r="BP167" i="2"/>
  <c r="BQ167" i="2"/>
  <c r="ED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ER168" i="2"/>
  <c r="DC168" i="2"/>
  <c r="DE168" i="2"/>
  <c r="EG168" i="2"/>
  <c r="BN168" i="2"/>
  <c r="ET168" i="2"/>
  <c r="DM168" i="2"/>
  <c r="BO168" i="2"/>
  <c r="EU168" i="2"/>
  <c r="DV168" i="2"/>
  <c r="CQ168" i="2"/>
  <c r="DW168" i="2"/>
  <c r="DY168" i="2"/>
  <c r="DA168" i="2"/>
  <c r="AQ168" i="2"/>
  <c r="AG168" i="2"/>
  <c r="CR168" i="2"/>
  <c r="BB168" i="2"/>
  <c r="AP168" i="2"/>
  <c r="AR168" i="2"/>
  <c r="DD168" i="2"/>
  <c r="AS168" i="2"/>
  <c r="AT168" i="2"/>
  <c r="W168" i="2"/>
  <c r="L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B168" i="2"/>
  <c r="DG168" i="2"/>
  <c r="DI167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AV168" i="2"/>
  <c r="AU168" i="2"/>
  <c r="AW168" i="2"/>
  <c r="BP168" i="2"/>
  <c r="BR168" i="2"/>
  <c r="BQ168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ET169" i="2"/>
  <c r="DL169" i="2"/>
  <c r="DD169" i="2"/>
  <c r="DW169" i="2"/>
  <c r="DX169" i="2"/>
  <c r="DZ169" i="2"/>
  <c r="CR169" i="2"/>
  <c r="BB169" i="2"/>
  <c r="DA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AQ169" i="2"/>
  <c r="AR169" i="2"/>
  <c r="U169" i="2"/>
  <c r="BL169" i="2"/>
  <c r="BA169" i="2"/>
  <c r="AS169" i="2"/>
  <c r="AF169" i="2"/>
  <c r="V169" i="2"/>
  <c r="W169" i="2"/>
  <c r="Y169" i="2"/>
  <c r="AX166" i="2"/>
  <c r="HH169" i="2" l="1"/>
  <c r="EB169" i="2"/>
  <c r="EY168" i="2"/>
  <c r="EA169" i="2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BR169" i="2"/>
  <c r="AV169" i="2"/>
  <c r="AW169" i="2"/>
  <c r="AU169" i="2"/>
  <c r="BQ169" i="2"/>
  <c r="BP169" i="2"/>
  <c r="ED168" i="2"/>
  <c r="GO168" i="2"/>
  <c r="HJ168" i="2"/>
  <c r="FT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GH170" i="2"/>
  <c r="DM170" i="2"/>
  <c r="DE170" i="2"/>
  <c r="EH170" i="2"/>
  <c r="DA170" i="2"/>
  <c r="EQ170" i="2"/>
  <c r="ET170" i="2"/>
  <c r="DC170" i="2"/>
  <c r="BL170" i="2"/>
  <c r="DW170" i="2"/>
  <c r="BM170" i="2"/>
  <c r="BA170" i="2"/>
  <c r="DX170" i="2"/>
  <c r="FO170" i="2"/>
  <c r="DY170" i="2"/>
  <c r="CQ170" i="2"/>
  <c r="EG170" i="2"/>
  <c r="AP170" i="2"/>
  <c r="AF170" i="2"/>
  <c r="BB170" i="2"/>
  <c r="AR170" i="2"/>
  <c r="AG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BR170" i="2"/>
  <c r="AV170" i="2"/>
  <c r="AU170" i="2"/>
  <c r="AW170" i="2"/>
  <c r="BQ170" i="2"/>
  <c r="BP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DY171" i="2"/>
  <c r="DD171" i="2"/>
  <c r="DZ171" i="2"/>
  <c r="BO171" i="2"/>
  <c r="EQ171" i="2"/>
  <c r="CQ171" i="2"/>
  <c r="ER171" i="2"/>
  <c r="CR171" i="2"/>
  <c r="ET171" i="2"/>
  <c r="DL171" i="2"/>
  <c r="DB171" i="2"/>
  <c r="BK171" i="2"/>
  <c r="BB171" i="2"/>
  <c r="AR171" i="2"/>
  <c r="DX171" i="2"/>
  <c r="BM171" i="2"/>
  <c r="AT171" i="2"/>
  <c r="U171" i="2"/>
  <c r="BA171" i="2"/>
  <c r="AF171" i="2"/>
  <c r="X171" i="2"/>
  <c r="AG171" i="2"/>
  <c r="Y171" i="2"/>
  <c r="AP171" i="2"/>
  <c r="DA171" i="2"/>
  <c r="AQ171" i="2"/>
  <c r="L171" i="2"/>
  <c r="V171" i="2"/>
  <c r="W171" i="2"/>
  <c r="DC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BQ171" i="2"/>
  <c r="BR171" i="2"/>
  <c r="AV171" i="2"/>
  <c r="AW171" i="2"/>
  <c r="AU171" i="2"/>
  <c r="BP171" i="2"/>
  <c r="HJ170" i="2"/>
  <c r="EY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EQ172" i="2"/>
  <c r="DW172" i="2"/>
  <c r="CQ172" i="2"/>
  <c r="EU172" i="2"/>
  <c r="DM172" i="2"/>
  <c r="DA172" i="2"/>
  <c r="DY172" i="2"/>
  <c r="DB172" i="2"/>
  <c r="BK172" i="2"/>
  <c r="DZ172" i="2"/>
  <c r="DC172" i="2"/>
  <c r="EG172" i="2"/>
  <c r="DE172" i="2"/>
  <c r="BN172" i="2"/>
  <c r="AG172" i="2"/>
  <c r="ES172" i="2"/>
  <c r="CR172" i="2"/>
  <c r="DD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Y172" i="2"/>
  <c r="AX169" i="2"/>
  <c r="HI172" i="2" l="1"/>
  <c r="EV172" i="2"/>
  <c r="HG172" i="2"/>
  <c r="EB172" i="2"/>
  <c r="EA172" i="2"/>
  <c r="EY171" i="2"/>
  <c r="ED171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BQ172" i="2"/>
  <c r="BR172" i="2"/>
  <c r="AV172" i="2"/>
  <c r="AU172" i="2"/>
  <c r="AW172" i="2"/>
  <c r="BP172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ES173" i="2"/>
  <c r="DX173" i="2"/>
  <c r="CR173" i="2"/>
  <c r="DB173" i="2"/>
  <c r="EG173" i="2"/>
  <c r="EQ173" i="2"/>
  <c r="DD173" i="2"/>
  <c r="BM173" i="2"/>
  <c r="BB173" i="2"/>
  <c r="DE173" i="2"/>
  <c r="BN173" i="2"/>
  <c r="DL173" i="2"/>
  <c r="DV173" i="2"/>
  <c r="AP173" i="2"/>
  <c r="DZ173" i="2"/>
  <c r="AS173" i="2"/>
  <c r="L173" i="2"/>
  <c r="DA173" i="2"/>
  <c r="DC173" i="2"/>
  <c r="V173" i="2"/>
  <c r="W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D172" i="2"/>
  <c r="EB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GM173" i="2"/>
  <c r="GL173" i="2"/>
  <c r="EV173" i="2"/>
  <c r="EA173" i="2"/>
  <c r="BQ173" i="2"/>
  <c r="BR173" i="2"/>
  <c r="AV173" i="2"/>
  <c r="AW173" i="2"/>
  <c r="AU173" i="2"/>
  <c r="BP173" i="2"/>
  <c r="DI172" i="2"/>
  <c r="AA173" i="2"/>
  <c r="GO172" i="2"/>
  <c r="FT172" i="2"/>
  <c r="EY172" i="2"/>
  <c r="Z173" i="2"/>
  <c r="AC172" i="2"/>
  <c r="AB173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EU174" i="2"/>
  <c r="DY174" i="2"/>
  <c r="DA174" i="2"/>
  <c r="DL174" i="2"/>
  <c r="DE174" i="2"/>
  <c r="DM174" i="2"/>
  <c r="DW174" i="2"/>
  <c r="EG174" i="2"/>
  <c r="BA174" i="2"/>
  <c r="EH174" i="2"/>
  <c r="CQ174" i="2"/>
  <c r="EQ174" i="2"/>
  <c r="ES174" i="2"/>
  <c r="DC174" i="2"/>
  <c r="BL174" i="2"/>
  <c r="AS174" i="2"/>
  <c r="BK174" i="2"/>
  <c r="L174" i="2"/>
  <c r="BN174" i="2"/>
  <c r="AP174" i="2"/>
  <c r="BO174" i="2"/>
  <c r="AQ174" i="2"/>
  <c r="Y174" i="2"/>
  <c r="DB174" i="2"/>
  <c r="AR174" i="2"/>
  <c r="DD174" i="2"/>
  <c r="AT174" i="2"/>
  <c r="BM174" i="2"/>
  <c r="W174" i="2"/>
  <c r="X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GL174" i="2"/>
  <c r="GM174" i="2"/>
  <c r="EV174" i="2"/>
  <c r="EW174" i="2"/>
  <c r="BR174" i="2"/>
  <c r="AV174" i="2"/>
  <c r="AU174" i="2"/>
  <c r="AW174" i="2"/>
  <c r="BQ174" i="2"/>
  <c r="BP174" i="2"/>
  <c r="FT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FL175" i="2"/>
  <c r="DZ175" i="2"/>
  <c r="DB175" i="2"/>
  <c r="FW175" i="2"/>
  <c r="ER175" i="2"/>
  <c r="ES175" i="2"/>
  <c r="EU175" i="2"/>
  <c r="CR175" i="2"/>
  <c r="BK175" i="2"/>
  <c r="DL175" i="2"/>
  <c r="DC175" i="2"/>
  <c r="BL175" i="2"/>
  <c r="DM175" i="2"/>
  <c r="DD175" i="2"/>
  <c r="DV175" i="2"/>
  <c r="DX175" i="2"/>
  <c r="BO175" i="2"/>
  <c r="BB175" i="2"/>
  <c r="EQ175" i="2"/>
  <c r="BA175" i="2"/>
  <c r="AR175" i="2"/>
  <c r="AT175" i="2"/>
  <c r="AF175" i="2"/>
  <c r="AG175" i="2"/>
  <c r="BM175" i="2"/>
  <c r="U175" i="2"/>
  <c r="BN175" i="2"/>
  <c r="V175" i="2"/>
  <c r="CQ175" i="2"/>
  <c r="AP175" i="2"/>
  <c r="W175" i="2"/>
  <c r="Y175" i="2"/>
  <c r="AS175" i="2"/>
  <c r="DE175" i="2"/>
  <c r="AQ175" i="2"/>
  <c r="X175" i="2"/>
  <c r="L175" i="2"/>
  <c r="ED173" i="2"/>
  <c r="AA174" i="2"/>
  <c r="AA175" i="2" s="1"/>
  <c r="AX172" i="2"/>
  <c r="EW175" i="2" l="1"/>
  <c r="HI175" i="2"/>
  <c r="EA175" i="2"/>
  <c r="ED174" i="2"/>
  <c r="FS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GL175" i="2"/>
  <c r="GM175" i="2"/>
  <c r="BR175" i="2"/>
  <c r="AV175" i="2"/>
  <c r="AW175" i="2"/>
  <c r="AU175" i="2"/>
  <c r="BP175" i="2"/>
  <c r="BQ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EQ176" i="2"/>
  <c r="DC176" i="2"/>
  <c r="DV176" i="2"/>
  <c r="DA176" i="2"/>
  <c r="DW176" i="2"/>
  <c r="DY176" i="2"/>
  <c r="DE176" i="2"/>
  <c r="BN176" i="2"/>
  <c r="ES176" i="2"/>
  <c r="BO176" i="2"/>
  <c r="ET176" i="2"/>
  <c r="EU176" i="2"/>
  <c r="CQ176" i="2"/>
  <c r="AQ176" i="2"/>
  <c r="AG176" i="2"/>
  <c r="DM176" i="2"/>
  <c r="CR176" i="2"/>
  <c r="BM176" i="2"/>
  <c r="U176" i="2"/>
  <c r="DD176" i="2"/>
  <c r="BB176" i="2"/>
  <c r="AP176" i="2"/>
  <c r="W176" i="2"/>
  <c r="L176" i="2"/>
  <c r="AR176" i="2"/>
  <c r="AF176" i="2"/>
  <c r="X176" i="2"/>
  <c r="AS176" i="2"/>
  <c r="Y176" i="2"/>
  <c r="BK176" i="2"/>
  <c r="AT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AV176" i="2"/>
  <c r="AW176" i="2"/>
  <c r="BR176" i="2"/>
  <c r="BP176" i="2"/>
  <c r="BQ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ES177" i="2"/>
  <c r="DL177" i="2"/>
  <c r="DD177" i="2"/>
  <c r="BB177" i="2"/>
  <c r="DV177" i="2"/>
  <c r="CQ177" i="2"/>
  <c r="DW177" i="2"/>
  <c r="CR177" i="2"/>
  <c r="DX177" i="2"/>
  <c r="EH177" i="2"/>
  <c r="DZ177" i="2"/>
  <c r="DB177" i="2"/>
  <c r="BM177" i="2"/>
  <c r="AT177" i="2"/>
  <c r="EU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AV177" i="2"/>
  <c r="AW177" i="2"/>
  <c r="AU177" i="2"/>
  <c r="BR177" i="2"/>
  <c r="BP177" i="2"/>
  <c r="BQ177" i="2"/>
  <c r="EY176" i="2"/>
  <c r="DI176" i="2"/>
  <c r="HJ176" i="2"/>
  <c r="GO176" i="2"/>
  <c r="ED176" i="2"/>
  <c r="Z177" i="2"/>
  <c r="AC176" i="2"/>
  <c r="FT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EU178" i="2"/>
  <c r="DM178" i="2"/>
  <c r="DE178" i="2"/>
  <c r="EG178" i="2"/>
  <c r="DX178" i="2"/>
  <c r="CQ178" i="2"/>
  <c r="EH178" i="2"/>
  <c r="DY178" i="2"/>
  <c r="ES178" i="2"/>
  <c r="DA178" i="2"/>
  <c r="BL178" i="2"/>
  <c r="DB178" i="2"/>
  <c r="BM178" i="2"/>
  <c r="BA178" i="2"/>
  <c r="DC178" i="2"/>
  <c r="DW178" i="2"/>
  <c r="AP178" i="2"/>
  <c r="U178" i="2"/>
  <c r="CR178" i="2"/>
  <c r="BB178" i="2"/>
  <c r="AQ178" i="2"/>
  <c r="V178" i="2"/>
  <c r="L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HH178" i="2"/>
  <c r="FQ178" i="2"/>
  <c r="FS178" i="2"/>
  <c r="EW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AV178" i="2"/>
  <c r="AU178" i="2"/>
  <c r="AW178" i="2"/>
  <c r="BP178" i="2"/>
  <c r="BR178" i="2"/>
  <c r="BQ178" i="2"/>
  <c r="HJ177" i="2"/>
  <c r="FT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DB179" i="2"/>
  <c r="DL179" i="2"/>
  <c r="DD179" i="2"/>
  <c r="BO179" i="2"/>
  <c r="EH179" i="2"/>
  <c r="DX179" i="2"/>
  <c r="EQ179" i="2"/>
  <c r="DY179" i="2"/>
  <c r="ER179" i="2"/>
  <c r="DZ179" i="2"/>
  <c r="FP179" i="2"/>
  <c r="EU179" i="2"/>
  <c r="CR179" i="2"/>
  <c r="BK179" i="2"/>
  <c r="BB179" i="2"/>
  <c r="AR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L179" i="2"/>
  <c r="BM179" i="2"/>
  <c r="AQ179" i="2"/>
  <c r="AF179" i="2"/>
  <c r="V179" i="2"/>
  <c r="DC179" i="2"/>
  <c r="W179" i="2"/>
  <c r="AX176" i="2"/>
  <c r="HI179" i="2" l="1"/>
  <c r="HH179" i="2"/>
  <c r="DF179" i="2"/>
  <c r="ED178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BP179" i="2"/>
  <c r="AV179" i="2"/>
  <c r="AU179" i="2"/>
  <c r="BR179" i="2"/>
  <c r="BQ179" i="2"/>
  <c r="AC178" i="2"/>
  <c r="DI178" i="2"/>
  <c r="GO178" i="2"/>
  <c r="FT178" i="2"/>
  <c r="HJ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EH180" i="2"/>
  <c r="DW180" i="2"/>
  <c r="CQ180" i="2"/>
  <c r="ES180" i="2"/>
  <c r="DZ180" i="2"/>
  <c r="DE180" i="2"/>
  <c r="EU180" i="2"/>
  <c r="CR180" i="2"/>
  <c r="BK180" i="2"/>
  <c r="DA180" i="2"/>
  <c r="DM180" i="2"/>
  <c r="DC180" i="2"/>
  <c r="BN180" i="2"/>
  <c r="AG180" i="2"/>
  <c r="ER180" i="2"/>
  <c r="DY180" i="2"/>
  <c r="DB180" i="2"/>
  <c r="AT180" i="2"/>
  <c r="Y180" i="2"/>
  <c r="DD180" i="2"/>
  <c r="BL180" i="2"/>
  <c r="AF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HI180" i="2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GL180" i="2"/>
  <c r="GM180" i="2"/>
  <c r="EV180" i="2"/>
  <c r="EA180" i="2"/>
  <c r="EB180" i="2"/>
  <c r="BR180" i="2"/>
  <c r="AV180" i="2"/>
  <c r="AW180" i="2"/>
  <c r="AU180" i="2"/>
  <c r="BP180" i="2"/>
  <c r="BQ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BM181" i="2"/>
  <c r="BB181" i="2"/>
  <c r="ET181" i="2"/>
  <c r="DZ181" i="2"/>
  <c r="DC181" i="2"/>
  <c r="BN181" i="2"/>
  <c r="DD181" i="2"/>
  <c r="AP181" i="2"/>
  <c r="BO181" i="2"/>
  <c r="BA181" i="2"/>
  <c r="DA181" i="2"/>
  <c r="AR181" i="2"/>
  <c r="DE181" i="2"/>
  <c r="AS181" i="2"/>
  <c r="V181" i="2"/>
  <c r="AT181" i="2"/>
  <c r="AF181" i="2"/>
  <c r="W181" i="2"/>
  <c r="AG181" i="2"/>
  <c r="X181" i="2"/>
  <c r="BK181" i="2"/>
  <c r="Y181" i="2"/>
  <c r="L181" i="2"/>
  <c r="U181" i="2"/>
  <c r="BL181" i="2"/>
  <c r="AQ181" i="2"/>
  <c r="AX178" i="2"/>
  <c r="HG181" i="2" l="1"/>
  <c r="EW181" i="2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GM181" i="2"/>
  <c r="GL181" i="2"/>
  <c r="BP181" i="2"/>
  <c r="AV181" i="2"/>
  <c r="AW181" i="2"/>
  <c r="BQ181" i="2"/>
  <c r="BR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M182" i="2"/>
  <c r="BN182" i="2"/>
  <c r="Y182" i="2"/>
  <c r="DB182" i="2"/>
  <c r="BO182" i="2"/>
  <c r="DD182" i="2"/>
  <c r="AP182" i="2"/>
  <c r="AQ182" i="2"/>
  <c r="AF182" i="2"/>
  <c r="BB182" i="2"/>
  <c r="L182" i="2"/>
  <c r="X182" i="2"/>
  <c r="AR182" i="2"/>
  <c r="AG182" i="2"/>
  <c r="U182" i="2"/>
  <c r="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GM182" i="2"/>
  <c r="GL182" i="2"/>
  <c r="EW182" i="2"/>
  <c r="AW182" i="2"/>
  <c r="EB182" i="2"/>
  <c r="BP182" i="2"/>
  <c r="AV182" i="2"/>
  <c r="AU182" i="2"/>
  <c r="BR182" i="2"/>
  <c r="BQ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BK183" i="2"/>
  <c r="DW183" i="2"/>
  <c r="CQ183" i="2"/>
  <c r="BL183" i="2"/>
  <c r="DX183" i="2"/>
  <c r="CR183" i="2"/>
  <c r="DD183" i="2"/>
  <c r="BO183" i="2"/>
  <c r="BB183" i="2"/>
  <c r="EH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N183" i="2"/>
  <c r="W183" i="2"/>
  <c r="Y183" i="2"/>
  <c r="DE183" i="2"/>
  <c r="X183" i="2"/>
  <c r="AG183" i="2"/>
  <c r="AX180" i="2"/>
  <c r="EY182" i="2" l="1"/>
  <c r="ED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AV183" i="2"/>
  <c r="AU183" i="2"/>
  <c r="AW183" i="2"/>
  <c r="BP183" i="2"/>
  <c r="BQ183" i="2"/>
  <c r="BR183" i="2"/>
  <c r="FT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BN184" i="2"/>
  <c r="ER184" i="2"/>
  <c r="DD184" i="2"/>
  <c r="BO184" i="2"/>
  <c r="ES184" i="2"/>
  <c r="DE184" i="2"/>
  <c r="ET184" i="2"/>
  <c r="DL184" i="2"/>
  <c r="DM184" i="2"/>
  <c r="AQ184" i="2"/>
  <c r="DV184" i="2"/>
  <c r="CR184" i="2"/>
  <c r="BL184" i="2"/>
  <c r="AS184" i="2"/>
  <c r="AF184" i="2"/>
  <c r="BA184" i="2"/>
  <c r="AG184" i="2"/>
  <c r="W184" i="2"/>
  <c r="L184" i="2"/>
  <c r="BB184" i="2"/>
  <c r="X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BP184" i="2"/>
  <c r="AV184" i="2"/>
  <c r="AU184" i="2"/>
  <c r="BQ184" i="2"/>
  <c r="BR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BB185" i="2"/>
  <c r="DM185" i="2"/>
  <c r="DV185" i="2"/>
  <c r="DW185" i="2"/>
  <c r="EG185" i="2"/>
  <c r="DX185" i="2"/>
  <c r="CR185" i="2"/>
  <c r="BM185" i="2"/>
  <c r="AT185" i="2"/>
  <c r="ET185" i="2"/>
  <c r="DY185" i="2"/>
  <c r="X185" i="2"/>
  <c r="CQ185" i="2"/>
  <c r="DA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U185" i="2"/>
  <c r="V185" i="2"/>
  <c r="W185" i="2"/>
  <c r="AX182" i="2"/>
  <c r="HI185" i="2" l="1"/>
  <c r="HG185" i="2"/>
  <c r="HH185" i="2"/>
  <c r="EY184" i="2"/>
  <c r="ED184" i="2"/>
  <c r="EV185" i="2"/>
  <c r="EW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AV185" i="2"/>
  <c r="AW185" i="2"/>
  <c r="BR185" i="2"/>
  <c r="BP185" i="2"/>
  <c r="BQ185" i="2"/>
  <c r="HJ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M186" i="2"/>
  <c r="BA186" i="2"/>
  <c r="DY186" i="2"/>
  <c r="DA186" i="2"/>
  <c r="DZ186" i="2"/>
  <c r="DC186" i="2"/>
  <c r="BO186" i="2"/>
  <c r="AR186" i="2"/>
  <c r="AT186" i="2"/>
  <c r="U186" i="2"/>
  <c r="DB186" i="2"/>
  <c r="V186" i="2"/>
  <c r="W186" i="2"/>
  <c r="L186" i="2"/>
  <c r="BK186" i="2"/>
  <c r="BB186" i="2"/>
  <c r="AP186" i="2"/>
  <c r="AF186" i="2"/>
  <c r="X186" i="2"/>
  <c r="BN186" i="2"/>
  <c r="AQ186" i="2"/>
  <c r="AG186" i="2"/>
  <c r="Y186" i="2"/>
  <c r="AS186" i="2"/>
  <c r="AX183" i="2"/>
  <c r="HG186" i="2" l="1"/>
  <c r="EW186" i="2"/>
  <c r="HH186" i="2"/>
  <c r="FR186" i="2"/>
  <c r="FS186" i="2"/>
  <c r="EB186" i="2"/>
  <c r="ED185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AV186" i="2"/>
  <c r="AW186" i="2"/>
  <c r="AU186" i="2"/>
  <c r="BR186" i="2"/>
  <c r="BQ186" i="2"/>
  <c r="BP186" i="2"/>
  <c r="HJ185" i="2"/>
  <c r="FT185" i="2"/>
  <c r="EY185" i="2"/>
  <c r="GO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O187" i="2"/>
  <c r="EG187" i="2"/>
  <c r="DC187" i="2"/>
  <c r="EH187" i="2"/>
  <c r="DD187" i="2"/>
  <c r="EQ187" i="2"/>
  <c r="ET187" i="2"/>
  <c r="DL187" i="2"/>
  <c r="BK187" i="2"/>
  <c r="BB187" i="2"/>
  <c r="AR187" i="2"/>
  <c r="DW187" i="2"/>
  <c r="AF187" i="2"/>
  <c r="AG187" i="2"/>
  <c r="BM187" i="2"/>
  <c r="BN187" i="2"/>
  <c r="AP187" i="2"/>
  <c r="X187" i="2"/>
  <c r="AQ187" i="2"/>
  <c r="Y187" i="2"/>
  <c r="CQ187" i="2"/>
  <c r="AS187" i="2"/>
  <c r="DA187" i="2"/>
  <c r="AT187" i="2"/>
  <c r="L187" i="2"/>
  <c r="U187" i="2"/>
  <c r="V187" i="2"/>
  <c r="BA187" i="2"/>
  <c r="BL187" i="2"/>
  <c r="W187" i="2"/>
  <c r="AB186" i="2"/>
  <c r="AX184" i="2"/>
  <c r="HH187" i="2" l="1"/>
  <c r="HG187" i="2"/>
  <c r="EY186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BQ187" i="2"/>
  <c r="BR187" i="2"/>
  <c r="AV187" i="2"/>
  <c r="AU187" i="2"/>
  <c r="AW187" i="2"/>
  <c r="BP187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DL188" i="2"/>
  <c r="BK188" i="2"/>
  <c r="DM188" i="2"/>
  <c r="DX188" i="2"/>
  <c r="DY188" i="2"/>
  <c r="DA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L188" i="2"/>
  <c r="BM188" i="2"/>
  <c r="U188" i="2"/>
  <c r="BO188" i="2"/>
  <c r="V188" i="2"/>
  <c r="AR188" i="2"/>
  <c r="CR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AV188" i="2"/>
  <c r="AW188" i="2"/>
  <c r="AU188" i="2"/>
  <c r="BR188" i="2"/>
  <c r="BP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BM189" i="2"/>
  <c r="BB189" i="2"/>
  <c r="ES189" i="2"/>
  <c r="DY189" i="2"/>
  <c r="DA189" i="2"/>
  <c r="BN189" i="2"/>
  <c r="ET189" i="2"/>
  <c r="DZ189" i="2"/>
  <c r="DD189" i="2"/>
  <c r="AP189" i="2"/>
  <c r="FB189" i="2"/>
  <c r="BL189" i="2"/>
  <c r="BA189" i="2"/>
  <c r="DB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O189" i="2"/>
  <c r="AA188" i="2"/>
  <c r="AX186" i="2"/>
  <c r="HH189" i="2" l="1"/>
  <c r="AA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AV189" i="2"/>
  <c r="AU189" i="2"/>
  <c r="AW189" i="2"/>
  <c r="BR189" i="2"/>
  <c r="BP189" i="2"/>
  <c r="BQ189" i="2"/>
  <c r="DI188" i="2"/>
  <c r="HJ188" i="2"/>
  <c r="GO188" i="2"/>
  <c r="AB189" i="2"/>
  <c r="AC188" i="2"/>
  <c r="Z189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DD190" i="2"/>
  <c r="BA190" i="2"/>
  <c r="EG190" i="2"/>
  <c r="DL190" i="2"/>
  <c r="EQ190" i="2"/>
  <c r="DM190" i="2"/>
  <c r="BL190" i="2"/>
  <c r="AS190" i="2"/>
  <c r="EU190" i="2"/>
  <c r="DV190" i="2"/>
  <c r="DE190" i="2"/>
  <c r="AP190" i="2"/>
  <c r="BK190" i="2"/>
  <c r="AR190" i="2"/>
  <c r="BM190" i="2"/>
  <c r="BB190" i="2"/>
  <c r="AT190" i="2"/>
  <c r="Y190" i="2"/>
  <c r="BN190" i="2"/>
  <c r="BO190" i="2"/>
  <c r="CQ190" i="2"/>
  <c r="AF190" i="2"/>
  <c r="V190" i="2"/>
  <c r="W190" i="2"/>
  <c r="X190" i="2"/>
  <c r="DB190" i="2"/>
  <c r="AG190" i="2"/>
  <c r="U190" i="2"/>
  <c r="AQ190" i="2"/>
  <c r="L190" i="2"/>
  <c r="AX187" i="2"/>
  <c r="HJ189" i="2" l="1"/>
  <c r="HH190" i="2"/>
  <c r="HG190" i="2"/>
  <c r="EV190" i="2"/>
  <c r="ED189" i="2"/>
  <c r="EW190" i="2"/>
  <c r="EY189" i="2"/>
  <c r="EB190" i="2"/>
  <c r="HI190" i="2"/>
  <c r="EX190" i="2"/>
  <c r="EC190" i="2"/>
  <c r="FS190" i="2"/>
  <c r="GN190" i="2"/>
  <c r="DH190" i="2"/>
  <c r="DG190" i="2"/>
  <c r="DF190" i="2"/>
  <c r="FQ190" i="2"/>
  <c r="FR190" i="2"/>
  <c r="GL190" i="2"/>
  <c r="GM190" i="2"/>
  <c r="EA190" i="2"/>
  <c r="AC189" i="2"/>
  <c r="AV190" i="2"/>
  <c r="AW190" i="2"/>
  <c r="AU190" i="2"/>
  <c r="BR190" i="2"/>
  <c r="BP190" i="2"/>
  <c r="BQ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BK191" i="2"/>
  <c r="DM191" i="2"/>
  <c r="BL191" i="2"/>
  <c r="DV191" i="2"/>
  <c r="DW191" i="2"/>
  <c r="DX191" i="2"/>
  <c r="CR191" i="2"/>
  <c r="BO191" i="2"/>
  <c r="BB191" i="2"/>
  <c r="AT191" i="2"/>
  <c r="AF191" i="2"/>
  <c r="Y191" i="2"/>
  <c r="L191" i="2"/>
  <c r="CQ191" i="2"/>
  <c r="DC191" i="2"/>
  <c r="DD191" i="2"/>
  <c r="DE191" i="2"/>
  <c r="BA191" i="2"/>
  <c r="AP191" i="2"/>
  <c r="U191" i="2"/>
  <c r="V191" i="2"/>
  <c r="AQ191" i="2"/>
  <c r="BM191" i="2"/>
  <c r="AR191" i="2"/>
  <c r="W191" i="2"/>
  <c r="AG191" i="2"/>
  <c r="BN191" i="2"/>
  <c r="AS191" i="2"/>
  <c r="X191" i="2"/>
  <c r="AX188" i="2"/>
  <c r="HG191" i="2" l="1"/>
  <c r="HI191" i="2"/>
  <c r="HH191" i="2"/>
  <c r="ED190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BR191" i="2"/>
  <c r="BP191" i="2"/>
  <c r="AV191" i="2"/>
  <c r="AU191" i="2"/>
  <c r="AW191" i="2"/>
  <c r="BQ191" i="2"/>
  <c r="EY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BN192" i="2"/>
  <c r="EQ192" i="2"/>
  <c r="DX192" i="2"/>
  <c r="CR192" i="2"/>
  <c r="BO192" i="2"/>
  <c r="ER192" i="2"/>
  <c r="DY192" i="2"/>
  <c r="ES192" i="2"/>
  <c r="EU192" i="2"/>
  <c r="DE192" i="2"/>
  <c r="AQ192" i="2"/>
  <c r="DL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A192" i="2"/>
  <c r="Y192" i="2"/>
  <c r="DD192" i="2"/>
  <c r="BB192" i="2"/>
  <c r="BL192" i="2"/>
  <c r="U192" i="2"/>
  <c r="V192" i="2"/>
  <c r="AX189" i="2"/>
  <c r="HH192" i="2" l="1"/>
  <c r="EY191" i="2"/>
  <c r="HI192" i="2"/>
  <c r="EA192" i="2"/>
  <c r="EW192" i="2"/>
  <c r="EV192" i="2"/>
  <c r="EB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AV192" i="2"/>
  <c r="AU192" i="2"/>
  <c r="BQ192" i="2"/>
  <c r="BP192" i="2"/>
  <c r="HJ191" i="2"/>
  <c r="FT191" i="2"/>
  <c r="AC191" i="2"/>
  <c r="AB192" i="2"/>
  <c r="Z192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BB193" i="2"/>
  <c r="DE193" i="2"/>
  <c r="DM193" i="2"/>
  <c r="DV193" i="2"/>
  <c r="BM193" i="2"/>
  <c r="AT193" i="2"/>
  <c r="ES193" i="2"/>
  <c r="DW193" i="2"/>
  <c r="CR193" i="2"/>
  <c r="AS193" i="2"/>
  <c r="X193" i="2"/>
  <c r="DA193" i="2"/>
  <c r="BK193" i="2"/>
  <c r="BL193" i="2"/>
  <c r="AF193" i="2"/>
  <c r="L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AA192" i="2"/>
  <c r="AX190" i="2"/>
  <c r="HI193" i="2" l="1"/>
  <c r="EA193" i="2"/>
  <c r="EY192" i="2"/>
  <c r="ED192" i="2"/>
  <c r="FQ193" i="2"/>
  <c r="EX193" i="2"/>
  <c r="EB193" i="2"/>
  <c r="DI192" i="2"/>
  <c r="FS193" i="2"/>
  <c r="EC193" i="2"/>
  <c r="HG193" i="2"/>
  <c r="GN193" i="2"/>
  <c r="HH193" i="2"/>
  <c r="DG193" i="2"/>
  <c r="DF193" i="2"/>
  <c r="DH193" i="2"/>
  <c r="FR193" i="2"/>
  <c r="GL193" i="2"/>
  <c r="GM193" i="2"/>
  <c r="EW193" i="2"/>
  <c r="EV193" i="2"/>
  <c r="BQ193" i="2"/>
  <c r="BR193" i="2"/>
  <c r="AV193" i="2"/>
  <c r="AU193" i="2"/>
  <c r="AW193" i="2"/>
  <c r="BP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M194" i="2"/>
  <c r="BA194" i="2"/>
  <c r="DW194" i="2"/>
  <c r="DX194" i="2"/>
  <c r="DY194" i="2"/>
  <c r="DA194" i="2"/>
  <c r="DZ194" i="2"/>
  <c r="BN194" i="2"/>
  <c r="BB194" i="2"/>
  <c r="CQ194" i="2"/>
  <c r="AQ194" i="2"/>
  <c r="CR194" i="2"/>
  <c r="AR194" i="2"/>
  <c r="U194" i="2"/>
  <c r="DB194" i="2"/>
  <c r="AS194" i="2"/>
  <c r="V194" i="2"/>
  <c r="L194" i="2"/>
  <c r="DC194" i="2"/>
  <c r="AT194" i="2"/>
  <c r="W194" i="2"/>
  <c r="AF194" i="2"/>
  <c r="X194" i="2"/>
  <c r="AP194" i="2"/>
  <c r="BK194" i="2"/>
  <c r="AG194" i="2"/>
  <c r="Y194" i="2"/>
  <c r="BO194" i="2"/>
  <c r="AX191" i="2"/>
  <c r="HI194" i="2" l="1"/>
  <c r="HG194" i="2"/>
  <c r="EA194" i="2"/>
  <c r="FQ194" i="2"/>
  <c r="ED193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AV194" i="2"/>
  <c r="AU194" i="2"/>
  <c r="BR194" i="2"/>
  <c r="BQ194" i="2"/>
  <c r="BP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O195" i="2"/>
  <c r="FN195" i="2"/>
  <c r="DY195" i="2"/>
  <c r="DA195" i="2"/>
  <c r="EG195" i="2"/>
  <c r="DZ195" i="2"/>
  <c r="EH195" i="2"/>
  <c r="ER195" i="2"/>
  <c r="DD195" i="2"/>
  <c r="BK195" i="2"/>
  <c r="BB195" i="2"/>
  <c r="AR195" i="2"/>
  <c r="DC195" i="2"/>
  <c r="AS195" i="2"/>
  <c r="AF195" i="2"/>
  <c r="BL195" i="2"/>
  <c r="BM195" i="2"/>
  <c r="X195" i="2"/>
  <c r="BN195" i="2"/>
  <c r="Y195" i="2"/>
  <c r="CQ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HG195" i="2"/>
  <c r="HI195" i="2"/>
  <c r="EA195" i="2"/>
  <c r="DH195" i="2"/>
  <c r="FQ195" i="2"/>
  <c r="ED194" i="2"/>
  <c r="EX195" i="2"/>
  <c r="EY194" i="2"/>
  <c r="EB195" i="2"/>
  <c r="AU195" i="2"/>
  <c r="FS195" i="2"/>
  <c r="EC195" i="2"/>
  <c r="GN195" i="2"/>
  <c r="HH195" i="2"/>
  <c r="DG195" i="2"/>
  <c r="DF195" i="2"/>
  <c r="FR195" i="2"/>
  <c r="GL195" i="2"/>
  <c r="GM195" i="2"/>
  <c r="EW195" i="2"/>
  <c r="EV195" i="2"/>
  <c r="BQ195" i="2"/>
  <c r="AV195" i="2"/>
  <c r="AW195" i="2"/>
  <c r="BR195" i="2"/>
  <c r="BP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DD196" i="2"/>
  <c r="BK196" i="2"/>
  <c r="FP196" i="2"/>
  <c r="DL196" i="2"/>
  <c r="DM196" i="2"/>
  <c r="BN196" i="2"/>
  <c r="EH196" i="2"/>
  <c r="DX196" i="2"/>
  <c r="CR196" i="2"/>
  <c r="DA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O196" i="2"/>
  <c r="W196" i="2"/>
  <c r="L196" i="2"/>
  <c r="X196" i="2"/>
  <c r="Y196" i="2"/>
  <c r="AX193" i="2"/>
  <c r="HH196" i="2" l="1"/>
  <c r="HG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AV196" i="2"/>
  <c r="AU196" i="2"/>
  <c r="BP196" i="2"/>
  <c r="BQ196" i="2"/>
  <c r="BR196" i="2"/>
  <c r="HJ195" i="2"/>
  <c r="ED195" i="2"/>
  <c r="DI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BM197" i="2"/>
  <c r="BB197" i="2"/>
  <c r="ER197" i="2"/>
  <c r="DM197" i="2"/>
  <c r="BN197" i="2"/>
  <c r="ES197" i="2"/>
  <c r="DV197" i="2"/>
  <c r="ET197" i="2"/>
  <c r="DY197" i="2"/>
  <c r="DZ197" i="2"/>
  <c r="DB197" i="2"/>
  <c r="AP197" i="2"/>
  <c r="DE197" i="2"/>
  <c r="BK197" i="2"/>
  <c r="AR197" i="2"/>
  <c r="BO197" i="2"/>
  <c r="AT197" i="2"/>
  <c r="V197" i="2"/>
  <c r="BA197" i="2"/>
  <c r="AF197" i="2"/>
  <c r="W197" i="2"/>
  <c r="U197" i="2"/>
  <c r="DA197" i="2"/>
  <c r="AG197" i="2"/>
  <c r="X197" i="2"/>
  <c r="DC197" i="2"/>
  <c r="Y197" i="2"/>
  <c r="L197" i="2"/>
  <c r="BL197" i="2"/>
  <c r="AS197" i="2"/>
  <c r="DD197" i="2"/>
  <c r="AQ197" i="2"/>
  <c r="AA196" i="2"/>
  <c r="AX194" i="2"/>
  <c r="HH197" i="2" l="1"/>
  <c r="HG197" i="2"/>
  <c r="EW197" i="2"/>
  <c r="EY196" i="2"/>
  <c r="AA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AV197" i="2"/>
  <c r="AU197" i="2"/>
  <c r="AW197" i="2"/>
  <c r="BR197" i="2"/>
  <c r="BP197" i="2"/>
  <c r="BQ197" i="2"/>
  <c r="GO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DY198" i="2"/>
  <c r="DB198" i="2"/>
  <c r="BA198" i="2"/>
  <c r="DZ198" i="2"/>
  <c r="FC198" i="2"/>
  <c r="EH198" i="2"/>
  <c r="DE198" i="2"/>
  <c r="BL198" i="2"/>
  <c r="AS198" i="2"/>
  <c r="ET198" i="2"/>
  <c r="DL198" i="2"/>
  <c r="W198" i="2"/>
  <c r="L198" i="2"/>
  <c r="X198" i="2"/>
  <c r="DC198" i="2"/>
  <c r="DD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AG198" i="2"/>
  <c r="U198" i="2"/>
  <c r="AX195" i="2"/>
  <c r="HI198" i="2" l="1"/>
  <c r="EW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BR198" i="2"/>
  <c r="AV198" i="2"/>
  <c r="AU198" i="2"/>
  <c r="BP198" i="2"/>
  <c r="BQ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BK199" i="2"/>
  <c r="EU199" i="2"/>
  <c r="DE199" i="2"/>
  <c r="BL199" i="2"/>
  <c r="DL199" i="2"/>
  <c r="FM199" i="2"/>
  <c r="DM199" i="2"/>
  <c r="BO199" i="2"/>
  <c r="BB199" i="2"/>
  <c r="DY199" i="2"/>
  <c r="BN199" i="2"/>
  <c r="AQ199" i="2"/>
  <c r="AF199" i="2"/>
  <c r="AS199" i="2"/>
  <c r="CQ199" i="2"/>
  <c r="AT199" i="2"/>
  <c r="CR199" i="2"/>
  <c r="U199" i="2"/>
  <c r="V199" i="2"/>
  <c r="DC199" i="2"/>
  <c r="BA199" i="2"/>
  <c r="W199" i="2"/>
  <c r="AG199" i="2"/>
  <c r="L199" i="2"/>
  <c r="BM199" i="2"/>
  <c r="AP199" i="2"/>
  <c r="X199" i="2"/>
  <c r="Y199" i="2"/>
  <c r="AR199" i="2"/>
  <c r="AX196" i="2"/>
  <c r="HG199" i="2" l="1"/>
  <c r="HH199" i="2"/>
  <c r="EW199" i="2"/>
  <c r="EY198" i="2"/>
  <c r="FS199" i="2"/>
  <c r="EV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BR199" i="2"/>
  <c r="BP199" i="2"/>
  <c r="AV199" i="2"/>
  <c r="AW199" i="2"/>
  <c r="BQ199" i="2"/>
  <c r="ED198" i="2"/>
  <c r="Z199" i="2"/>
  <c r="HJ198" i="2"/>
  <c r="GO198" i="2"/>
  <c r="FT198" i="2"/>
  <c r="HJ199" i="2"/>
  <c r="AC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BN200" i="2"/>
  <c r="DL200" i="2"/>
  <c r="BO200" i="2"/>
  <c r="EG200" i="2"/>
  <c r="DM200" i="2"/>
  <c r="EH200" i="2"/>
  <c r="DV200" i="2"/>
  <c r="ER200" i="2"/>
  <c r="DW200" i="2"/>
  <c r="DA200" i="2"/>
  <c r="AQ200" i="2"/>
  <c r="FO200" i="2"/>
  <c r="DZ200" i="2"/>
  <c r="DD200" i="2"/>
  <c r="BB200" i="2"/>
  <c r="DE200" i="2"/>
  <c r="BL200" i="2"/>
  <c r="AF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AV200" i="2"/>
  <c r="AW200" i="2"/>
  <c r="AU200" i="2"/>
  <c r="BQ200" i="2"/>
  <c r="BR200" i="2"/>
  <c r="CU4" i="2"/>
  <c r="CV4" i="2" s="1"/>
  <c r="CW4" i="2" s="1"/>
  <c r="CX4" i="2" s="1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BB201" i="2"/>
  <c r="BC5" i="2" s="1" a="1"/>
  <c r="BC5" i="2" s="1"/>
  <c r="BD5" i="2" s="1"/>
  <c r="DW201" i="2"/>
  <c r="DA201" i="2"/>
  <c r="DX201" i="2"/>
  <c r="BM201" i="2"/>
  <c r="AT201" i="2"/>
  <c r="EG201" i="2"/>
  <c r="AP201" i="2"/>
  <c r="AQ201" i="2"/>
  <c r="DM201" i="2"/>
  <c r="CQ201" i="2"/>
  <c r="AR201" i="2"/>
  <c r="DB201" i="2"/>
  <c r="AS201" i="2"/>
  <c r="DE201" i="2"/>
  <c r="BK201" i="2"/>
  <c r="AF201" i="2"/>
  <c r="L201" i="2"/>
  <c r="BL201" i="2"/>
  <c r="AG201" i="2"/>
  <c r="BN201" i="2"/>
  <c r="U201" i="2"/>
  <c r="W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H201" i="2" l="1"/>
  <c r="HJ200" i="2"/>
  <c r="HG201" i="2"/>
  <c r="EA201" i="2"/>
  <c r="EB201" i="2"/>
  <c r="ED200" i="2"/>
  <c r="DI200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GL201" i="2"/>
  <c r="GM201" i="2"/>
  <c r="EV201" i="2"/>
  <c r="AC200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M202" i="2"/>
  <c r="BA202" i="2"/>
  <c r="EQ202" i="2"/>
  <c r="ER202" i="2"/>
  <c r="DL202" i="2"/>
  <c r="ET202" i="2"/>
  <c r="DM202" i="2"/>
  <c r="CQ202" i="2"/>
  <c r="BK202" i="2"/>
  <c r="AT202" i="2"/>
  <c r="DW202" i="2"/>
  <c r="BO202" i="2"/>
  <c r="BB202" i="2"/>
  <c r="U202" i="2"/>
  <c r="AP202" i="2"/>
  <c r="V202" i="2"/>
  <c r="L202" i="2"/>
  <c r="CR202" i="2"/>
  <c r="CS6" i="2" s="1" a="1"/>
  <c r="CS6" i="2" s="1"/>
  <c r="AQ202" i="2"/>
  <c r="W202" i="2"/>
  <c r="A203" i="2"/>
  <c r="DA202" i="2"/>
  <c r="AR202" i="2"/>
  <c r="AF202" i="2"/>
  <c r="X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H202" i="2" l="1"/>
  <c r="HG202" i="2"/>
  <c r="EW202" i="2"/>
  <c r="FZ6" i="2"/>
  <c r="EY201" i="2"/>
  <c r="HI202" i="2"/>
  <c r="ED201" i="2"/>
  <c r="EX202" i="2"/>
  <c r="FS202" i="2"/>
  <c r="FR202" i="2"/>
  <c r="EV202" i="2"/>
  <c r="EC202" i="2"/>
  <c r="EA202" i="2"/>
  <c r="GN202" i="2"/>
  <c r="DH202" i="2"/>
  <c r="DF202" i="2"/>
  <c r="DG202" i="2"/>
  <c r="FQ202" i="2"/>
  <c r="GL202" i="2"/>
  <c r="GM202" i="2"/>
  <c r="EB202" i="2"/>
  <c r="BQ202" i="2"/>
  <c r="BP202" i="2"/>
  <c r="AV202" i="2"/>
  <c r="AW202" i="2"/>
  <c r="AU202" i="2"/>
  <c r="BR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O203" i="2"/>
  <c r="DL203" i="2"/>
  <c r="CQ203" i="2"/>
  <c r="DM203" i="2"/>
  <c r="DN141" i="2" s="1" a="1"/>
  <c r="DN141" i="2" s="1"/>
  <c r="DA203" i="2"/>
  <c r="BK203" i="2"/>
  <c r="BB203" i="2"/>
  <c r="BC203" i="2" s="1" a="1"/>
  <c r="BC203" i="2" s="1"/>
  <c r="AR203" i="2"/>
  <c r="EQ203" i="2"/>
  <c r="CR203" i="2"/>
  <c r="CS58" i="2" s="1" a="1"/>
  <c r="CS58" i="2" s="1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L203" i="2"/>
  <c r="M203" i="2" s="1" a="1"/>
  <c r="M203" i="2" s="1"/>
  <c r="AP203" i="2"/>
  <c r="W203" i="2"/>
  <c r="U203" i="2"/>
  <c r="AG203" i="2"/>
  <c r="AH136" i="2" s="1" a="1"/>
  <c r="AH136" i="2" s="1"/>
  <c r="BC34" i="2" a="1"/>
  <c r="BC34" i="2" s="1"/>
  <c r="GT115" i="2" a="1"/>
  <c r="GT115" i="2" s="1"/>
  <c r="GT184" i="2" a="1"/>
  <c r="GT184" i="2" s="1"/>
  <c r="GT181" i="2" a="1"/>
  <c r="GT18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DN41" i="2" a="1"/>
  <c r="DN41" i="2" s="1"/>
  <c r="DN29" i="2" a="1"/>
  <c r="DN29" i="2" s="1"/>
  <c r="DN86" i="2" a="1"/>
  <c r="DN86" i="2" s="1"/>
  <c r="DN188" i="2" a="1"/>
  <c r="DN188" i="2" s="1"/>
  <c r="DN192" i="2" a="1"/>
  <c r="DN192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" i="2" a="1"/>
  <c r="DN16" i="2" s="1"/>
  <c r="DN167" i="2" a="1"/>
  <c r="DN167" i="2" s="1"/>
  <c r="DN110" i="2" a="1"/>
  <c r="DN110" i="2" s="1"/>
  <c r="DN6" i="2" a="1"/>
  <c r="DN6" i="2" s="1"/>
  <c r="DO6" i="2" s="1"/>
  <c r="DN30" i="2" a="1"/>
  <c r="DN30" i="2" s="1"/>
  <c r="DN132" i="2" a="1"/>
  <c r="DN132" i="2" s="1"/>
  <c r="DN45" i="2" a="1"/>
  <c r="DN45" i="2" s="1"/>
  <c r="HJ202" i="2"/>
  <c r="AX200" i="2"/>
  <c r="HH203" i="2" l="1"/>
  <c r="EY202" i="2"/>
  <c r="CS24" i="2" a="1"/>
  <c r="CS24" i="2" s="1"/>
  <c r="EI16" i="2" a="1"/>
  <c r="EI16" i="2" s="1"/>
  <c r="EI170" i="2" a="1"/>
  <c r="EI170" i="2" s="1"/>
  <c r="EI38" i="2" a="1"/>
  <c r="EI38" i="2" s="1"/>
  <c r="EI128" i="2" a="1"/>
  <c r="EI128" i="2" s="1"/>
  <c r="EI165" i="2" a="1"/>
  <c r="EI165" i="2" s="1"/>
  <c r="EI195" i="2" a="1"/>
  <c r="EI195" i="2" s="1"/>
  <c r="EI34" i="2" a="1"/>
  <c r="EI34" i="2" s="1"/>
  <c r="EI71" i="2" a="1"/>
  <c r="EI71" i="2" s="1"/>
  <c r="EI20" i="2" a="1"/>
  <c r="EI20" i="2" s="1"/>
  <c r="EI37" i="2" a="1"/>
  <c r="EI37" i="2" s="1"/>
  <c r="EI57" i="2" a="1"/>
  <c r="EI57" i="2" s="1"/>
  <c r="EI35" i="2" a="1"/>
  <c r="EI35" i="2" s="1"/>
  <c r="EI36" i="2" a="1"/>
  <c r="EI36" i="2" s="1"/>
  <c r="EI142" i="2" a="1"/>
  <c r="EI142" i="2" s="1"/>
  <c r="EI139" i="2" a="1"/>
  <c r="EI139" i="2" s="1"/>
  <c r="EI87" i="2" a="1"/>
  <c r="EI87" i="2" s="1"/>
  <c r="EI178" i="2" a="1"/>
  <c r="EI178" i="2" s="1"/>
  <c r="EI113" i="2" a="1"/>
  <c r="EI113" i="2" s="1"/>
  <c r="EI67" i="2" a="1"/>
  <c r="EI67" i="2" s="1"/>
  <c r="EI109" i="2" a="1"/>
  <c r="EI109" i="2" s="1"/>
  <c r="EI145" i="2" a="1"/>
  <c r="EI145" i="2" s="1"/>
  <c r="DN184" i="2" a="1"/>
  <c r="DN184" i="2" s="1"/>
  <c r="DN31" i="2" a="1"/>
  <c r="DN31" i="2" s="1"/>
  <c r="DN66" i="2" a="1"/>
  <c r="DN66" i="2" s="1"/>
  <c r="DN152" i="2" a="1"/>
  <c r="DN152" i="2" s="1"/>
  <c r="DN49" i="2" a="1"/>
  <c r="DN49" i="2" s="1"/>
  <c r="DN115" i="2" a="1"/>
  <c r="DN115" i="2" s="1"/>
  <c r="DN186" i="2" a="1"/>
  <c r="DN186" i="2" s="1"/>
  <c r="DN46" i="2" a="1"/>
  <c r="DN46" i="2" s="1"/>
  <c r="DN164" i="2" a="1"/>
  <c r="DN164" i="2" s="1"/>
  <c r="DN63" i="2" a="1"/>
  <c r="DN63" i="2" s="1"/>
  <c r="DN153" i="2" a="1"/>
  <c r="DN153" i="2" s="1"/>
  <c r="DN137" i="2" a="1"/>
  <c r="DN137" i="2" s="1"/>
  <c r="DN43" i="2" a="1"/>
  <c r="DN43" i="2" s="1"/>
  <c r="DN135" i="2" a="1"/>
  <c r="DN135" i="2" s="1"/>
  <c r="DN114" i="2" a="1"/>
  <c r="DN114" i="2" s="1"/>
  <c r="DN170" i="2" a="1"/>
  <c r="DN170" i="2" s="1"/>
  <c r="DN124" i="2" a="1"/>
  <c r="DN124" i="2" s="1"/>
  <c r="DN176" i="2" a="1"/>
  <c r="DN176" i="2" s="1"/>
  <c r="DN38" i="2" a="1"/>
  <c r="DN38" i="2" s="1"/>
  <c r="DN103" i="2" a="1"/>
  <c r="DN103" i="2" s="1"/>
  <c r="DN129" i="2" a="1"/>
  <c r="DN129" i="2" s="1"/>
  <c r="DN155" i="2" a="1"/>
  <c r="DN155" i="2" s="1"/>
  <c r="DN162" i="2" a="1"/>
  <c r="DN162" i="2" s="1"/>
  <c r="DN133" i="2" a="1"/>
  <c r="DN133" i="2" s="1"/>
  <c r="DN80" i="2" a="1"/>
  <c r="DN80" i="2" s="1"/>
  <c r="DN123" i="2" a="1"/>
  <c r="DN123" i="2" s="1"/>
  <c r="DN50" i="2" a="1"/>
  <c r="DN50" i="2" s="1"/>
  <c r="DN177" i="2" a="1"/>
  <c r="DN177" i="2" s="1"/>
  <c r="DN65" i="2" a="1"/>
  <c r="DN65" i="2" s="1"/>
  <c r="DN70" i="2" a="1"/>
  <c r="DN70" i="2" s="1"/>
  <c r="DN168" i="2" a="1"/>
  <c r="DN168" i="2" s="1"/>
  <c r="DN113" i="2" a="1"/>
  <c r="DN113" i="2" s="1"/>
  <c r="DN190" i="2" a="1"/>
  <c r="DN190" i="2" s="1"/>
  <c r="DN187" i="2" a="1"/>
  <c r="DN187" i="2" s="1"/>
  <c r="DN55" i="2" a="1"/>
  <c r="DN55" i="2" s="1"/>
  <c r="DN150" i="2" a="1"/>
  <c r="DN150" i="2" s="1"/>
  <c r="DN25" i="2" a="1"/>
  <c r="DN25" i="2" s="1"/>
  <c r="BC18" i="2" a="1"/>
  <c r="BC18" i="2" s="1"/>
  <c r="BC7" i="2" a="1"/>
  <c r="BC7" i="2" s="1"/>
  <c r="BC31" i="2" a="1"/>
  <c r="BC31" i="2" s="1"/>
  <c r="BC38" i="2" a="1"/>
  <c r="BC38" i="2" s="1"/>
  <c r="EI162" i="2" a="1"/>
  <c r="EI162" i="2" s="1"/>
  <c r="GT51" i="2" a="1"/>
  <c r="GT51" i="2" s="1"/>
  <c r="EI150" i="2" a="1"/>
  <c r="EI150" i="2" s="1"/>
  <c r="EI29" i="2" a="1"/>
  <c r="EI29" i="2" s="1"/>
  <c r="EI153" i="2" a="1"/>
  <c r="EI153" i="2" s="1"/>
  <c r="GT68" i="2" a="1"/>
  <c r="GT68" i="2" s="1"/>
  <c r="EI166" i="2" a="1"/>
  <c r="EI166" i="2" s="1"/>
  <c r="EI198" i="2" a="1"/>
  <c r="EI198" i="2" s="1"/>
  <c r="BC130" i="2" a="1"/>
  <c r="BC130" i="2" s="1"/>
  <c r="CS72" i="2" a="1"/>
  <c r="CS72" i="2" s="1"/>
  <c r="BC151" i="2" a="1"/>
  <c r="BC151" i="2" s="1"/>
  <c r="BC185" i="2" a="1"/>
  <c r="BC185" i="2" s="1"/>
  <c r="BC143" i="2" a="1"/>
  <c r="BC143" i="2" s="1"/>
  <c r="BC84" i="2" a="1"/>
  <c r="BC84" i="2" s="1"/>
  <c r="BC32" i="2" a="1"/>
  <c r="BC32" i="2" s="1"/>
  <c r="BC164" i="2" a="1"/>
  <c r="BC164" i="2" s="1"/>
  <c r="BC192" i="2" a="1"/>
  <c r="BC192" i="2" s="1"/>
  <c r="BC55" i="2" a="1"/>
  <c r="BC55" i="2" s="1"/>
  <c r="BC83" i="2" a="1"/>
  <c r="BC83" i="2" s="1"/>
  <c r="BC114" i="2" a="1"/>
  <c r="BC114" i="2" s="1"/>
  <c r="BC117" i="2" a="1"/>
  <c r="BC117" i="2" s="1"/>
  <c r="BC65" i="2" a="1"/>
  <c r="BC65" i="2" s="1"/>
  <c r="BC68" i="2" a="1"/>
  <c r="BC68" i="2" s="1"/>
  <c r="BC181" i="2" a="1"/>
  <c r="BC181" i="2" s="1"/>
  <c r="BC82" i="2" a="1"/>
  <c r="BC82" i="2" s="1"/>
  <c r="BC47" i="2" a="1"/>
  <c r="BC47" i="2" s="1"/>
  <c r="BC58" i="2" a="1"/>
  <c r="BC58" i="2" s="1"/>
  <c r="CS129" i="2" a="1"/>
  <c r="CS129" i="2" s="1"/>
  <c r="CS134" i="2" a="1"/>
  <c r="CS134" i="2" s="1"/>
  <c r="CS52" i="2" a="1"/>
  <c r="CS52" i="2" s="1"/>
  <c r="CS137" i="2" a="1"/>
  <c r="CS137" i="2" s="1"/>
  <c r="CS114" i="2" a="1"/>
  <c r="CS114" i="2" s="1"/>
  <c r="CS56" i="2" a="1"/>
  <c r="CS56" i="2" s="1"/>
  <c r="CS116" i="2" a="1"/>
  <c r="CS116" i="2" s="1"/>
  <c r="CS120" i="2" a="1"/>
  <c r="CS120" i="2" s="1"/>
  <c r="CS38" i="2" a="1"/>
  <c r="CS38" i="2" s="1"/>
  <c r="CS105" i="2" a="1"/>
  <c r="CS105" i="2" s="1"/>
  <c r="CS66" i="2" a="1"/>
  <c r="CS66" i="2" s="1"/>
  <c r="CS185" i="2" a="1"/>
  <c r="CS185" i="2" s="1"/>
  <c r="CS161" i="2" a="1"/>
  <c r="CS161" i="2" s="1"/>
  <c r="AH166" i="2" a="1"/>
  <c r="AH166" i="2" s="1"/>
  <c r="AH163" i="2" a="1"/>
  <c r="AH163" i="2" s="1"/>
  <c r="AH62" i="2" a="1"/>
  <c r="AH62" i="2" s="1"/>
  <c r="AH199" i="2" a="1"/>
  <c r="AH199" i="2" s="1"/>
  <c r="AH19" i="2" a="1"/>
  <c r="AH19" i="2" s="1"/>
  <c r="AH90" i="2" a="1"/>
  <c r="AH90" i="2" s="1"/>
  <c r="DN56" i="2" a="1"/>
  <c r="DN56" i="2" s="1"/>
  <c r="AH92" i="2" a="1"/>
  <c r="AH92" i="2" s="1"/>
  <c r="CS77" i="2" a="1"/>
  <c r="CS77" i="2" s="1"/>
  <c r="BC126" i="2" a="1"/>
  <c r="BC126" i="2" s="1"/>
  <c r="AH151" i="2" a="1"/>
  <c r="AH151" i="2" s="1"/>
  <c r="FR203" i="2"/>
  <c r="FS203" i="2"/>
  <c r="FD48" i="2" a="1"/>
  <c r="FD48" i="2" s="1"/>
  <c r="FD19" i="2" a="1"/>
  <c r="FD19" i="2" s="1"/>
  <c r="FD137" i="2" a="1"/>
  <c r="FD137" i="2" s="1"/>
  <c r="FD59" i="2" a="1"/>
  <c r="FD59" i="2" s="1"/>
  <c r="FD159" i="2" a="1"/>
  <c r="FD159" i="2" s="1"/>
  <c r="FD14" i="2" a="1"/>
  <c r="FD14" i="2" s="1"/>
  <c r="FD82" i="2" a="1"/>
  <c r="FD82" i="2" s="1"/>
  <c r="FD160" i="2" a="1"/>
  <c r="FD160" i="2" s="1"/>
  <c r="FD189" i="2" a="1"/>
  <c r="FD189" i="2" s="1"/>
  <c r="FD107" i="2" a="1"/>
  <c r="FD107" i="2" s="1"/>
  <c r="FD44" i="2" a="1"/>
  <c r="FD44" i="2" s="1"/>
  <c r="FD144" i="2" a="1"/>
  <c r="FD144" i="2" s="1"/>
  <c r="FD167" i="2" a="1"/>
  <c r="FD167" i="2" s="1"/>
  <c r="FD188" i="2" a="1"/>
  <c r="FD188" i="2" s="1"/>
  <c r="FD21" i="2" a="1"/>
  <c r="FD21" i="2" s="1"/>
  <c r="FD187" i="2" a="1"/>
  <c r="FD187" i="2" s="1"/>
  <c r="FD131" i="2" a="1"/>
  <c r="FD131" i="2" s="1"/>
  <c r="FD60" i="2" a="1"/>
  <c r="FD60" i="2" s="1"/>
  <c r="FD194" i="2" a="1"/>
  <c r="FD194" i="2" s="1"/>
  <c r="FD43" i="2" a="1"/>
  <c r="FD43" i="2" s="1"/>
  <c r="FD64" i="2" a="1"/>
  <c r="FD64" i="2" s="1"/>
  <c r="FY196" i="2" a="1"/>
  <c r="FY196" i="2" s="1"/>
  <c r="FY115" i="2" a="1"/>
  <c r="FY115" i="2" s="1"/>
  <c r="FY69" i="2" a="1"/>
  <c r="FY69" i="2" s="1"/>
  <c r="FY167" i="2" a="1"/>
  <c r="FY167" i="2" s="1"/>
  <c r="FY124" i="2" a="1"/>
  <c r="FY124" i="2" s="1"/>
  <c r="FY99" i="2" a="1"/>
  <c r="FY99" i="2" s="1"/>
  <c r="FY126" i="2" a="1"/>
  <c r="FY126" i="2" s="1"/>
  <c r="FY111" i="2" a="1"/>
  <c r="FY111" i="2" s="1"/>
  <c r="FY159" i="2" a="1"/>
  <c r="FY159" i="2" s="1"/>
  <c r="FY164" i="2" a="1"/>
  <c r="FY164" i="2" s="1"/>
  <c r="FY82" i="2" a="1"/>
  <c r="FY82" i="2" s="1"/>
  <c r="FY149" i="2" a="1"/>
  <c r="FY149" i="2" s="1"/>
  <c r="FY178" i="2" a="1"/>
  <c r="FY178" i="2" s="1"/>
  <c r="FY116" i="2" a="1"/>
  <c r="FY116" i="2" s="1"/>
  <c r="FY191" i="2" a="1"/>
  <c r="FY191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10" i="2" a="1"/>
  <c r="FY110" i="2" s="1"/>
  <c r="FY142" i="2" a="1"/>
  <c r="FY142" i="2" s="1"/>
  <c r="FY86" i="2" a="1"/>
  <c r="FY86" i="2" s="1"/>
  <c r="FY169" i="2" a="1"/>
  <c r="FY169" i="2" s="1"/>
  <c r="FY188" i="2" a="1"/>
  <c r="FY188" i="2" s="1"/>
  <c r="FY73" i="2" a="1"/>
  <c r="FY73" i="2" s="1"/>
  <c r="FY71" i="2" a="1"/>
  <c r="FY71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32" i="2" a="1"/>
  <c r="FY32" i="2" s="1"/>
  <c r="FY30" i="2" a="1"/>
  <c r="FY30" i="2" s="1"/>
  <c r="FY104" i="2" a="1"/>
  <c r="FY104" i="2" s="1"/>
  <c r="FY190" i="2" a="1"/>
  <c r="FY190" i="2" s="1"/>
  <c r="FY78" i="2" a="1"/>
  <c r="FY78" i="2" s="1"/>
  <c r="FY186" i="2" a="1"/>
  <c r="FY186" i="2" s="1"/>
  <c r="FY47" i="2" a="1"/>
  <c r="FY47" i="2" s="1"/>
  <c r="FY80" i="2" a="1"/>
  <c r="FY80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29" i="2" a="1"/>
  <c r="FY29" i="2" s="1"/>
  <c r="FY143" i="2" a="1"/>
  <c r="FY143" i="2" s="1"/>
  <c r="FY66" i="2" a="1"/>
  <c r="FY66" i="2" s="1"/>
  <c r="FY22" i="2" a="1"/>
  <c r="FY22" i="2" s="1"/>
  <c r="FY153" i="2" a="1"/>
  <c r="FY153" i="2" s="1"/>
  <c r="FY102" i="2" a="1"/>
  <c r="FY102" i="2" s="1"/>
  <c r="FY18" i="2" a="1"/>
  <c r="FY18" i="2" s="1"/>
  <c r="FY57" i="2" a="1"/>
  <c r="FY57" i="2" s="1"/>
  <c r="FY120" i="2" a="1"/>
  <c r="FY120" i="2" s="1"/>
  <c r="FY140" i="2" a="1"/>
  <c r="FY140" i="2" s="1"/>
  <c r="FY35" i="2" a="1"/>
  <c r="FY35" i="2" s="1"/>
  <c r="FY133" i="2" a="1"/>
  <c r="FY133" i="2" s="1"/>
  <c r="FY146" i="2" a="1"/>
  <c r="FY146" i="2" s="1"/>
  <c r="FY50" i="2" a="1"/>
  <c r="FY50" i="2" s="1"/>
  <c r="FY109" i="2" a="1"/>
  <c r="FY109" i="2" s="1"/>
  <c r="FY165" i="2" a="1"/>
  <c r="FY165" i="2" s="1"/>
  <c r="FY90" i="2" a="1"/>
  <c r="FY90" i="2" s="1"/>
  <c r="FY54" i="2" a="1"/>
  <c r="FY54" i="2" s="1"/>
  <c r="FY79" i="2" a="1"/>
  <c r="FY7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M59" i="2" a="1"/>
  <c r="M59" i="2" s="1"/>
  <c r="M173" i="2" a="1"/>
  <c r="M173" i="2" s="1"/>
  <c r="DN33" i="2" a="1"/>
  <c r="DN33" i="2" s="1"/>
  <c r="DN19" i="2" a="1"/>
  <c r="DN19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M150" i="2" a="1"/>
  <c r="M150" i="2" s="1"/>
  <c r="M119" i="2" a="1"/>
  <c r="M119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M95" i="2" a="1"/>
  <c r="M95" i="2" s="1"/>
  <c r="M54" i="2" a="1"/>
  <c r="M54" i="2" s="1"/>
  <c r="DN108" i="2" a="1"/>
  <c r="DN108" i="2" s="1"/>
  <c r="DN120" i="2" a="1"/>
  <c r="DN120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AH18" i="2" a="1"/>
  <c r="AH18" i="2" s="1"/>
  <c r="CS168" i="2" a="1"/>
  <c r="CS168" i="2" s="1"/>
  <c r="DN183" i="2" a="1"/>
  <c r="DN183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M179" i="2" a="1"/>
  <c r="M179" i="2" s="1"/>
  <c r="M181" i="2" a="1"/>
  <c r="M181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M78" i="2" a="1"/>
  <c r="M78" i="2" s="1"/>
  <c r="M156" i="2" a="1"/>
  <c r="M156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T203" i="2"/>
  <c r="FZ10" i="2"/>
  <c r="FZ11" i="2" s="1"/>
  <c r="FZ12" i="2"/>
  <c r="DI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79" i="2" l="1"/>
  <c r="GE195" i="2"/>
  <c r="GE91" i="2"/>
  <c r="GE73" i="2"/>
  <c r="GE10" i="2"/>
  <c r="GE203" i="2"/>
  <c r="GE118" i="2"/>
  <c r="GE84" i="2"/>
  <c r="GE80" i="2"/>
  <c r="GE133" i="2"/>
  <c r="GE117" i="2"/>
  <c r="GE162" i="2"/>
  <c r="GE34" i="2"/>
  <c r="GE194" i="2"/>
  <c r="GE37" i="2"/>
  <c r="GE65" i="2"/>
  <c r="GE147" i="2"/>
  <c r="GE202" i="2"/>
  <c r="GE100" i="2"/>
  <c r="GE88" i="2"/>
  <c r="GE68" i="2"/>
  <c r="GE19" i="2"/>
  <c r="GE184" i="2"/>
  <c r="GE196" i="2"/>
  <c r="GE25" i="2"/>
  <c r="GE105" i="2"/>
  <c r="GE143" i="2"/>
  <c r="GE176" i="2"/>
  <c r="GE185" i="2"/>
  <c r="GE98" i="2"/>
  <c r="GE174" i="2"/>
  <c r="GE126" i="2"/>
  <c r="GE169" i="2"/>
  <c r="GE127" i="2"/>
  <c r="GE20" i="2"/>
  <c r="GE6" i="2"/>
  <c r="GE199" i="2"/>
  <c r="GE51" i="2"/>
  <c r="GE61" i="2"/>
  <c r="GE157" i="2"/>
  <c r="GE112" i="2"/>
  <c r="GE141" i="2"/>
  <c r="GE102" i="2"/>
  <c r="GE109" i="2"/>
  <c r="GE188" i="2"/>
  <c r="GE53" i="2"/>
  <c r="GE168" i="2"/>
  <c r="GE30" i="2"/>
  <c r="GE132" i="2"/>
  <c r="GE86" i="2"/>
  <c r="GE24" i="2"/>
  <c r="GE81" i="2"/>
  <c r="GE41" i="2"/>
  <c r="GE200" i="2"/>
  <c r="GE114" i="2"/>
  <c r="GE175" i="2"/>
  <c r="GE16" i="2"/>
  <c r="GE172" i="2"/>
  <c r="GE35" i="2"/>
  <c r="GE89" i="2"/>
  <c r="GE74" i="2"/>
  <c r="GE26" i="2"/>
  <c r="GE201" i="2"/>
  <c r="GE153" i="2"/>
  <c r="GE85" i="2"/>
  <c r="GE156" i="2"/>
  <c r="GE15" i="2"/>
  <c r="GE60" i="2"/>
  <c r="GE178" i="2"/>
  <c r="GE151" i="2"/>
  <c r="GE96" i="2"/>
  <c r="GE134" i="2"/>
  <c r="GE129" i="2"/>
  <c r="GE3" i="2"/>
  <c r="C14" i="4" s="1"/>
  <c r="E14" i="4" s="1"/>
  <c r="F14" i="4" s="1"/>
  <c r="G14" i="4" s="1"/>
  <c r="L14" i="4" s="1"/>
  <c r="GE163" i="2"/>
  <c r="GE139" i="2"/>
  <c r="GE50" i="2"/>
  <c r="GE137" i="2"/>
  <c r="GE38" i="2"/>
  <c r="GE181" i="2"/>
  <c r="GE90" i="2"/>
  <c r="GE12" i="2"/>
  <c r="GE66" i="2"/>
  <c r="GE107" i="2"/>
  <c r="GE145" i="2"/>
  <c r="GE93" i="2"/>
  <c r="GE140" i="2"/>
  <c r="GE103" i="2"/>
  <c r="GE119" i="2"/>
  <c r="GE75" i="2"/>
  <c r="GE135" i="2"/>
  <c r="GE158" i="2"/>
  <c r="GE150" i="2"/>
  <c r="GE110" i="2"/>
  <c r="GE95" i="2"/>
  <c r="GE183" i="2"/>
  <c r="GE44" i="2"/>
  <c r="GE46" i="2"/>
  <c r="GE149" i="2"/>
  <c r="GE108" i="2"/>
  <c r="GE104" i="2"/>
  <c r="GE11" i="2"/>
  <c r="GE130" i="2"/>
  <c r="GE159" i="2"/>
  <c r="GE62" i="2"/>
  <c r="GE39" i="2"/>
  <c r="GE160" i="2"/>
  <c r="GE47" i="2"/>
  <c r="GE76" i="2"/>
  <c r="GE115" i="2"/>
  <c r="GE64" i="2"/>
  <c r="GE40" i="2"/>
  <c r="GE8" i="2"/>
  <c r="GE191" i="2"/>
  <c r="GE7" i="2"/>
  <c r="GE171" i="2"/>
  <c r="GE177" i="2"/>
  <c r="GE43" i="2"/>
  <c r="GE77" i="2"/>
  <c r="GE113" i="2"/>
  <c r="GE121" i="2"/>
  <c r="GE49" i="2"/>
  <c r="GE192" i="2"/>
  <c r="GE92" i="2"/>
  <c r="GE28" i="2"/>
  <c r="GE54" i="2"/>
  <c r="GE106" i="2"/>
  <c r="GE189" i="2"/>
  <c r="GE97" i="2"/>
  <c r="GE59" i="2"/>
  <c r="GE166" i="2"/>
  <c r="GE190" i="2"/>
  <c r="GE67" i="2"/>
  <c r="GE13" i="2"/>
  <c r="GE164" i="2"/>
  <c r="GE42" i="2"/>
  <c r="GE32" i="2"/>
  <c r="GE155" i="2"/>
  <c r="GE116" i="2"/>
  <c r="GE101" i="2"/>
  <c r="GE187" i="2"/>
  <c r="GE22" i="2"/>
  <c r="GE120" i="2"/>
  <c r="GE23" i="2"/>
  <c r="GE138" i="2"/>
  <c r="GE27" i="2"/>
  <c r="GE87" i="2"/>
  <c r="GE197" i="2"/>
  <c r="GE161" i="2"/>
  <c r="GE124" i="2"/>
  <c r="GE123" i="2"/>
  <c r="GE131" i="2"/>
  <c r="GE48" i="2"/>
  <c r="GE4" i="2"/>
  <c r="GE63" i="2"/>
  <c r="GE55" i="2"/>
  <c r="GE128" i="2"/>
  <c r="GE148" i="2"/>
  <c r="GE33" i="2"/>
  <c r="GE142" i="2"/>
  <c r="GE83" i="2"/>
  <c r="GE186" i="2"/>
  <c r="GE144" i="2"/>
  <c r="GE78" i="2"/>
  <c r="GE173" i="2"/>
  <c r="GE198" i="2"/>
  <c r="GE179" i="2"/>
  <c r="GE111" i="2"/>
  <c r="GE193" i="2"/>
  <c r="GE69" i="2"/>
  <c r="GE122" i="2"/>
  <c r="GE56" i="2"/>
  <c r="GE57" i="2"/>
  <c r="GE70" i="2"/>
  <c r="GE125" i="2"/>
  <c r="GE5" i="2"/>
  <c r="GE31" i="2"/>
  <c r="GE18" i="2"/>
  <c r="GE182" i="2"/>
  <c r="GE82" i="2"/>
  <c r="GE17" i="2"/>
  <c r="GE170" i="2"/>
  <c r="GE52" i="2"/>
  <c r="GE36" i="2"/>
  <c r="GE99" i="2"/>
  <c r="GE94" i="2"/>
  <c r="GE9" i="2"/>
  <c r="GE21" i="2"/>
  <c r="GE165" i="2"/>
  <c r="GE14" i="2"/>
  <c r="GE167" i="2"/>
  <c r="GE152" i="2"/>
  <c r="GE29" i="2"/>
  <c r="GE72" i="2"/>
  <c r="GE58" i="2"/>
  <c r="GE71" i="2"/>
  <c r="GE136" i="2"/>
  <c r="GE180" i="2"/>
  <c r="GE154" i="2"/>
  <c r="GE45" i="2"/>
  <c r="GE146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194" i="2" l="1"/>
  <c r="CY108" i="2"/>
  <c r="CY16" i="2"/>
  <c r="CY50" i="2"/>
  <c r="CY103" i="2"/>
  <c r="CY134" i="2"/>
  <c r="CY201" i="2"/>
  <c r="CY95" i="2"/>
  <c r="CY168" i="2"/>
  <c r="CY12" i="2"/>
  <c r="CY38" i="2"/>
  <c r="CY47" i="2"/>
  <c r="CY62" i="2"/>
  <c r="CY71" i="2"/>
  <c r="CY181" i="2"/>
  <c r="CY83" i="2"/>
  <c r="CY124" i="2"/>
  <c r="CY146" i="2"/>
  <c r="CY130" i="2"/>
  <c r="CY182" i="2"/>
  <c r="CY24" i="2"/>
  <c r="CY125" i="2"/>
  <c r="CY105" i="2"/>
  <c r="CY199" i="2"/>
  <c r="CY129" i="2"/>
  <c r="CY171" i="2"/>
  <c r="CY76" i="2"/>
  <c r="CY120" i="2"/>
  <c r="CY165" i="2"/>
  <c r="CY176" i="2"/>
  <c r="CY197" i="2"/>
  <c r="CY67" i="2"/>
  <c r="CY101" i="2"/>
  <c r="CY57" i="2"/>
  <c r="CY123" i="2"/>
  <c r="CY140" i="2"/>
  <c r="CY106" i="2"/>
  <c r="CY159" i="2"/>
  <c r="CY56" i="2"/>
  <c r="CY44" i="2"/>
  <c r="CY97" i="2"/>
  <c r="CY15" i="2"/>
  <c r="CY19" i="2"/>
  <c r="CY94" i="2"/>
  <c r="CY102" i="2"/>
  <c r="CY107" i="2"/>
  <c r="CY167" i="2"/>
  <c r="CY85" i="2"/>
  <c r="CY163" i="2"/>
  <c r="CY73" i="2"/>
  <c r="CY72" i="2"/>
  <c r="CY39" i="2"/>
  <c r="CY153" i="2"/>
  <c r="CY91" i="2"/>
  <c r="CY139" i="2"/>
  <c r="CY174" i="2"/>
  <c r="CY70" i="2"/>
  <c r="CY58" i="2"/>
  <c r="CY185" i="2"/>
  <c r="CY110" i="2"/>
  <c r="CY40" i="2"/>
  <c r="CY137" i="2"/>
  <c r="CY92" i="2"/>
  <c r="CY169" i="2"/>
  <c r="CY193" i="2"/>
  <c r="CY184" i="2"/>
  <c r="CY99" i="2"/>
  <c r="CY132" i="2"/>
  <c r="CY8" i="2"/>
  <c r="CY187" i="2"/>
  <c r="CY133" i="2"/>
  <c r="CY86" i="2"/>
  <c r="CY172" i="2"/>
  <c r="CY189" i="2"/>
  <c r="CY17" i="2"/>
  <c r="CY157" i="2"/>
  <c r="CY90" i="2"/>
  <c r="CY63" i="2"/>
  <c r="CY66" i="2"/>
  <c r="CY116" i="2"/>
  <c r="CY37" i="2"/>
  <c r="CY188" i="2"/>
  <c r="CY135" i="2"/>
  <c r="CY143" i="2"/>
  <c r="CY48" i="2"/>
  <c r="CY195" i="2"/>
  <c r="CY54" i="2"/>
  <c r="CY60" i="2"/>
  <c r="CY156" i="2"/>
  <c r="CY22" i="2"/>
  <c r="CY196" i="2"/>
  <c r="CY192" i="2"/>
  <c r="CY32" i="2"/>
  <c r="CY175" i="2"/>
  <c r="CY152" i="2"/>
  <c r="CY81" i="2"/>
  <c r="CY98" i="2"/>
  <c r="CY141" i="2"/>
  <c r="CY104" i="2"/>
  <c r="CY5" i="2"/>
  <c r="CY190" i="2"/>
  <c r="CY78" i="2"/>
  <c r="CY23" i="2"/>
  <c r="CY117" i="2"/>
  <c r="CY26" i="2"/>
  <c r="CY180" i="2"/>
  <c r="CY126" i="2"/>
  <c r="CY148" i="2"/>
  <c r="CY109" i="2"/>
  <c r="CY127" i="2"/>
  <c r="CY166" i="2"/>
  <c r="CY69" i="2"/>
  <c r="CY128" i="2"/>
  <c r="CY25" i="2"/>
  <c r="CY96" i="2"/>
  <c r="CY10" i="2"/>
  <c r="CY93" i="2"/>
  <c r="CY147" i="2"/>
  <c r="CY114" i="2"/>
  <c r="CY4" i="2"/>
  <c r="CY49" i="2"/>
  <c r="CY89" i="2"/>
  <c r="CY177" i="2"/>
  <c r="CY77" i="2"/>
  <c r="CY55" i="2"/>
  <c r="CY7" i="2"/>
  <c r="CY191" i="2"/>
  <c r="CY173" i="2"/>
  <c r="CY136" i="2"/>
  <c r="CY145" i="2"/>
  <c r="CY27" i="2"/>
  <c r="CY21" i="2"/>
  <c r="CY203" i="2"/>
  <c r="CY87" i="2"/>
  <c r="CY53" i="2"/>
  <c r="CY45" i="2"/>
  <c r="CY6" i="2"/>
  <c r="CY42" i="2"/>
  <c r="CY164" i="2"/>
  <c r="CY28" i="2"/>
  <c r="CY46" i="2"/>
  <c r="CY88" i="2"/>
  <c r="CY160" i="2"/>
  <c r="CY79" i="2"/>
  <c r="CY118" i="2"/>
  <c r="CY65" i="2"/>
  <c r="CY131" i="2"/>
  <c r="CY186" i="2"/>
  <c r="CY9" i="2"/>
  <c r="CY33" i="2"/>
  <c r="CY112" i="2"/>
  <c r="CY80" i="2"/>
  <c r="CY36" i="2"/>
  <c r="CY34" i="2"/>
  <c r="CY11" i="2"/>
  <c r="CY149" i="2"/>
  <c r="CY115" i="2"/>
  <c r="CY61" i="2"/>
  <c r="CY41" i="2"/>
  <c r="CY122" i="2"/>
  <c r="CY30" i="2"/>
  <c r="CY3" i="2"/>
  <c r="C10" i="4" s="1"/>
  <c r="E10" i="4" s="1"/>
  <c r="F10" i="4" s="1"/>
  <c r="G10" i="4" s="1"/>
  <c r="L10" i="4" s="1"/>
  <c r="CY155" i="2"/>
  <c r="CY154" i="2"/>
  <c r="CY178" i="2"/>
  <c r="CY198" i="2"/>
  <c r="CY43" i="2"/>
  <c r="CY202" i="2"/>
  <c r="CY52" i="2"/>
  <c r="CY200" i="2"/>
  <c r="CY74" i="2"/>
  <c r="CY75" i="2"/>
  <c r="CY35" i="2"/>
  <c r="CY14" i="2"/>
  <c r="CY20" i="2"/>
  <c r="CY68" i="2"/>
  <c r="CY100" i="2"/>
  <c r="CY84" i="2"/>
  <c r="CY64" i="2"/>
  <c r="CY18" i="2"/>
  <c r="CY111" i="2"/>
  <c r="CY31" i="2"/>
  <c r="CY119" i="2"/>
  <c r="CY138" i="2"/>
  <c r="CY158" i="2"/>
  <c r="CY183" i="2"/>
  <c r="CY142" i="2"/>
  <c r="CY59" i="2"/>
  <c r="CY13" i="2"/>
  <c r="CY162" i="2"/>
  <c r="CY51" i="2"/>
  <c r="CY113" i="2"/>
  <c r="CY151" i="2"/>
  <c r="CY121" i="2"/>
  <c r="CY29" i="2"/>
  <c r="CY144" i="2"/>
  <c r="CY161" i="2"/>
  <c r="CY170" i="2"/>
  <c r="CY150" i="2"/>
  <c r="CY82" i="2"/>
  <c r="CY179" i="2"/>
  <c r="FJ91" i="2"/>
  <c r="FJ154" i="2"/>
  <c r="FJ90" i="2"/>
  <c r="FJ130" i="2"/>
  <c r="FJ185" i="2"/>
  <c r="FJ60" i="2"/>
  <c r="FJ22" i="2"/>
  <c r="FJ95" i="2"/>
  <c r="FJ73" i="2"/>
  <c r="FJ55" i="2"/>
  <c r="FJ200" i="2"/>
  <c r="FJ186" i="2"/>
  <c r="FJ157" i="2"/>
  <c r="FJ194" i="2"/>
  <c r="FJ199" i="2"/>
  <c r="FJ156" i="2"/>
  <c r="FJ81" i="2"/>
  <c r="FJ121" i="2"/>
  <c r="FJ197" i="2"/>
  <c r="FJ49" i="2"/>
  <c r="FJ6" i="2"/>
  <c r="FJ33" i="2"/>
  <c r="FJ75" i="2"/>
  <c r="FJ147" i="2"/>
  <c r="FJ187" i="2"/>
  <c r="FJ35" i="2"/>
  <c r="FJ15" i="2"/>
  <c r="FJ27" i="2"/>
  <c r="FJ181" i="2"/>
  <c r="FJ48" i="2"/>
  <c r="FJ83" i="2"/>
  <c r="FJ123" i="2"/>
  <c r="FJ131" i="2"/>
  <c r="FJ64" i="2"/>
  <c r="FJ150" i="2"/>
  <c r="FJ77" i="2"/>
  <c r="FJ43" i="2"/>
  <c r="FJ102" i="2"/>
  <c r="FJ3" i="2"/>
  <c r="C13" i="4" s="1"/>
  <c r="E13" i="4" s="1"/>
  <c r="F13" i="4" s="1"/>
  <c r="G13" i="4" s="1"/>
  <c r="L13" i="4" s="1"/>
  <c r="FJ111" i="2"/>
  <c r="FJ26" i="2"/>
  <c r="FJ10" i="2"/>
  <c r="FJ79" i="2"/>
  <c r="FJ4" i="2"/>
  <c r="FJ59" i="2"/>
  <c r="FJ32" i="2"/>
  <c r="FJ172" i="2"/>
  <c r="FJ108" i="2"/>
  <c r="FJ20" i="2"/>
  <c r="FJ45" i="2"/>
  <c r="FJ196" i="2"/>
  <c r="FJ84" i="2"/>
  <c r="FJ149" i="2"/>
  <c r="FJ164" i="2"/>
  <c r="FJ70" i="2"/>
  <c r="FJ148" i="2"/>
  <c r="FJ72" i="2"/>
  <c r="FJ167" i="2"/>
  <c r="FJ41" i="2"/>
  <c r="FJ113" i="2"/>
  <c r="FJ116" i="2"/>
  <c r="FJ201" i="2"/>
  <c r="FJ153" i="2"/>
  <c r="FJ175" i="2"/>
  <c r="FJ19" i="2"/>
  <c r="FJ89" i="2"/>
  <c r="FJ182" i="2"/>
  <c r="FJ21" i="2"/>
  <c r="FJ192" i="2"/>
  <c r="FJ183" i="2"/>
  <c r="FJ11" i="2"/>
  <c r="FJ18" i="2"/>
  <c r="FJ146" i="2"/>
  <c r="FJ119" i="2"/>
  <c r="FJ133" i="2"/>
  <c r="FJ155" i="2"/>
  <c r="FJ179" i="2"/>
  <c r="FJ198" i="2"/>
  <c r="FJ86" i="2"/>
  <c r="FJ109" i="2"/>
  <c r="FJ160" i="2"/>
  <c r="FJ161" i="2"/>
  <c r="FJ120" i="2"/>
  <c r="FJ37" i="2"/>
  <c r="FJ46" i="2"/>
  <c r="FJ24" i="2"/>
  <c r="FJ9" i="2"/>
  <c r="FJ85" i="2"/>
  <c r="FJ17" i="2"/>
  <c r="FJ188" i="2"/>
  <c r="FJ132" i="2"/>
  <c r="FJ180" i="2"/>
  <c r="FJ98" i="2"/>
  <c r="FJ69" i="2"/>
  <c r="FJ16" i="2"/>
  <c r="FJ63" i="2"/>
  <c r="FJ66" i="2"/>
  <c r="FJ159" i="2"/>
  <c r="FJ82" i="2"/>
  <c r="FJ124" i="2"/>
  <c r="FJ94" i="2"/>
  <c r="FJ177" i="2"/>
  <c r="FJ92" i="2"/>
  <c r="FJ138" i="2"/>
  <c r="FJ103" i="2"/>
  <c r="FJ52" i="2"/>
  <c r="FJ40" i="2"/>
  <c r="FJ112" i="2"/>
  <c r="FJ195" i="2"/>
  <c r="FJ29" i="2"/>
  <c r="FJ7" i="2"/>
  <c r="FJ71" i="2"/>
  <c r="FJ76" i="2"/>
  <c r="FJ126" i="2"/>
  <c r="FJ38" i="2"/>
  <c r="FJ39" i="2"/>
  <c r="FJ193" i="2"/>
  <c r="FJ125" i="2"/>
  <c r="FJ189" i="2"/>
  <c r="FJ184" i="2"/>
  <c r="FJ110" i="2"/>
  <c r="FJ93" i="2"/>
  <c r="FJ174" i="2"/>
  <c r="FJ30" i="2"/>
  <c r="FJ97" i="2"/>
  <c r="FJ36" i="2"/>
  <c r="FJ61" i="2"/>
  <c r="FJ28" i="2"/>
  <c r="FJ51" i="2"/>
  <c r="FJ122" i="2"/>
  <c r="FJ80" i="2"/>
  <c r="FJ78" i="2"/>
  <c r="FJ143" i="2"/>
  <c r="FJ135" i="2"/>
  <c r="FJ100" i="2"/>
  <c r="FJ191" i="2"/>
  <c r="FJ151" i="2"/>
  <c r="FJ31" i="2"/>
  <c r="FJ142" i="2"/>
  <c r="FJ152" i="2"/>
  <c r="FJ34" i="2"/>
  <c r="FJ8" i="2"/>
  <c r="FJ136" i="2"/>
  <c r="FJ74" i="2"/>
  <c r="FJ134" i="2"/>
  <c r="FJ25" i="2"/>
  <c r="FJ144" i="2"/>
  <c r="FJ56" i="2"/>
  <c r="FJ88" i="2"/>
  <c r="FJ65" i="2"/>
  <c r="FJ87" i="2"/>
  <c r="FJ145" i="2"/>
  <c r="FJ42" i="2"/>
  <c r="FJ54" i="2"/>
  <c r="FJ68" i="2"/>
  <c r="FJ178" i="2"/>
  <c r="FJ190" i="2"/>
  <c r="FJ117" i="2"/>
  <c r="FJ50" i="2"/>
  <c r="FJ118" i="2"/>
  <c r="FJ163" i="2"/>
  <c r="FJ127" i="2"/>
  <c r="FJ202" i="2"/>
  <c r="FJ115" i="2"/>
  <c r="FJ62" i="2"/>
  <c r="FJ166" i="2"/>
  <c r="FJ99" i="2"/>
  <c r="FJ105" i="2"/>
  <c r="FJ173" i="2"/>
  <c r="FJ170" i="2"/>
  <c r="FJ158" i="2"/>
  <c r="FJ13" i="2"/>
  <c r="FJ101" i="2"/>
  <c r="FJ104" i="2"/>
  <c r="FJ169" i="2"/>
  <c r="FJ107" i="2"/>
  <c r="FJ203" i="2"/>
  <c r="FJ57" i="2"/>
  <c r="FJ114" i="2"/>
  <c r="FJ168" i="2"/>
  <c r="FJ53" i="2"/>
  <c r="FJ106" i="2"/>
  <c r="FJ137" i="2"/>
  <c r="FJ162" i="2"/>
  <c r="FJ165" i="2"/>
  <c r="FJ139" i="2"/>
  <c r="FJ96" i="2"/>
  <c r="FJ12" i="2"/>
  <c r="FJ141" i="2"/>
  <c r="FJ47" i="2"/>
  <c r="FJ171" i="2"/>
  <c r="FJ67" i="2"/>
  <c r="FJ129" i="2"/>
  <c r="FJ14" i="2"/>
  <c r="FJ128" i="2"/>
  <c r="FJ23" i="2"/>
  <c r="FJ58" i="2"/>
  <c r="FJ140" i="2"/>
  <c r="FJ44" i="2"/>
  <c r="FJ5" i="2"/>
  <c r="FJ176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DT57" i="2" s="1"/>
  <c r="CT154" i="2"/>
  <c r="CU153" i="2"/>
  <c r="CV153" i="2" s="1"/>
  <c r="CW153" i="2" s="1"/>
  <c r="CX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71" i="2" l="1"/>
  <c r="EO197" i="2"/>
  <c r="EO138" i="2"/>
  <c r="EO35" i="2"/>
  <c r="EO108" i="2"/>
  <c r="EO83" i="2"/>
  <c r="EO52" i="2"/>
  <c r="EO113" i="2"/>
  <c r="EO40" i="2"/>
  <c r="EO7" i="2"/>
  <c r="EO44" i="2"/>
  <c r="EO98" i="2"/>
  <c r="EO146" i="2"/>
  <c r="EO11" i="2"/>
  <c r="EO136" i="2"/>
  <c r="EO187" i="2"/>
  <c r="EO26" i="2"/>
  <c r="EO91" i="2"/>
  <c r="EO82" i="2"/>
  <c r="EO143" i="2"/>
  <c r="EO69" i="2"/>
  <c r="EO128" i="2"/>
  <c r="EO65" i="2"/>
  <c r="EO162" i="2"/>
  <c r="EO61" i="2"/>
  <c r="EO202" i="2"/>
  <c r="EO158" i="2"/>
  <c r="EO80" i="2"/>
  <c r="EO111" i="2"/>
  <c r="EO24" i="2"/>
  <c r="EO129" i="2"/>
  <c r="EO139" i="2"/>
  <c r="EO180" i="2"/>
  <c r="EO200" i="2"/>
  <c r="EO122" i="2"/>
  <c r="EO112" i="2"/>
  <c r="EO23" i="2"/>
  <c r="EO95" i="2"/>
  <c r="EO135" i="2"/>
  <c r="EO166" i="2"/>
  <c r="EO70" i="2"/>
  <c r="EO161" i="2"/>
  <c r="EO177" i="2"/>
  <c r="EO86" i="2"/>
  <c r="EO97" i="2"/>
  <c r="EO22" i="2"/>
  <c r="EO107" i="2"/>
  <c r="EO168" i="2"/>
  <c r="EO62" i="2"/>
  <c r="EO77" i="2"/>
  <c r="EO154" i="2"/>
  <c r="EO68" i="2"/>
  <c r="EO48" i="2"/>
  <c r="EO38" i="2"/>
  <c r="EO51" i="2"/>
  <c r="EO96" i="2"/>
  <c r="EO114" i="2"/>
  <c r="EO124" i="2"/>
  <c r="EO101" i="2"/>
  <c r="EO133" i="2"/>
  <c r="EO153" i="2"/>
  <c r="EO160" i="2"/>
  <c r="EO167" i="2"/>
  <c r="EO192" i="2"/>
  <c r="EO152" i="2"/>
  <c r="EO56" i="2"/>
  <c r="EO105" i="2"/>
  <c r="EO41" i="2"/>
  <c r="EO132" i="2"/>
  <c r="EO156" i="2"/>
  <c r="EO20" i="2"/>
  <c r="EO121" i="2"/>
  <c r="EO155" i="2"/>
  <c r="EO102" i="2"/>
  <c r="EO130" i="2"/>
  <c r="EO145" i="2"/>
  <c r="EO16" i="2"/>
  <c r="EO181" i="2"/>
  <c r="EO137" i="2"/>
  <c r="EO191" i="2"/>
  <c r="EO106" i="2"/>
  <c r="EO117" i="2"/>
  <c r="EO201" i="2"/>
  <c r="EO75" i="2"/>
  <c r="EO148" i="2"/>
  <c r="EO109" i="2"/>
  <c r="EO30" i="2"/>
  <c r="EO131" i="2"/>
  <c r="EO184" i="2"/>
  <c r="EO125" i="2"/>
  <c r="EO164" i="2"/>
  <c r="EO4" i="2"/>
  <c r="EO100" i="2"/>
  <c r="EO81" i="2"/>
  <c r="EO21" i="2"/>
  <c r="EO179" i="2"/>
  <c r="EO182" i="2"/>
  <c r="EO3" i="2"/>
  <c r="C12" i="4" s="1"/>
  <c r="E12" i="4" s="1"/>
  <c r="F12" i="4" s="1"/>
  <c r="G12" i="4" s="1"/>
  <c r="L12" i="4" s="1"/>
  <c r="EO123" i="2"/>
  <c r="EO19" i="2"/>
  <c r="EO159" i="2"/>
  <c r="EO74" i="2"/>
  <c r="EO194" i="2"/>
  <c r="EO92" i="2"/>
  <c r="EO176" i="2"/>
  <c r="EO9" i="2"/>
  <c r="EO66" i="2"/>
  <c r="EO79" i="2"/>
  <c r="EO149" i="2"/>
  <c r="EO171" i="2"/>
  <c r="EO119" i="2"/>
  <c r="EO199" i="2"/>
  <c r="EO103" i="2"/>
  <c r="EO55" i="2"/>
  <c r="EO163" i="2"/>
  <c r="EO120" i="2"/>
  <c r="EO17" i="2"/>
  <c r="EO140" i="2"/>
  <c r="EO90" i="2"/>
  <c r="EO190" i="2"/>
  <c r="EO37" i="2"/>
  <c r="EO126" i="2"/>
  <c r="EO142" i="2"/>
  <c r="EO63" i="2"/>
  <c r="EO28" i="2"/>
  <c r="EO93" i="2"/>
  <c r="EO39" i="2"/>
  <c r="EO34" i="2"/>
  <c r="EO150" i="2"/>
  <c r="EO134" i="2"/>
  <c r="EO178" i="2"/>
  <c r="EO173" i="2"/>
  <c r="EO147" i="2"/>
  <c r="EO141" i="2"/>
  <c r="EO42" i="2"/>
  <c r="EO46" i="2"/>
  <c r="EO195" i="2"/>
  <c r="EO104" i="2"/>
  <c r="EO89" i="2"/>
  <c r="EO175" i="2"/>
  <c r="EO29" i="2"/>
  <c r="EO18" i="2"/>
  <c r="EO54" i="2"/>
  <c r="EO72" i="2"/>
  <c r="EO94" i="2"/>
  <c r="EO87" i="2"/>
  <c r="EO198" i="2"/>
  <c r="EO127" i="2"/>
  <c r="EO60" i="2"/>
  <c r="EO45" i="2"/>
  <c r="EO50" i="2"/>
  <c r="EO8" i="2"/>
  <c r="EO144" i="2"/>
  <c r="EO67" i="2"/>
  <c r="EO64" i="2"/>
  <c r="EO47" i="2"/>
  <c r="EO43" i="2"/>
  <c r="EO31" i="2"/>
  <c r="EO169" i="2"/>
  <c r="EO10" i="2"/>
  <c r="EO118" i="2"/>
  <c r="EO203" i="2"/>
  <c r="EO15" i="2"/>
  <c r="EO12" i="2"/>
  <c r="EO14" i="2"/>
  <c r="EO76" i="2"/>
  <c r="EO172" i="2"/>
  <c r="EO33" i="2"/>
  <c r="EO32" i="2"/>
  <c r="EO85" i="2"/>
  <c r="EO165" i="2"/>
  <c r="EO151" i="2"/>
  <c r="EO174" i="2"/>
  <c r="EO115" i="2"/>
  <c r="EO116" i="2"/>
  <c r="EO78" i="2"/>
  <c r="EO53" i="2"/>
  <c r="EO57" i="2"/>
  <c r="EO84" i="2"/>
  <c r="EO13" i="2"/>
  <c r="EO157" i="2"/>
  <c r="EO110" i="2"/>
  <c r="EO58" i="2"/>
  <c r="EO188" i="2"/>
  <c r="EO189" i="2"/>
  <c r="EO196" i="2"/>
  <c r="EO6" i="2"/>
  <c r="EO36" i="2"/>
  <c r="EO27" i="2"/>
  <c r="EO49" i="2"/>
  <c r="EO88" i="2"/>
  <c r="EO185" i="2"/>
  <c r="EO99" i="2"/>
  <c r="EO5" i="2"/>
  <c r="EO170" i="2"/>
  <c r="EO186" i="2"/>
  <c r="EO193" i="2"/>
  <c r="EO25" i="2"/>
  <c r="EO59" i="2"/>
  <c r="EO183" i="2"/>
  <c r="EO73" i="2"/>
  <c r="DT144" i="2"/>
  <c r="DT94" i="2"/>
  <c r="DT138" i="2"/>
  <c r="DT197" i="2"/>
  <c r="DT100" i="2"/>
  <c r="DT99" i="2"/>
  <c r="DT161" i="2"/>
  <c r="DT140" i="2"/>
  <c r="DT83" i="2"/>
  <c r="DT147" i="2"/>
  <c r="DT59" i="2"/>
  <c r="DT8" i="2"/>
  <c r="DT29" i="2"/>
  <c r="DT77" i="2"/>
  <c r="DT32" i="2"/>
  <c r="DT86" i="2"/>
  <c r="DT102" i="2"/>
  <c r="DT17" i="2"/>
  <c r="DT11" i="2"/>
  <c r="DT101" i="2"/>
  <c r="DT5" i="2"/>
  <c r="DT191" i="2"/>
  <c r="DT69" i="2"/>
  <c r="DT112" i="2"/>
  <c r="DT143" i="2"/>
  <c r="DT107" i="2"/>
  <c r="DT16" i="2"/>
  <c r="DT183" i="2"/>
  <c r="DT39" i="2"/>
  <c r="DT171" i="2"/>
  <c r="DT38" i="2"/>
  <c r="DT95" i="2"/>
  <c r="DT87" i="2"/>
  <c r="DT163" i="2"/>
  <c r="DT9" i="2"/>
  <c r="DT53" i="2"/>
  <c r="DT119" i="2"/>
  <c r="DT37" i="2"/>
  <c r="DT158" i="2"/>
  <c r="DT116" i="2"/>
  <c r="DT151" i="2"/>
  <c r="DT52" i="2"/>
  <c r="DT22" i="2"/>
  <c r="DT132" i="2"/>
  <c r="DT129" i="2"/>
  <c r="DT91" i="2"/>
  <c r="DT155" i="2"/>
  <c r="DT26" i="2"/>
  <c r="DT149" i="2"/>
  <c r="DT27" i="2"/>
  <c r="DT134" i="2"/>
  <c r="DT74" i="2"/>
  <c r="DT135" i="2"/>
  <c r="DT187" i="2"/>
  <c r="DT90" i="2"/>
  <c r="DT154" i="2"/>
  <c r="DT71" i="2"/>
  <c r="DT115" i="2"/>
  <c r="DT47" i="2"/>
  <c r="DT103" i="2"/>
  <c r="DT109" i="2"/>
  <c r="DT84" i="2"/>
  <c r="DT156" i="2"/>
  <c r="DT164" i="2"/>
  <c r="DT92" i="2"/>
  <c r="DT202" i="2"/>
  <c r="DT186" i="2"/>
  <c r="DT110" i="2"/>
  <c r="DT150" i="2"/>
  <c r="DT141" i="2"/>
  <c r="DT130" i="2"/>
  <c r="DT13" i="2"/>
  <c r="DT54" i="2"/>
  <c r="DT139" i="2"/>
  <c r="DT127" i="2"/>
  <c r="DT126" i="2"/>
  <c r="DT72" i="2"/>
  <c r="DT172" i="2"/>
  <c r="DT70" i="2"/>
  <c r="DT49" i="2"/>
  <c r="DT193" i="2"/>
  <c r="DT117" i="2"/>
  <c r="DT64" i="2"/>
  <c r="DT180" i="2"/>
  <c r="DT46" i="2"/>
  <c r="DT20" i="2"/>
  <c r="DT194" i="2"/>
  <c r="DT89" i="2"/>
  <c r="DT6" i="2"/>
  <c r="DT43" i="2"/>
  <c r="DT195" i="2"/>
  <c r="DT78" i="2"/>
  <c r="DT93" i="2"/>
  <c r="DT96" i="2"/>
  <c r="DT21" i="2"/>
  <c r="DT31" i="2"/>
  <c r="DT80" i="2"/>
  <c r="DT105" i="2"/>
  <c r="DT196" i="2"/>
  <c r="DT166" i="2"/>
  <c r="DT184" i="2"/>
  <c r="DT177" i="2"/>
  <c r="DT56" i="2"/>
  <c r="DT123" i="2"/>
  <c r="DT162" i="2"/>
  <c r="DT168" i="2"/>
  <c r="DT114" i="2"/>
  <c r="DT18" i="2"/>
  <c r="DT76" i="2"/>
  <c r="DT182" i="2"/>
  <c r="DT51" i="2"/>
  <c r="DT4" i="2"/>
  <c r="DT73" i="2"/>
  <c r="DT152" i="2"/>
  <c r="DT44" i="2"/>
  <c r="DT179" i="2"/>
  <c r="DT199" i="2"/>
  <c r="DT68" i="2"/>
  <c r="DT190" i="2"/>
  <c r="DT63" i="2"/>
  <c r="DT173" i="2"/>
  <c r="DT50" i="2"/>
  <c r="DT136" i="2"/>
  <c r="DT145" i="2"/>
  <c r="DT120" i="2"/>
  <c r="DT189" i="2"/>
  <c r="DT185" i="2"/>
  <c r="DT192" i="2"/>
  <c r="DT55" i="2"/>
  <c r="DT200" i="2"/>
  <c r="DT160" i="2"/>
  <c r="DT178" i="2"/>
  <c r="DT118" i="2"/>
  <c r="DT30" i="2"/>
  <c r="DT19" i="2"/>
  <c r="DT137" i="2"/>
  <c r="DT42" i="2"/>
  <c r="DT34" i="2"/>
  <c r="DT104" i="2"/>
  <c r="DT201" i="2"/>
  <c r="DT125" i="2"/>
  <c r="DT40" i="2"/>
  <c r="DT181" i="2"/>
  <c r="DT167" i="2"/>
  <c r="DT61" i="2"/>
  <c r="DT65" i="2"/>
  <c r="DT25" i="2"/>
  <c r="DT175" i="2"/>
  <c r="DT58" i="2"/>
  <c r="DT142" i="2"/>
  <c r="DT188" i="2"/>
  <c r="DT45" i="2"/>
  <c r="DT121" i="2"/>
  <c r="DT98" i="2"/>
  <c r="DT198" i="2"/>
  <c r="DT35" i="2"/>
  <c r="DT122" i="2"/>
  <c r="DT60" i="2"/>
  <c r="DT157" i="2"/>
  <c r="DT88" i="2"/>
  <c r="DT3" i="2"/>
  <c r="C11" i="4" s="1"/>
  <c r="E11" i="4" s="1"/>
  <c r="F11" i="4" s="1"/>
  <c r="G11" i="4" s="1"/>
  <c r="L11" i="4" s="1"/>
  <c r="DT153" i="2"/>
  <c r="DT148" i="2"/>
  <c r="DT113" i="2"/>
  <c r="DT82" i="2"/>
  <c r="DT81" i="2"/>
  <c r="DT48" i="2"/>
  <c r="DT165" i="2"/>
  <c r="DT36" i="2"/>
  <c r="DT169" i="2"/>
  <c r="DT28" i="2"/>
  <c r="DT159" i="2"/>
  <c r="DT14" i="2"/>
  <c r="DT41" i="2"/>
  <c r="DT170" i="2"/>
  <c r="DT12" i="2"/>
  <c r="DT174" i="2"/>
  <c r="DT33" i="2"/>
  <c r="DT108" i="2"/>
  <c r="DT7" i="2"/>
  <c r="DT97" i="2"/>
  <c r="DT203" i="2"/>
  <c r="DT131" i="2"/>
  <c r="DT75" i="2"/>
  <c r="DT10" i="2"/>
  <c r="DT15" i="2"/>
  <c r="DT62" i="2"/>
  <c r="DT79" i="2"/>
  <c r="DT128" i="2"/>
  <c r="DT176" i="2"/>
  <c r="DT24" i="2"/>
  <c r="DT111" i="2"/>
  <c r="DT23" i="2"/>
  <c r="DT146" i="2"/>
  <c r="DT124" i="2"/>
  <c r="DT133" i="2"/>
  <c r="DT106" i="2"/>
  <c r="DT67" i="2"/>
  <c r="DT66" i="2"/>
  <c r="DT85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20" i="2" l="1"/>
  <c r="BI43" i="2"/>
  <c r="BI93" i="2"/>
  <c r="BI4" i="2"/>
  <c r="BI180" i="2"/>
  <c r="BI23" i="2"/>
  <c r="BI194" i="2"/>
  <c r="BI15" i="2"/>
  <c r="BI30" i="2"/>
  <c r="BI106" i="2"/>
  <c r="BI86" i="2"/>
  <c r="BI148" i="2"/>
  <c r="BI121" i="2"/>
  <c r="BI34" i="2"/>
  <c r="BI8" i="2"/>
  <c r="BI66" i="2"/>
  <c r="BI19" i="2"/>
  <c r="BI16" i="2"/>
  <c r="BI198" i="2"/>
  <c r="BI17" i="2"/>
  <c r="BI146" i="2"/>
  <c r="BI123" i="2"/>
  <c r="BI5" i="2"/>
  <c r="BI10" i="2"/>
  <c r="BI161" i="2"/>
  <c r="BI80" i="2"/>
  <c r="BI137" i="2"/>
  <c r="BI159" i="2"/>
  <c r="BI85" i="2"/>
  <c r="BI74" i="2"/>
  <c r="BI196" i="2"/>
  <c r="BI40" i="2"/>
  <c r="BI118" i="2"/>
  <c r="BI111" i="2"/>
  <c r="BI108" i="2"/>
  <c r="BI202" i="2"/>
  <c r="BI50" i="2"/>
  <c r="BI179" i="2"/>
  <c r="BI84" i="2"/>
  <c r="BI31" i="2"/>
  <c r="BI90" i="2"/>
  <c r="BI41" i="2"/>
  <c r="BI166" i="2"/>
  <c r="BI78" i="2"/>
  <c r="BI151" i="2"/>
  <c r="BI133" i="2"/>
  <c r="BI190" i="2"/>
  <c r="BI197" i="2"/>
  <c r="BI170" i="2"/>
  <c r="BI126" i="2"/>
  <c r="BI191" i="2"/>
  <c r="BI47" i="2"/>
  <c r="BI96" i="2"/>
  <c r="BI177" i="2"/>
  <c r="BI79" i="2"/>
  <c r="BI67" i="2"/>
  <c r="BI176" i="2"/>
  <c r="BI172" i="2"/>
  <c r="BI201" i="2"/>
  <c r="BI164" i="2"/>
  <c r="BI117" i="2"/>
  <c r="BI94" i="2"/>
  <c r="BI9" i="2"/>
  <c r="BI141" i="2"/>
  <c r="BI73" i="2"/>
  <c r="BI13" i="2"/>
  <c r="BI163" i="2"/>
  <c r="BI24" i="2"/>
  <c r="BI114" i="2"/>
  <c r="BI184" i="2"/>
  <c r="BI37" i="2"/>
  <c r="BI38" i="2"/>
  <c r="BI160" i="2"/>
  <c r="BI178" i="2"/>
  <c r="BI70" i="2"/>
  <c r="BI187" i="2"/>
  <c r="BI150" i="2"/>
  <c r="BI119" i="2"/>
  <c r="BI45" i="2"/>
  <c r="BI109" i="2"/>
  <c r="BI149" i="2"/>
  <c r="BI107" i="2"/>
  <c r="BI154" i="2"/>
  <c r="BI49" i="2"/>
  <c r="BI59" i="2"/>
  <c r="BI112" i="2"/>
  <c r="BI27" i="2"/>
  <c r="BI124" i="2"/>
  <c r="BI136" i="2"/>
  <c r="BI39" i="2"/>
  <c r="BI144" i="2"/>
  <c r="BI55" i="2"/>
  <c r="BI46" i="2"/>
  <c r="BI3" i="2"/>
  <c r="C8" i="4" s="1"/>
  <c r="E8" i="4" s="1"/>
  <c r="F8" i="4" s="1"/>
  <c r="G8" i="4" s="1"/>
  <c r="L8" i="4" s="1"/>
  <c r="BI165" i="2"/>
  <c r="BI105" i="2"/>
  <c r="BI169" i="2"/>
  <c r="BI99" i="2"/>
  <c r="BI21" i="2"/>
  <c r="BI83" i="2"/>
  <c r="BI139" i="2"/>
  <c r="BI152" i="2"/>
  <c r="BI22" i="2"/>
  <c r="BI35" i="2"/>
  <c r="BI134" i="2"/>
  <c r="BI58" i="2"/>
  <c r="BI48" i="2"/>
  <c r="BI130" i="2"/>
  <c r="BI195" i="2"/>
  <c r="BI162" i="2"/>
  <c r="BI65" i="2"/>
  <c r="BI156" i="2"/>
  <c r="BI113" i="2"/>
  <c r="BI140" i="2"/>
  <c r="BI127" i="2"/>
  <c r="BI168" i="2"/>
  <c r="BI142" i="2"/>
  <c r="BI125" i="2"/>
  <c r="BI25" i="2"/>
  <c r="BI145" i="2"/>
  <c r="BI60" i="2"/>
  <c r="BI76" i="2"/>
  <c r="BI32" i="2"/>
  <c r="BI18" i="2"/>
  <c r="BI128" i="2"/>
  <c r="BI157" i="2"/>
  <c r="BI63" i="2"/>
  <c r="BI199" i="2"/>
  <c r="BI42" i="2"/>
  <c r="BI81" i="2"/>
  <c r="BI181" i="2"/>
  <c r="BI102" i="2"/>
  <c r="BI57" i="2"/>
  <c r="BI143" i="2"/>
  <c r="BI132" i="2"/>
  <c r="BI158" i="2"/>
  <c r="BI110" i="2"/>
  <c r="BI104" i="2"/>
  <c r="BI69" i="2"/>
  <c r="BI6" i="2"/>
  <c r="BI183" i="2"/>
  <c r="BI75" i="2"/>
  <c r="BI135" i="2"/>
  <c r="BI97" i="2"/>
  <c r="BI29" i="2"/>
  <c r="BI174" i="2"/>
  <c r="BI11" i="2"/>
  <c r="BI28" i="2"/>
  <c r="BI193" i="2"/>
  <c r="BI92" i="2"/>
  <c r="BI100" i="2"/>
  <c r="BI53" i="2"/>
  <c r="BI171" i="2"/>
  <c r="BI64" i="2"/>
  <c r="BI98" i="2"/>
  <c r="BI62" i="2"/>
  <c r="BI155" i="2"/>
  <c r="BI115" i="2"/>
  <c r="BI147" i="2"/>
  <c r="BI72" i="2"/>
  <c r="BI88" i="2"/>
  <c r="BI61" i="2"/>
  <c r="BI192" i="2"/>
  <c r="BI138" i="2"/>
  <c r="BI103" i="2"/>
  <c r="BI87" i="2"/>
  <c r="BI89" i="2"/>
  <c r="BI56" i="2"/>
  <c r="BI120" i="2"/>
  <c r="BI173" i="2"/>
  <c r="BI167" i="2"/>
  <c r="BI122" i="2"/>
  <c r="BI14" i="2"/>
  <c r="BI153" i="2"/>
  <c r="BI36" i="2"/>
  <c r="BI116" i="2"/>
  <c r="BI51" i="2"/>
  <c r="BI77" i="2"/>
  <c r="BI12" i="2"/>
  <c r="BI54" i="2"/>
  <c r="BI200" i="2"/>
  <c r="BI82" i="2"/>
  <c r="BI91" i="2"/>
  <c r="BI175" i="2"/>
  <c r="BI68" i="2"/>
  <c r="BI186" i="2"/>
  <c r="BI203" i="2"/>
  <c r="BI101" i="2"/>
  <c r="BI189" i="2"/>
  <c r="BI182" i="2"/>
  <c r="BI185" i="2"/>
  <c r="BI7" i="2"/>
  <c r="BI33" i="2"/>
  <c r="BI44" i="2"/>
  <c r="BI95" i="2"/>
  <c r="BI26" i="2"/>
  <c r="BI129" i="2"/>
  <c r="BI52" i="2"/>
  <c r="BI131" i="2"/>
  <c r="BI188" i="2"/>
  <c r="BI71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CF21" i="2"/>
  <c r="CG140" i="2"/>
  <c r="CF104" i="2"/>
  <c r="CG52" i="2"/>
  <c r="CH11" i="2"/>
  <c r="BV9" i="2"/>
  <c r="CG193" i="2"/>
  <c r="CF45" i="2"/>
  <c r="BV118" i="2"/>
  <c r="BV82" i="2"/>
  <c r="CF30" i="2"/>
  <c r="CI148" i="2"/>
  <c r="CJ149" i="2"/>
  <c r="CH171" i="2"/>
  <c r="CJ188" i="2"/>
  <c r="CF96" i="2"/>
  <c r="CH60" i="2"/>
  <c r="CG8" i="2"/>
  <c r="BV126" i="2"/>
  <c r="CG127" i="2"/>
  <c r="CI75" i="2"/>
  <c r="CI161" i="2"/>
  <c r="CH50" i="2"/>
  <c r="BV14" i="2"/>
  <c r="CH132" i="2"/>
  <c r="CH80" i="2"/>
  <c r="BV81" i="2"/>
  <c r="CJ171" i="2"/>
  <c r="CG187" i="2"/>
  <c r="CI28" i="2"/>
  <c r="BV154" i="2"/>
  <c r="CH110" i="2"/>
  <c r="CH58" i="2"/>
  <c r="CJ59" i="2"/>
  <c r="CG75" i="2"/>
  <c r="CH159" i="2"/>
  <c r="BV6" i="2"/>
  <c r="BV132" i="2"/>
  <c r="CI88" i="2"/>
  <c r="BV36" i="2"/>
  <c r="CF37" i="2"/>
  <c r="CH163" i="2"/>
  <c r="BV43" i="2"/>
  <c r="CF153" i="2"/>
  <c r="CF110" i="2"/>
  <c r="CG66" i="2"/>
  <c r="CI14" i="2"/>
  <c r="BV15" i="2"/>
  <c r="CH141" i="2"/>
  <c r="CH189" i="2"/>
  <c r="CJ131" i="2"/>
  <c r="CJ88" i="2"/>
  <c r="CH44" i="2"/>
  <c r="CF162" i="2"/>
  <c r="CI121" i="2"/>
  <c r="BV119" i="2"/>
  <c r="CF165" i="2"/>
  <c r="BV109" i="2"/>
  <c r="CH66" i="2"/>
  <c r="BV22" i="2"/>
  <c r="CJ140" i="2"/>
  <c r="CG99" i="2"/>
  <c r="CJ97" i="2"/>
  <c r="CF53" i="2"/>
  <c r="CG87" i="2"/>
  <c r="CJ44" i="2"/>
  <c r="CH170" i="2"/>
  <c r="CF118" i="2"/>
  <c r="CG77" i="2"/>
  <c r="CH75" i="2"/>
  <c r="CF191" i="2"/>
  <c r="CH65" i="2"/>
  <c r="CF22" i="2"/>
  <c r="CH148" i="2"/>
  <c r="CH96" i="2"/>
  <c r="CG55" i="2"/>
  <c r="BV53" i="2"/>
  <c r="BV168" i="2"/>
  <c r="CH43" i="2"/>
  <c r="CI162" i="2"/>
  <c r="CJ126" i="2"/>
  <c r="CH74" i="2"/>
  <c r="CF33" i="2"/>
  <c r="CG31" i="2"/>
  <c r="BV65" i="2"/>
  <c r="CJ45" i="2"/>
  <c r="BV205" i="2"/>
  <c r="BV128" i="2"/>
  <c r="CH76" i="2"/>
  <c r="CJ35" i="2"/>
  <c r="CJ33" i="2"/>
  <c r="CJ77" i="2"/>
  <c r="CG23" i="2"/>
  <c r="CI142" i="2"/>
  <c r="CI106" i="2"/>
  <c r="BV54" i="2"/>
  <c r="CH13" i="2"/>
  <c r="CI11" i="2"/>
  <c r="BV195" i="2"/>
  <c r="CG57" i="2"/>
  <c r="CG120" i="2"/>
  <c r="BV84" i="2"/>
  <c r="CJ32" i="2"/>
  <c r="CJ150" i="2"/>
  <c r="CF151" i="2"/>
  <c r="CH173" i="2"/>
  <c r="BV190" i="2"/>
  <c r="BV74" i="2"/>
  <c r="CI38" i="2"/>
  <c r="BV156" i="2"/>
  <c r="CI104" i="2"/>
  <c r="CI105" i="2"/>
  <c r="CG195" i="2"/>
  <c r="CI43" i="2"/>
  <c r="BV52" i="2"/>
  <c r="CF16" i="2"/>
  <c r="CJ134" i="2"/>
  <c r="CI82" i="2"/>
  <c r="CF83" i="2"/>
  <c r="BV173" i="2"/>
  <c r="CF189" i="2"/>
  <c r="CJ30" i="2"/>
  <c r="CH156" i="2"/>
  <c r="CI112" i="2"/>
  <c r="CF60" i="2"/>
  <c r="CI61" i="2"/>
  <c r="CI87" i="2"/>
  <c r="CI165" i="2"/>
  <c r="CF8" i="2"/>
  <c r="CI134" i="2"/>
  <c r="CG90" i="2"/>
  <c r="CG38" i="2"/>
  <c r="CJ39" i="2"/>
  <c r="CJ165" i="2"/>
  <c r="CJ55" i="2"/>
  <c r="CJ155" i="2"/>
  <c r="BV112" i="2"/>
  <c r="CH68" i="2"/>
  <c r="CJ16" i="2"/>
  <c r="BV17" i="2"/>
  <c r="CG143" i="2"/>
  <c r="BV191" i="2"/>
  <c r="CF133" i="2"/>
  <c r="BV90" i="2"/>
  <c r="CF46" i="2"/>
  <c r="CG164" i="2"/>
  <c r="CJ123" i="2"/>
  <c r="BV121" i="2"/>
  <c r="CJ168" i="2"/>
  <c r="BV111" i="2"/>
  <c r="CF68" i="2"/>
  <c r="CF24" i="2"/>
  <c r="BV142" i="2"/>
  <c r="CI101" i="2"/>
  <c r="BV99" i="2"/>
  <c r="CG65" i="2"/>
  <c r="BV89" i="2"/>
  <c r="BV46" i="2"/>
  <c r="CH3" i="2"/>
  <c r="CH120" i="2"/>
  <c r="CI79" i="2"/>
  <c r="CH77" i="2"/>
  <c r="CI193" i="2"/>
  <c r="CG67" i="2"/>
  <c r="CG24" i="2"/>
  <c r="CH150" i="2"/>
  <c r="CG98" i="2"/>
  <c r="CH57" i="2"/>
  <c r="BV55" i="2"/>
  <c r="CF171" i="2"/>
  <c r="CI69" i="2"/>
  <c r="CH26" i="2"/>
  <c r="CG152" i="2"/>
  <c r="CJ100" i="2"/>
  <c r="CF59" i="2"/>
  <c r="CI57" i="2"/>
  <c r="CG173" i="2"/>
  <c r="BV47" i="2"/>
  <c r="BV4" i="2"/>
  <c r="CJ130" i="2"/>
  <c r="CH78" i="2"/>
  <c r="CJ37" i="2"/>
  <c r="CG35" i="2"/>
  <c r="CH89" i="2"/>
  <c r="CF25" i="2"/>
  <c r="BV144" i="2"/>
  <c r="CF108" i="2"/>
  <c r="CI56" i="2"/>
  <c r="CG15" i="2"/>
  <c r="CJ13" i="2"/>
  <c r="CJ197" i="2"/>
  <c r="CJ4" i="2"/>
  <c r="CF98" i="2"/>
  <c r="CJ62" i="2"/>
  <c r="BV10" i="2"/>
  <c r="CH128" i="2"/>
  <c r="CJ129" i="2"/>
  <c r="BV87" i="2"/>
  <c r="CH165" i="2"/>
  <c r="CF76" i="2"/>
  <c r="CI40" i="2"/>
  <c r="CH158" i="2"/>
  <c r="CF106" i="2"/>
  <c r="CH107" i="2"/>
  <c r="CI197" i="2"/>
  <c r="CH55" i="2"/>
  <c r="CF54" i="2"/>
  <c r="BV18" i="2"/>
  <c r="CF136" i="2"/>
  <c r="CH84" i="2"/>
  <c r="CH85" i="2"/>
  <c r="BV175" i="2"/>
  <c r="CI191" i="2"/>
  <c r="CH32" i="2"/>
  <c r="CI158" i="2"/>
  <c r="BV114" i="2"/>
  <c r="BV62" i="2"/>
  <c r="CG63" i="2"/>
  <c r="CI99" i="2"/>
  <c r="CF168" i="2"/>
  <c r="CJ10" i="2"/>
  <c r="BV136" i="2"/>
  <c r="CH92" i="2"/>
  <c r="CG40" i="2"/>
  <c r="CI41" i="2"/>
  <c r="CH167" i="2"/>
  <c r="CJ67" i="2"/>
  <c r="CJ157" i="2"/>
  <c r="CF114" i="2"/>
  <c r="CJ70" i="2"/>
  <c r="CF18" i="2"/>
  <c r="CG19" i="2"/>
  <c r="CG145" i="2"/>
  <c r="CH193" i="2"/>
  <c r="CH135" i="2"/>
  <c r="CF92" i="2"/>
  <c r="CH48" i="2"/>
  <c r="CF166" i="2"/>
  <c r="BV125" i="2"/>
  <c r="BV123" i="2"/>
  <c r="CG171" i="2"/>
  <c r="BV113" i="2"/>
  <c r="CI70" i="2"/>
  <c r="CJ26" i="2"/>
  <c r="CF144" i="2"/>
  <c r="CF103" i="2"/>
  <c r="CJ101" i="2"/>
  <c r="CF77" i="2"/>
  <c r="CI93" i="2"/>
  <c r="CJ50" i="2"/>
  <c r="BW6" i="2"/>
  <c r="CG124" i="2"/>
  <c r="BV83" i="2"/>
  <c r="CH81" i="2"/>
  <c r="CH197" i="2"/>
  <c r="CH71" i="2"/>
  <c r="CJ28" i="2"/>
  <c r="CI154" i="2"/>
  <c r="BV102" i="2"/>
  <c r="BV61" i="2"/>
  <c r="CH59" i="2"/>
  <c r="CG175" i="2"/>
  <c r="CG49" i="2"/>
  <c r="CI6" i="2"/>
  <c r="CJ132" i="2"/>
  <c r="BV80" i="2"/>
  <c r="CG39" i="2"/>
  <c r="CH37" i="2"/>
  <c r="CF101" i="2"/>
  <c r="CH27" i="2"/>
  <c r="CG122" i="2"/>
  <c r="CG86" i="2"/>
  <c r="CJ34" i="2"/>
  <c r="CJ152" i="2"/>
  <c r="CH153" i="2"/>
  <c r="CF175" i="2"/>
  <c r="CG192" i="2"/>
  <c r="CG100" i="2"/>
  <c r="CJ64" i="2"/>
  <c r="BV12" i="2"/>
  <c r="CG130" i="2"/>
  <c r="CI131" i="2"/>
  <c r="CJ99" i="2"/>
  <c r="CF169" i="2"/>
  <c r="CG78" i="2"/>
  <c r="CF42" i="2"/>
  <c r="CF160" i="2"/>
  <c r="CH108" i="2"/>
  <c r="CF109" i="2"/>
  <c r="CI199" i="2"/>
  <c r="CI67" i="2"/>
  <c r="CH56" i="2"/>
  <c r="CI20" i="2"/>
  <c r="CI138" i="2"/>
  <c r="CJ86" i="2"/>
  <c r="CH87" i="2"/>
  <c r="CF177" i="2"/>
  <c r="CF193" i="2"/>
  <c r="CH34" i="2"/>
  <c r="BV160" i="2"/>
  <c r="CH116" i="2"/>
  <c r="CF64" i="2"/>
  <c r="CF65" i="2"/>
  <c r="CJ111" i="2"/>
  <c r="CI171" i="2"/>
  <c r="CF12" i="2"/>
  <c r="CG138" i="2"/>
  <c r="CJ94" i="2"/>
  <c r="CI42" i="2"/>
  <c r="CG43" i="2"/>
  <c r="BV169" i="2"/>
  <c r="CH79" i="2"/>
  <c r="CF159" i="2"/>
  <c r="BV116" i="2"/>
  <c r="BV72" i="2"/>
  <c r="CF20" i="2"/>
  <c r="CJ117" i="2"/>
  <c r="CG74" i="2"/>
  <c r="CI30" i="2"/>
  <c r="BV148" i="2"/>
  <c r="CF107" i="2"/>
  <c r="BV105" i="2"/>
  <c r="BV101" i="2"/>
  <c r="CI95" i="2"/>
  <c r="CJ52" i="2"/>
  <c r="CH8" i="2"/>
  <c r="CH126" i="2"/>
  <c r="CI85" i="2"/>
  <c r="CG83" i="2"/>
  <c r="CH199" i="2"/>
  <c r="CG73" i="2"/>
  <c r="CG30" i="2"/>
  <c r="CG156" i="2"/>
  <c r="CJ104" i="2"/>
  <c r="CJ63" i="2"/>
  <c r="CJ61" i="2"/>
  <c r="CI177" i="2"/>
  <c r="CH51" i="2"/>
  <c r="CH146" i="2"/>
  <c r="CG110" i="2"/>
  <c r="BV58" i="2"/>
  <c r="CH17" i="2"/>
  <c r="CI15" i="2"/>
  <c r="CJ199" i="2"/>
  <c r="CF6" i="2"/>
  <c r="CF124" i="2"/>
  <c r="CG88" i="2"/>
  <c r="CH36" i="2"/>
  <c r="CH154" i="2"/>
  <c r="CF155" i="2"/>
  <c r="CG177" i="2"/>
  <c r="CF194" i="2"/>
  <c r="CI102" i="2"/>
  <c r="CI66" i="2"/>
  <c r="CH14" i="2"/>
  <c r="CF132" i="2"/>
  <c r="CG133" i="2"/>
  <c r="CH111" i="2"/>
  <c r="CF172" i="2"/>
  <c r="CF80" i="2"/>
  <c r="CF44" i="2"/>
  <c r="CJ162" i="2"/>
  <c r="CJ110" i="2"/>
  <c r="CF111" i="2"/>
  <c r="BV201" i="2"/>
  <c r="CF79" i="2"/>
  <c r="CG58" i="2"/>
  <c r="CI22" i="2"/>
  <c r="CH140" i="2"/>
  <c r="CH88" i="2"/>
  <c r="CG89" i="2"/>
  <c r="CF179" i="2"/>
  <c r="CI195" i="2"/>
  <c r="CJ36" i="2"/>
  <c r="CG162" i="2"/>
  <c r="CH118" i="2"/>
  <c r="BV66" i="2"/>
  <c r="CH67" i="2"/>
  <c r="CI123" i="2"/>
  <c r="CF173" i="2"/>
  <c r="CF14" i="2"/>
  <c r="CI140" i="2"/>
  <c r="BV96" i="2"/>
  <c r="CI44" i="2"/>
  <c r="CH45" i="2"/>
  <c r="BV171" i="2"/>
  <c r="CJ91" i="2"/>
  <c r="CG161" i="2"/>
  <c r="CG118" i="2"/>
  <c r="CJ74" i="2"/>
  <c r="CG22" i="2"/>
  <c r="CF23" i="2"/>
  <c r="CG149" i="2"/>
  <c r="CG197" i="2"/>
  <c r="CI139" i="2"/>
  <c r="CJ96" i="2"/>
  <c r="CI52" i="2"/>
  <c r="CI170" i="2"/>
  <c r="CF129" i="2"/>
  <c r="CJ127" i="2"/>
  <c r="CJ175" i="2"/>
  <c r="CI141" i="2"/>
  <c r="CI98" i="2"/>
  <c r="CJ54" i="2"/>
  <c r="BW3" i="2"/>
  <c r="CJ3" i="2"/>
  <c r="CG129" i="2"/>
  <c r="CH177" i="2"/>
  <c r="CF119" i="2"/>
  <c r="CI76" i="2"/>
  <c r="BV32" i="2"/>
  <c r="BV150" i="2"/>
  <c r="CJ109" i="2"/>
  <c r="CJ107" i="2"/>
  <c r="CG113" i="2"/>
  <c r="CH97" i="2"/>
  <c r="CI54" i="2"/>
  <c r="CI10" i="2"/>
  <c r="CI128" i="2"/>
  <c r="CJ87" i="2"/>
  <c r="CF85" i="2"/>
  <c r="CF201" i="2"/>
  <c r="CF75" i="2"/>
  <c r="CI8" i="2"/>
  <c r="BV134" i="2"/>
  <c r="CF82" i="2"/>
  <c r="CH41" i="2"/>
  <c r="BV39" i="2"/>
  <c r="CJ113" i="2"/>
  <c r="CI29" i="2"/>
  <c r="CJ148" i="2"/>
  <c r="CG112" i="2"/>
  <c r="BV60" i="2"/>
  <c r="CF19" i="2"/>
  <c r="CF17" i="2"/>
  <c r="CG201" i="2"/>
  <c r="CF7" i="2"/>
  <c r="CI126" i="2"/>
  <c r="CH90" i="2"/>
  <c r="CF38" i="2"/>
  <c r="CI156" i="2"/>
  <c r="CF157" i="2"/>
  <c r="CG179" i="2"/>
  <c r="BV196" i="2"/>
  <c r="CH104" i="2"/>
  <c r="BV165" i="2"/>
  <c r="CF122" i="2"/>
  <c r="CJ78" i="2"/>
  <c r="BV26" i="2"/>
  <c r="CI27" i="2"/>
  <c r="CG153" i="2"/>
  <c r="CJ201" i="2"/>
  <c r="CJ143" i="2"/>
  <c r="CF100" i="2"/>
  <c r="BV56" i="2"/>
  <c r="BV5" i="2"/>
  <c r="CJ5" i="2"/>
  <c r="CG131" i="2"/>
  <c r="CJ179" i="2"/>
  <c r="CG121" i="2"/>
  <c r="CI78" i="2"/>
  <c r="BV34" i="2"/>
  <c r="CI152" i="2"/>
  <c r="CI111" i="2"/>
  <c r="CH109" i="2"/>
  <c r="CI125" i="2"/>
  <c r="CH99" i="2"/>
  <c r="CG32" i="2"/>
  <c r="BV158" i="2"/>
  <c r="CJ106" i="2"/>
  <c r="CJ65" i="2"/>
  <c r="CH63" i="2"/>
  <c r="CH179" i="2"/>
  <c r="CI53" i="2"/>
  <c r="CF10" i="2"/>
  <c r="CH136" i="2"/>
  <c r="CG84" i="2"/>
  <c r="CJ43" i="2"/>
  <c r="CJ41" i="2"/>
  <c r="CG125" i="2"/>
  <c r="CF31" i="2"/>
  <c r="CF150" i="2"/>
  <c r="CI114" i="2"/>
  <c r="CF62" i="2"/>
  <c r="BV21" i="2"/>
  <c r="BV19" i="2"/>
  <c r="CG203" i="2"/>
  <c r="CJ9" i="2"/>
  <c r="CF128" i="2"/>
  <c r="CG92" i="2"/>
  <c r="CJ40" i="2"/>
  <c r="CF158" i="2"/>
  <c r="CG159" i="2"/>
  <c r="CF181" i="2"/>
  <c r="CJ198" i="2"/>
  <c r="CG106" i="2"/>
  <c r="BV70" i="2"/>
  <c r="CI18" i="2"/>
  <c r="CG136" i="2"/>
  <c r="CF137" i="2"/>
  <c r="CH133" i="2"/>
  <c r="CJ176" i="2"/>
  <c r="CI84" i="2"/>
  <c r="CI48" i="2"/>
  <c r="CI166" i="2"/>
  <c r="CH114" i="2"/>
  <c r="CH115" i="2"/>
  <c r="CH4" i="2"/>
  <c r="CG103" i="2"/>
  <c r="CH62" i="2"/>
  <c r="CF26" i="2"/>
  <c r="CJ144" i="2"/>
  <c r="BV92" i="2"/>
  <c r="CF93" i="2"/>
  <c r="CF183" i="2"/>
  <c r="CG199" i="2"/>
  <c r="BV40" i="2"/>
  <c r="BW4" i="2"/>
  <c r="CI122" i="2"/>
  <c r="CF70" i="2"/>
  <c r="CJ71" i="2"/>
  <c r="CF141" i="2"/>
  <c r="BV177" i="2"/>
  <c r="CG18" i="2"/>
  <c r="CH144" i="2"/>
  <c r="CI100" i="2"/>
  <c r="CF48" i="2"/>
  <c r="BV49" i="2"/>
  <c r="CJ15" i="2"/>
  <c r="CJ115" i="2"/>
  <c r="CG20" i="2"/>
  <c r="CG146" i="2"/>
  <c r="CJ102" i="2"/>
  <c r="BV50" i="2"/>
  <c r="CG51" i="2"/>
  <c r="CG27" i="2"/>
  <c r="CI127" i="2"/>
  <c r="CI167" i="2"/>
  <c r="CI124" i="2"/>
  <c r="CJ80" i="2"/>
  <c r="CH28" i="2"/>
  <c r="CH29" i="2"/>
  <c r="CG155" i="2"/>
  <c r="CJ203" i="2"/>
  <c r="BV145" i="2"/>
  <c r="CF102" i="2"/>
  <c r="CF58" i="2"/>
  <c r="CI7" i="2"/>
  <c r="CH7" i="2"/>
  <c r="CJ133" i="2"/>
  <c r="CJ181" i="2"/>
  <c r="CG123" i="2"/>
  <c r="CG56" i="2"/>
  <c r="CJ12" i="2"/>
  <c r="CF130" i="2"/>
  <c r="CI89" i="2"/>
  <c r="CF87" i="2"/>
  <c r="BV203" i="2"/>
  <c r="BV77" i="2"/>
  <c r="CI34" i="2"/>
  <c r="CH160" i="2"/>
  <c r="CI108" i="2"/>
  <c r="BV67" i="2"/>
  <c r="CI65" i="2"/>
  <c r="CH181" i="2"/>
  <c r="CF55" i="2"/>
  <c r="CI12" i="2"/>
  <c r="CH138" i="2"/>
  <c r="BV86" i="2"/>
  <c r="CG45" i="2"/>
  <c r="CF43" i="2"/>
  <c r="CG135" i="2"/>
  <c r="BV33" i="2"/>
  <c r="CH152" i="2"/>
  <c r="CI116" i="2"/>
  <c r="CH64" i="2"/>
  <c r="CI23" i="2"/>
  <c r="CH21" i="2"/>
  <c r="CG5" i="2"/>
  <c r="CJ11" i="2"/>
  <c r="CI130" i="2"/>
  <c r="CH94" i="2"/>
  <c r="CJ42" i="2"/>
  <c r="CI160" i="2"/>
  <c r="CJ161" i="2"/>
  <c r="CI183" i="2"/>
  <c r="CH200" i="2"/>
  <c r="CG108" i="2"/>
  <c r="CI72" i="2"/>
  <c r="BV20" i="2"/>
  <c r="CJ138" i="2"/>
  <c r="CF139" i="2"/>
  <c r="CG141" i="2"/>
  <c r="CJ178" i="2"/>
  <c r="CI86" i="2"/>
  <c r="CI50" i="2"/>
  <c r="BV44" i="2"/>
  <c r="BV8" i="2"/>
  <c r="CG126" i="2"/>
  <c r="CF74" i="2"/>
  <c r="CJ75" i="2"/>
  <c r="CH157" i="2"/>
  <c r="CI181" i="2"/>
  <c r="CJ22" i="2"/>
  <c r="CG148" i="2"/>
  <c r="BV104" i="2"/>
  <c r="CF52" i="2"/>
  <c r="CH53" i="2"/>
  <c r="CF39" i="2"/>
  <c r="BV135" i="2"/>
  <c r="CJ169" i="2"/>
  <c r="CF126" i="2"/>
  <c r="CG82" i="2"/>
  <c r="BV30" i="2"/>
  <c r="BV31" i="2"/>
  <c r="CI157" i="2"/>
  <c r="BW7" i="2"/>
  <c r="BV147" i="2"/>
  <c r="CI80" i="2"/>
  <c r="CG36" i="2"/>
  <c r="CF154" i="2"/>
  <c r="CH113" i="2"/>
  <c r="CG111" i="2"/>
  <c r="CJ135" i="2"/>
  <c r="CG101" i="2"/>
  <c r="CJ58" i="2"/>
  <c r="CG14" i="2"/>
  <c r="CI132" i="2"/>
  <c r="CI91" i="2"/>
  <c r="CJ89" i="2"/>
  <c r="CJ6" i="2"/>
  <c r="CJ79" i="2"/>
  <c r="CF36" i="2"/>
  <c r="BV162" i="2"/>
  <c r="BV110" i="2"/>
  <c r="CG69" i="2"/>
  <c r="CF67" i="2"/>
  <c r="CJ183" i="2"/>
  <c r="BV57" i="2"/>
  <c r="CJ14" i="2"/>
  <c r="BV140" i="2"/>
  <c r="BV88" i="2"/>
  <c r="CH47" i="2"/>
  <c r="CI45" i="2"/>
  <c r="CI143" i="2"/>
  <c r="CF35" i="2"/>
  <c r="CG154" i="2"/>
  <c r="CI118" i="2"/>
  <c r="CF66" i="2"/>
  <c r="CH25" i="2"/>
  <c r="BV23" i="2"/>
  <c r="CI17" i="2"/>
  <c r="BV13" i="2"/>
  <c r="CG132" i="2"/>
  <c r="CG96" i="2"/>
  <c r="CG44" i="2"/>
  <c r="CF3" i="2"/>
  <c r="CI163" i="2"/>
  <c r="CJ185" i="2"/>
  <c r="CG202" i="2"/>
  <c r="CI92" i="2"/>
  <c r="CF56" i="2"/>
  <c r="CF5" i="2"/>
  <c r="BV122" i="2"/>
  <c r="CH123" i="2"/>
  <c r="CJ51" i="2"/>
  <c r="CH145" i="2"/>
  <c r="CG70" i="2"/>
  <c r="CG34" i="2"/>
  <c r="BV152" i="2"/>
  <c r="CH100" i="2"/>
  <c r="CH101" i="2"/>
  <c r="CJ191" i="2"/>
  <c r="CH19" i="2"/>
  <c r="BV48" i="2"/>
  <c r="CG12" i="2"/>
  <c r="CH130" i="2"/>
  <c r="CF78" i="2"/>
  <c r="CG79" i="2"/>
  <c r="BV167" i="2"/>
  <c r="CH185" i="2"/>
  <c r="F12" i="1" a="1"/>
  <c r="F12" i="1" s="1"/>
  <c r="CG128" i="2"/>
  <c r="CJ84" i="2"/>
  <c r="CI32" i="2"/>
  <c r="CH33" i="2"/>
  <c r="BV159" i="2"/>
  <c r="CJ19" i="2"/>
  <c r="BV149" i="2"/>
  <c r="CH106" i="2"/>
  <c r="CG62" i="2"/>
  <c r="CH10" i="2"/>
  <c r="BV11" i="2"/>
  <c r="BV137" i="2"/>
  <c r="CG185" i="2"/>
  <c r="BV127" i="2"/>
  <c r="CF84" i="2"/>
  <c r="CF40" i="2"/>
  <c r="CG158" i="2"/>
  <c r="BV117" i="2"/>
  <c r="CF115" i="2"/>
  <c r="BV151" i="2"/>
  <c r="CJ105" i="2"/>
  <c r="CI62" i="2"/>
  <c r="CH18" i="2"/>
  <c r="CJ136" i="2"/>
  <c r="BV95" i="2"/>
  <c r="CH93" i="2"/>
  <c r="BV29" i="2"/>
  <c r="CI83" i="2"/>
  <c r="CH40" i="2"/>
  <c r="BV166" i="2"/>
  <c r="CG114" i="2"/>
  <c r="CJ73" i="2"/>
  <c r="BV71" i="2"/>
  <c r="CJ187" i="2"/>
  <c r="CG61" i="2"/>
  <c r="CJ18" i="2"/>
  <c r="CI144" i="2"/>
  <c r="CJ92" i="2"/>
  <c r="BV51" i="2"/>
  <c r="CH49" i="2"/>
  <c r="CF116" i="2"/>
  <c r="CG80" i="2"/>
  <c r="CF28" i="2"/>
  <c r="BV146" i="2"/>
  <c r="CH147" i="2"/>
  <c r="CG167" i="2"/>
  <c r="CF186" i="2"/>
  <c r="CG94" i="2"/>
  <c r="CI58" i="2"/>
  <c r="CH6" i="2"/>
  <c r="BV124" i="2"/>
  <c r="CJ125" i="2"/>
  <c r="CF63" i="2"/>
  <c r="BV153" i="2"/>
  <c r="CG72" i="2"/>
  <c r="CI36" i="2"/>
  <c r="CJ154" i="2"/>
  <c r="CG102" i="2"/>
  <c r="BV103" i="2"/>
  <c r="BV193" i="2"/>
  <c r="CH31" i="2"/>
  <c r="CG26" i="2"/>
  <c r="CG68" i="2"/>
  <c r="BV164" i="2"/>
  <c r="CI60" i="2"/>
  <c r="CJ82" i="2"/>
  <c r="CI103" i="2"/>
  <c r="CJ17" i="2"/>
  <c r="CG134" i="2"/>
  <c r="CH82" i="2"/>
  <c r="CI113" i="2"/>
  <c r="CI24" i="2"/>
  <c r="BV181" i="2"/>
  <c r="CJ20" i="2"/>
  <c r="CJ68" i="2"/>
  <c r="CI51" i="2"/>
  <c r="CH9" i="2"/>
  <c r="CG28" i="2"/>
  <c r="CG168" i="2"/>
  <c r="CI5" i="2"/>
  <c r="CF127" i="2"/>
  <c r="CG48" i="2"/>
  <c r="CF148" i="2"/>
  <c r="CG81" i="2"/>
  <c r="CH187" i="2"/>
  <c r="CG165" i="2"/>
  <c r="CI178" i="2"/>
  <c r="BV155" i="2"/>
  <c r="CF178" i="2"/>
  <c r="BV197" i="2"/>
  <c r="CG13" i="2"/>
  <c r="CG188" i="2"/>
  <c r="CH137" i="2"/>
  <c r="BV73" i="2"/>
  <c r="CI175" i="2"/>
  <c r="CI194" i="2"/>
  <c r="CH161" i="2"/>
  <c r="CJ141" i="2"/>
  <c r="CI25" i="2"/>
  <c r="CI200" i="2"/>
  <c r="CJ172" i="2"/>
  <c r="CI184" i="2"/>
  <c r="CF32" i="2"/>
  <c r="CG183" i="2"/>
  <c r="BV108" i="2"/>
  <c r="BV130" i="2"/>
  <c r="CJ151" i="2"/>
  <c r="CF187" i="2"/>
  <c r="CF71" i="2"/>
  <c r="CI16" i="2"/>
  <c r="CI47" i="2"/>
  <c r="BV120" i="2"/>
  <c r="CG29" i="2"/>
  <c r="I114" i="1"/>
  <c r="CJ116" i="2"/>
  <c r="CI147" i="2"/>
  <c r="CG17" i="2"/>
  <c r="CH52" i="2"/>
  <c r="CJ46" i="2"/>
  <c r="CJ29" i="2"/>
  <c r="CG182" i="2"/>
  <c r="CH72" i="2"/>
  <c r="CI3" i="2"/>
  <c r="CG105" i="2"/>
  <c r="CH39" i="2"/>
  <c r="CF192" i="2"/>
  <c r="CJ180" i="2"/>
  <c r="CF188" i="2"/>
  <c r="BV202" i="2"/>
  <c r="CF81" i="2"/>
  <c r="CG25" i="2"/>
  <c r="BV59" i="2"/>
  <c r="CJ184" i="2"/>
  <c r="CH117" i="2"/>
  <c r="CJ177" i="2"/>
  <c r="CJ95" i="2"/>
  <c r="CJ190" i="2"/>
  <c r="CI145" i="2"/>
  <c r="BV37" i="2"/>
  <c r="CF131" i="2"/>
  <c r="CI196" i="2"/>
  <c r="CI150" i="2"/>
  <c r="CH24" i="2"/>
  <c r="CJ8" i="2"/>
  <c r="CJ38" i="2"/>
  <c r="CG60" i="2"/>
  <c r="CJ81" i="2"/>
  <c r="CJ119" i="2"/>
  <c r="CI64" i="2"/>
  <c r="CH95" i="2"/>
  <c r="CH168" i="2"/>
  <c r="CI159" i="2"/>
  <c r="CI74" i="2"/>
  <c r="CF140" i="2"/>
  <c r="BV133" i="2"/>
  <c r="CF41" i="2"/>
  <c r="CJ76" i="2"/>
  <c r="CI94" i="2"/>
  <c r="CH125" i="2"/>
  <c r="CJ21" i="2"/>
  <c r="CI120" i="2"/>
  <c r="CI26" i="2"/>
  <c r="CJ25" i="2"/>
  <c r="CJ164" i="2"/>
  <c r="CI81" i="2"/>
  <c r="CH61" i="2"/>
  <c r="CG186" i="2"/>
  <c r="CH139" i="2"/>
  <c r="CG174" i="2"/>
  <c r="CG37" i="2"/>
  <c r="CF170" i="2"/>
  <c r="CH35" i="2"/>
  <c r="BV180" i="2"/>
  <c r="CI179" i="2"/>
  <c r="CF176" i="2"/>
  <c r="CI71" i="2"/>
  <c r="CH186" i="2"/>
  <c r="CJ49" i="2"/>
  <c r="BV182" i="2"/>
  <c r="BV107" i="2"/>
  <c r="CH98" i="2"/>
  <c r="CG150" i="2"/>
  <c r="CJ56" i="2"/>
  <c r="CF86" i="2"/>
  <c r="CJ108" i="2"/>
  <c r="BV129" i="2"/>
  <c r="CI135" i="2"/>
  <c r="CH46" i="2"/>
  <c r="CH203" i="2"/>
  <c r="CH142" i="2"/>
  <c r="CG189" i="2"/>
  <c r="BV98" i="2"/>
  <c r="CH5" i="2"/>
  <c r="CH15" i="2"/>
  <c r="CJ137" i="2"/>
  <c r="BV100" i="2"/>
  <c r="CJ118" i="2"/>
  <c r="CF4" i="2"/>
  <c r="CI19" i="2"/>
  <c r="CG6" i="2"/>
  <c r="CG50" i="2"/>
  <c r="CF73" i="2"/>
  <c r="CH191" i="2"/>
  <c r="CF174" i="2"/>
  <c r="CI185" i="2"/>
  <c r="CH188" i="2"/>
  <c r="CF184" i="2"/>
  <c r="BV198" i="2"/>
  <c r="CF121" i="2"/>
  <c r="BV194" i="2"/>
  <c r="CH162" i="2"/>
  <c r="CF9" i="2"/>
  <c r="CJ193" i="2"/>
  <c r="CF200" i="2"/>
  <c r="CH172" i="2"/>
  <c r="BV45" i="2"/>
  <c r="CG170" i="2"/>
  <c r="BV85" i="2"/>
  <c r="BV178" i="2"/>
  <c r="CF99" i="2"/>
  <c r="BV106" i="2"/>
  <c r="CI9" i="2"/>
  <c r="CF156" i="2"/>
  <c r="BV16" i="2"/>
  <c r="CH38" i="2"/>
  <c r="BV69" i="2"/>
  <c r="CG142" i="2"/>
  <c r="CI151" i="2"/>
  <c r="CI68" i="2"/>
  <c r="CF197" i="2"/>
  <c r="CH122" i="2"/>
  <c r="CF29" i="2"/>
  <c r="CF149" i="2"/>
  <c r="CH16" i="2"/>
  <c r="CJ124" i="2"/>
  <c r="CJ142" i="2"/>
  <c r="BV185" i="2"/>
  <c r="BV91" i="2"/>
  <c r="CH30" i="2"/>
  <c r="CJ122" i="2"/>
  <c r="CI97" i="2"/>
  <c r="CH195" i="2"/>
  <c r="CG198" i="2"/>
  <c r="CI169" i="2"/>
  <c r="CH190" i="2"/>
  <c r="CI35" i="2"/>
  <c r="CG117" i="2"/>
  <c r="CH183" i="2"/>
  <c r="CJ85" i="2"/>
  <c r="CF190" i="2"/>
  <c r="CJ145" i="2"/>
  <c r="CH73" i="2"/>
  <c r="CI187" i="2"/>
  <c r="CG196" i="2"/>
  <c r="CG166" i="2"/>
  <c r="CG172" i="2"/>
  <c r="BV97" i="2"/>
  <c r="CF202" i="2"/>
  <c r="CJ189" i="2"/>
  <c r="CG54" i="2"/>
  <c r="CF57" i="2"/>
  <c r="CF34" i="2"/>
  <c r="BV64" i="2"/>
  <c r="CH86" i="2"/>
  <c r="CI117" i="2"/>
  <c r="CH20" i="2"/>
  <c r="BV41" i="2"/>
  <c r="CG116" i="2"/>
  <c r="CF15" i="2"/>
  <c r="CJ146" i="2"/>
  <c r="CJ53" i="2"/>
  <c r="BV187" i="2"/>
  <c r="CG64" i="2"/>
  <c r="CF50" i="2"/>
  <c r="CG7" i="2"/>
  <c r="BV27" i="2"/>
  <c r="CI115" i="2"/>
  <c r="CH54" i="2"/>
  <c r="CI146" i="2"/>
  <c r="CJ121" i="2"/>
  <c r="CF89" i="2"/>
  <c r="CI119" i="2"/>
  <c r="CG194" i="2"/>
  <c r="BV192" i="2"/>
  <c r="CG163" i="2"/>
  <c r="CG180" i="2"/>
  <c r="CJ93" i="2"/>
  <c r="CF97" i="2"/>
  <c r="CG71" i="2"/>
  <c r="BV186" i="2"/>
  <c r="CI129" i="2"/>
  <c r="CI189" i="2"/>
  <c r="CG107" i="2"/>
  <c r="CH192" i="2"/>
  <c r="CI153" i="2"/>
  <c r="CI109" i="2"/>
  <c r="BV139" i="2"/>
  <c r="CJ7" i="2"/>
  <c r="CI55" i="2"/>
  <c r="CF135" i="2"/>
  <c r="CG115" i="2"/>
  <c r="CF134" i="2"/>
  <c r="BV68" i="2"/>
  <c r="CF123" i="2"/>
  <c r="CF164" i="2"/>
  <c r="CG91" i="2"/>
  <c r="CI90" i="2"/>
  <c r="CI39" i="2"/>
  <c r="CF120" i="2"/>
  <c r="CG21" i="2"/>
  <c r="CG41" i="2"/>
  <c r="CF88" i="2"/>
  <c r="CJ98" i="2"/>
  <c r="CJ31" i="2"/>
  <c r="BV157" i="2"/>
  <c r="CF163" i="2"/>
  <c r="BV78" i="2"/>
  <c r="CJ24" i="2"/>
  <c r="CF145" i="2"/>
  <c r="CF199" i="2"/>
  <c r="CF180" i="2"/>
  <c r="CG93" i="2"/>
  <c r="CI133" i="2"/>
  <c r="CG190" i="2"/>
  <c r="CF11" i="2"/>
  <c r="BV176" i="2"/>
  <c r="CG109" i="2"/>
  <c r="CI172" i="2"/>
  <c r="CG47" i="2"/>
  <c r="CJ182" i="2"/>
  <c r="CG191" i="2"/>
  <c r="CH178" i="2"/>
  <c r="CH83" i="2"/>
  <c r="CI188" i="2"/>
  <c r="CH121" i="2"/>
  <c r="BV184" i="2"/>
  <c r="CG10" i="2"/>
  <c r="BV143" i="2"/>
  <c r="BV183" i="2"/>
  <c r="CF113" i="2"/>
  <c r="BV93" i="2"/>
  <c r="BV42" i="2"/>
  <c r="CJ159" i="2"/>
  <c r="BV138" i="2"/>
  <c r="CG85" i="2"/>
  <c r="BV75" i="2"/>
  <c r="BV38" i="2"/>
  <c r="CH22" i="2"/>
  <c r="CF117" i="2"/>
  <c r="CJ195" i="2"/>
  <c r="CI136" i="2"/>
  <c r="CJ170" i="2"/>
  <c r="CJ47" i="2"/>
  <c r="CG53" i="2"/>
  <c r="CJ66" i="2"/>
  <c r="BW5" i="2"/>
  <c r="CI96" i="2"/>
  <c r="BV79" i="2"/>
  <c r="CI203" i="2"/>
  <c r="CF147" i="2"/>
  <c r="BV200" i="2"/>
  <c r="CJ69" i="2"/>
  <c r="CG200" i="2"/>
  <c r="CI186" i="2"/>
  <c r="CH129" i="2"/>
  <c r="CF195" i="2"/>
  <c r="CH149" i="2"/>
  <c r="CJ192" i="2"/>
  <c r="CJ153" i="2"/>
  <c r="CG139" i="2"/>
  <c r="BV199" i="2"/>
  <c r="CI198" i="2"/>
  <c r="CH169" i="2"/>
  <c r="CJ173" i="2"/>
  <c r="CH155" i="2"/>
  <c r="CJ128" i="2"/>
  <c r="CG151" i="2"/>
  <c r="BV161" i="2"/>
  <c r="CI13" i="2"/>
  <c r="CG16" i="2"/>
  <c r="BV174" i="2"/>
  <c r="CH112" i="2"/>
  <c r="CJ60" i="2"/>
  <c r="CF91" i="2"/>
  <c r="CI110" i="2"/>
  <c r="CI46" i="2"/>
  <c r="BV141" i="2"/>
  <c r="CH175" i="2"/>
  <c r="CG160" i="2"/>
  <c r="BV24" i="2"/>
  <c r="CG95" i="2"/>
  <c r="CI173" i="2"/>
  <c r="CJ90" i="2"/>
  <c r="BV28" i="2"/>
  <c r="CJ120" i="2"/>
  <c r="CJ103" i="2"/>
  <c r="CG137" i="2"/>
  <c r="CJ186" i="2"/>
  <c r="BV131" i="2"/>
  <c r="BV172" i="2"/>
  <c r="CI202" i="2"/>
  <c r="CF47" i="2"/>
  <c r="CH182" i="2"/>
  <c r="CF105" i="2"/>
  <c r="CG157" i="2"/>
  <c r="CJ83" i="2"/>
  <c r="BV188" i="2"/>
  <c r="CI137" i="2"/>
  <c r="CI201" i="2"/>
  <c r="CH119" i="2"/>
  <c r="CJ194" i="2"/>
  <c r="CF161" i="2"/>
  <c r="CJ163" i="2"/>
  <c r="BV76" i="2"/>
  <c r="CG104" i="2"/>
  <c r="CF125" i="2"/>
  <c r="CH143" i="2"/>
  <c r="CH91" i="2"/>
  <c r="CJ112" i="2"/>
  <c r="CI59" i="2"/>
  <c r="CF49" i="2"/>
  <c r="CJ156" i="2"/>
  <c r="BV25" i="2"/>
  <c r="CH134" i="2"/>
  <c r="CH70" i="2"/>
  <c r="I115" i="1"/>
  <c r="BV115" i="2"/>
  <c r="BV94" i="2"/>
  <c r="CJ48" i="2"/>
  <c r="CG119" i="2"/>
  <c r="CH103" i="2"/>
  <c r="CJ114" i="2"/>
  <c r="CG76" i="2"/>
  <c r="CG144" i="2"/>
  <c r="CH151" i="2"/>
  <c r="CH184" i="2"/>
  <c r="CJ174" i="2"/>
  <c r="CI182" i="2"/>
  <c r="CG46" i="2"/>
  <c r="CF185" i="2"/>
  <c r="CH69" i="2"/>
  <c r="CH42" i="2"/>
  <c r="CG176" i="2"/>
  <c r="CJ23" i="2"/>
  <c r="CG59" i="2"/>
  <c r="CF95" i="2"/>
  <c r="CI77" i="2"/>
  <c r="CI107" i="2"/>
  <c r="CF27" i="2"/>
  <c r="CF138" i="2"/>
  <c r="CH23" i="2"/>
  <c r="CI155" i="2"/>
  <c r="CG169" i="2"/>
  <c r="CI176" i="2"/>
  <c r="CF51" i="2"/>
  <c r="CF90" i="2"/>
  <c r="CI164" i="2"/>
  <c r="CH102" i="2"/>
  <c r="CJ196" i="2"/>
  <c r="CF167" i="2"/>
  <c r="CF61" i="2"/>
  <c r="CF182" i="2"/>
  <c r="CF152" i="2"/>
  <c r="CG97" i="2"/>
  <c r="CI180" i="2"/>
  <c r="CH124" i="2"/>
  <c r="CH196" i="2"/>
  <c r="CG178" i="2"/>
  <c r="CG184" i="2"/>
  <c r="CI190" i="2"/>
  <c r="BV63" i="2"/>
  <c r="CI37" i="2"/>
  <c r="CF112" i="2"/>
  <c r="CF72" i="2"/>
  <c r="CH105" i="2"/>
  <c r="CJ202" i="2"/>
  <c r="CI33" i="2"/>
  <c r="CF69" i="2"/>
  <c r="CI4" i="2"/>
  <c r="CG42" i="2"/>
  <c r="CF142" i="2"/>
  <c r="CG9" i="2"/>
  <c r="CH198" i="2"/>
  <c r="CF196" i="2"/>
  <c r="CH202" i="2"/>
  <c r="CJ147" i="2"/>
  <c r="BV35" i="2"/>
  <c r="CJ27" i="2"/>
  <c r="CF146" i="2"/>
  <c r="BV7" i="2"/>
  <c r="CI49" i="2"/>
  <c r="BV163" i="2"/>
  <c r="CF203" i="2"/>
  <c r="CJ167" i="2"/>
  <c r="CH12" i="2"/>
  <c r="CI63" i="2"/>
  <c r="CH127" i="2"/>
  <c r="BV179" i="2"/>
  <c r="CG147" i="2"/>
  <c r="CJ166" i="2"/>
  <c r="CH174" i="2"/>
  <c r="CJ139" i="2"/>
  <c r="CJ158" i="2"/>
  <c r="CF143" i="2"/>
  <c r="CG33" i="2"/>
  <c r="CH166" i="2"/>
  <c r="CI174" i="2"/>
  <c r="CH180" i="2"/>
  <c r="CH164" i="2"/>
  <c r="CI168" i="2"/>
  <c r="BV189" i="2"/>
  <c r="CG11" i="2"/>
  <c r="CI192" i="2"/>
  <c r="CF198" i="2"/>
  <c r="CF13" i="2"/>
  <c r="CJ160" i="2"/>
  <c r="CF94" i="2"/>
  <c r="CH201" i="2"/>
  <c r="CH176" i="2"/>
  <c r="CJ200" i="2"/>
  <c r="CI21" i="2"/>
  <c r="CJ57" i="2"/>
  <c r="CI31" i="2"/>
  <c r="CI73" i="2"/>
  <c r="CJ72" i="2"/>
  <c r="CI149" i="2"/>
  <c r="BV170" i="2"/>
  <c r="CG181" i="2"/>
  <c r="CH131" i="2"/>
  <c r="CH194" i="2"/>
  <c r="BW141" i="2"/>
  <c r="BW166" i="2"/>
  <c r="BW140" i="2"/>
  <c r="BW81" i="2"/>
  <c r="BW182" i="2"/>
  <c r="BW114" i="2"/>
  <c r="BW31" i="2"/>
  <c r="BW29" i="2"/>
  <c r="BW82" i="2"/>
  <c r="BW75" i="2"/>
  <c r="BW62" i="2"/>
  <c r="BW25" i="2"/>
  <c r="BW197" i="2"/>
  <c r="BW201" i="2"/>
  <c r="BW77" i="2"/>
  <c r="BW154" i="2"/>
  <c r="BW35" i="2"/>
  <c r="BW79" i="2"/>
  <c r="BW38" i="2"/>
  <c r="BW66" i="2"/>
  <c r="BW76" i="2"/>
  <c r="BW135" i="2"/>
  <c r="BW85" i="2"/>
  <c r="BW27" i="2"/>
  <c r="BW118" i="2"/>
  <c r="BW65" i="2"/>
  <c r="BW163" i="2"/>
  <c r="BW60" i="2"/>
  <c r="BW143" i="2"/>
  <c r="BW63" i="2"/>
  <c r="BW51" i="2"/>
  <c r="BW137" i="2"/>
  <c r="BW74" i="2"/>
  <c r="BW173" i="2"/>
  <c r="BW145" i="2"/>
  <c r="BW132" i="2"/>
  <c r="BW26" i="2"/>
  <c r="BW168" i="2"/>
  <c r="BW97" i="2"/>
  <c r="BW192" i="2"/>
  <c r="BW59" i="2"/>
  <c r="BW30" i="2"/>
  <c r="BW196" i="2"/>
  <c r="BW104" i="2"/>
  <c r="BW155" i="2"/>
  <c r="BW40" i="2"/>
  <c r="BW105" i="2"/>
  <c r="BW176" i="2"/>
  <c r="BW58" i="2"/>
  <c r="BW54" i="2"/>
  <c r="BW126" i="2"/>
  <c r="BW19" i="2"/>
  <c r="BW18" i="2"/>
  <c r="BW175" i="2"/>
  <c r="BW193" i="2"/>
  <c r="BW101" i="2"/>
  <c r="BW16" i="2"/>
  <c r="BW70" i="2"/>
  <c r="BW124" i="2"/>
  <c r="BW187" i="2"/>
  <c r="BW107" i="2"/>
  <c r="BW156" i="2"/>
  <c r="BW73" i="2"/>
  <c r="BW130" i="2"/>
  <c r="BW183" i="2"/>
  <c r="BW117" i="2"/>
  <c r="BW78" i="2"/>
  <c r="BW89" i="2"/>
  <c r="BW148" i="2"/>
  <c r="BW56" i="2"/>
  <c r="BW83" i="2"/>
  <c r="BW99" i="2"/>
  <c r="BW199" i="2"/>
  <c r="BW20" i="2"/>
  <c r="BW46" i="2"/>
  <c r="BW123" i="2"/>
  <c r="BW112" i="2"/>
  <c r="BW172" i="2"/>
  <c r="BW90" i="2"/>
  <c r="BW169" i="2"/>
  <c r="BW21" i="2"/>
  <c r="BW103" i="2"/>
  <c r="BW122" i="2"/>
  <c r="BW110" i="2"/>
  <c r="BW139" i="2"/>
  <c r="BW142" i="2"/>
  <c r="BW95" i="2"/>
  <c r="BW189" i="2"/>
  <c r="BW41" i="2"/>
  <c r="BW120" i="2"/>
  <c r="BW184" i="2"/>
  <c r="BW150" i="2"/>
  <c r="BW71" i="2"/>
  <c r="BW9" i="2"/>
  <c r="BW49" i="2"/>
  <c r="BW194" i="2"/>
  <c r="BW170" i="2"/>
  <c r="BW119" i="2"/>
  <c r="BW195" i="2"/>
  <c r="BW64" i="2"/>
  <c r="BW37" i="2"/>
  <c r="BW111" i="2"/>
  <c r="BW160" i="2"/>
  <c r="BW116" i="2"/>
  <c r="BW146" i="2"/>
  <c r="BW17" i="2"/>
  <c r="BW108" i="2"/>
  <c r="BW129" i="2"/>
  <c r="BW179" i="2"/>
  <c r="BW53" i="2"/>
  <c r="BW91" i="2"/>
  <c r="BW45" i="2"/>
  <c r="BW185" i="2"/>
  <c r="BW72" i="2"/>
  <c r="BW151" i="2"/>
  <c r="BW134" i="2"/>
  <c r="BW93" i="2"/>
  <c r="BW186" i="2"/>
  <c r="BW42" i="2"/>
  <c r="BW43" i="2"/>
  <c r="BW44" i="2"/>
  <c r="BW178" i="2"/>
  <c r="BW86" i="2"/>
  <c r="BW191" i="2"/>
  <c r="BW125" i="2"/>
  <c r="BW147" i="2"/>
  <c r="BW80" i="2"/>
  <c r="BW136" i="2"/>
  <c r="BW159" i="2"/>
  <c r="BW28" i="2"/>
  <c r="BW171" i="2"/>
  <c r="A116" i="6"/>
  <c r="T13" i="6" s="1"/>
  <c r="V13" i="6" s="1"/>
  <c r="T23" i="6" s="1"/>
  <c r="T25" i="6" s="1"/>
  <c r="T26" i="6" s="1"/>
  <c r="BW149" i="2"/>
  <c r="BW133" i="2"/>
  <c r="BW33" i="2"/>
  <c r="BW52" i="2"/>
  <c r="BW188" i="2"/>
  <c r="BW22" i="2"/>
  <c r="BW167" i="2"/>
  <c r="BW12" i="2"/>
  <c r="BW92" i="2"/>
  <c r="BW128" i="2"/>
  <c r="BW127" i="2"/>
  <c r="BW198" i="2"/>
  <c r="BW61" i="2"/>
  <c r="BW55" i="2"/>
  <c r="BW174" i="2"/>
  <c r="BW138" i="2"/>
  <c r="BW50" i="2"/>
  <c r="BW98" i="2"/>
  <c r="BW100" i="2"/>
  <c r="BW47" i="2"/>
  <c r="BW23" i="2"/>
  <c r="BW34" i="2"/>
  <c r="BW157" i="2"/>
  <c r="BW36" i="2"/>
  <c r="BW13" i="2"/>
  <c r="BW10" i="2"/>
  <c r="BW39" i="2"/>
  <c r="BW200" i="2"/>
  <c r="BW180" i="2"/>
  <c r="BW115" i="2"/>
  <c r="BW144" i="2"/>
  <c r="BW24" i="2"/>
  <c r="BW109" i="2"/>
  <c r="BW202" i="2"/>
  <c r="BW11" i="2"/>
  <c r="BW102" i="2"/>
  <c r="BW87" i="2"/>
  <c r="BW88" i="2"/>
  <c r="BW203" i="2"/>
  <c r="BX203" i="2" s="1" a="1"/>
  <c r="BX203" i="2" s="1"/>
  <c r="BW57" i="2"/>
  <c r="BW8" i="2"/>
  <c r="BW67" i="2"/>
  <c r="BW165" i="2"/>
  <c r="BW181" i="2"/>
  <c r="BW153" i="2"/>
  <c r="BW14" i="2"/>
  <c r="BW113" i="2"/>
  <c r="BW164" i="2"/>
  <c r="BW48" i="2"/>
  <c r="BW177" i="2"/>
  <c r="BW106" i="2"/>
  <c r="BW190" i="2"/>
  <c r="BW162" i="2"/>
  <c r="BW131" i="2"/>
  <c r="BW32" i="2"/>
  <c r="BW84" i="2"/>
  <c r="BW158" i="2"/>
  <c r="BW121" i="2"/>
  <c r="BW69" i="2"/>
  <c r="BW96" i="2"/>
  <c r="BW15" i="2"/>
  <c r="BW152" i="2"/>
  <c r="BW161" i="2"/>
  <c r="BW94" i="2"/>
  <c r="CG3" i="2"/>
  <c r="CG4" i="2"/>
  <c r="CM4" i="2" s="1"/>
  <c r="CM5" i="2" s="1"/>
  <c r="BW68" i="2"/>
  <c r="CM6" i="2" l="1"/>
  <c r="CM7" i="2" s="1"/>
  <c r="CM8" i="2" s="1"/>
  <c r="CM9" i="2" s="1"/>
  <c r="CM10" i="2" s="1"/>
  <c r="CM11" i="2" s="1"/>
  <c r="CM12" i="2" s="1"/>
  <c r="CM13" i="2" s="1"/>
  <c r="CM14" i="2" s="1"/>
  <c r="CM15" i="2" s="1"/>
  <c r="CM16" i="2" s="1"/>
  <c r="CM17" i="2" s="1"/>
  <c r="CM18" i="2" s="1"/>
  <c r="CM19" i="2" s="1"/>
  <c r="CM20" i="2" s="1"/>
  <c r="CM21" i="2" s="1"/>
  <c r="CM22" i="2" s="1"/>
  <c r="CM23" i="2" s="1"/>
  <c r="CM24" i="2" s="1"/>
  <c r="CM25" i="2" s="1"/>
  <c r="CM26" i="2" s="1"/>
  <c r="CM27" i="2" s="1"/>
  <c r="CM28" i="2" s="1"/>
  <c r="CM29" i="2" s="1"/>
  <c r="CM30" i="2" s="1"/>
  <c r="CM31" i="2" s="1"/>
  <c r="CM32" i="2" s="1"/>
  <c r="CM33" i="2" s="1"/>
  <c r="CM34" i="2" s="1"/>
  <c r="CM35" i="2" s="1"/>
  <c r="CM36" i="2" s="1"/>
  <c r="CM37" i="2" s="1"/>
  <c r="CM38" i="2" s="1"/>
  <c r="CM39" i="2" s="1"/>
  <c r="CM40" i="2" s="1"/>
  <c r="CM41" i="2" s="1"/>
  <c r="CM42" i="2" s="1"/>
  <c r="CM43" i="2" s="1"/>
  <c r="CM44" i="2" s="1"/>
  <c r="CM45" i="2" s="1"/>
  <c r="CM46" i="2" s="1"/>
  <c r="CM47" i="2" s="1"/>
  <c r="CM48" i="2" s="1"/>
  <c r="CM49" i="2" s="1"/>
  <c r="CM50" i="2" s="1"/>
  <c r="CM51" i="2" s="1"/>
  <c r="CM52" i="2" s="1"/>
  <c r="CM53" i="2" s="1"/>
  <c r="CM54" i="2" s="1"/>
  <c r="CM55" i="2" s="1"/>
  <c r="CM56" i="2" s="1"/>
  <c r="CM57" i="2" s="1"/>
  <c r="CM58" i="2" s="1"/>
  <c r="CM59" i="2" s="1"/>
  <c r="CM60" i="2" s="1"/>
  <c r="CM61" i="2" s="1"/>
  <c r="CM62" i="2" s="1"/>
  <c r="CM63" i="2" s="1"/>
  <c r="CM64" i="2" s="1"/>
  <c r="CM65" i="2" s="1"/>
  <c r="CM66" i="2" s="1"/>
  <c r="CM67" i="2" s="1"/>
  <c r="CM68" i="2" s="1"/>
  <c r="CM69" i="2" s="1"/>
  <c r="CM70" i="2" s="1"/>
  <c r="CM71" i="2" s="1"/>
  <c r="CM72" i="2" s="1"/>
  <c r="CM73" i="2" s="1"/>
  <c r="CM74" i="2" s="1"/>
  <c r="CM75" i="2" s="1"/>
  <c r="CM76" i="2" s="1"/>
  <c r="CM77" i="2" s="1"/>
  <c r="CM78" i="2" s="1"/>
  <c r="CM79" i="2" s="1"/>
  <c r="CM80" i="2" s="1"/>
  <c r="CM81" i="2" s="1"/>
  <c r="CM82" i="2" s="1"/>
  <c r="CM83" i="2" s="1"/>
  <c r="CM84" i="2" s="1"/>
  <c r="CM85" i="2" s="1"/>
  <c r="CM86" i="2" s="1"/>
  <c r="CM87" i="2" s="1"/>
  <c r="CM88" i="2" s="1"/>
  <c r="CM89" i="2" s="1"/>
  <c r="CM90" i="2" s="1"/>
  <c r="CM91" i="2" s="1"/>
  <c r="CM92" i="2" s="1"/>
  <c r="CM93" i="2" s="1"/>
  <c r="CM94" i="2" s="1"/>
  <c r="CM95" i="2" s="1"/>
  <c r="CM96" i="2" s="1"/>
  <c r="CM97" i="2" s="1"/>
  <c r="CM98" i="2" s="1"/>
  <c r="CM99" i="2" s="1"/>
  <c r="CM100" i="2" s="1"/>
  <c r="CM101" i="2" s="1"/>
  <c r="CM102" i="2" s="1"/>
  <c r="CM103" i="2" s="1"/>
  <c r="CM104" i="2" s="1"/>
  <c r="CM105" i="2" s="1"/>
  <c r="CM106" i="2" s="1"/>
  <c r="CM107" i="2" s="1"/>
  <c r="CM108" i="2" s="1"/>
  <c r="CM109" i="2" s="1"/>
  <c r="CM110" i="2" s="1"/>
  <c r="CM111" i="2" s="1"/>
  <c r="CM112" i="2" s="1"/>
  <c r="CM113" i="2" s="1"/>
  <c r="CM114" i="2" s="1"/>
  <c r="CM115" i="2" s="1"/>
  <c r="CM116" i="2" s="1"/>
  <c r="CM117" i="2" s="1"/>
  <c r="CM118" i="2" s="1"/>
  <c r="CM119" i="2" s="1"/>
  <c r="CM120" i="2" s="1"/>
  <c r="CM121" i="2" s="1"/>
  <c r="CM122" i="2" s="1"/>
  <c r="CM123" i="2" s="1"/>
  <c r="CM124" i="2" s="1"/>
  <c r="CM125" i="2" s="1"/>
  <c r="CM126" i="2" s="1"/>
  <c r="CM127" i="2" s="1"/>
  <c r="CM128" i="2" s="1"/>
  <c r="CM129" i="2" s="1"/>
  <c r="CM130" i="2" s="1"/>
  <c r="CM131" i="2" s="1"/>
  <c r="CM132" i="2" s="1"/>
  <c r="CM133" i="2" s="1"/>
  <c r="CM134" i="2" s="1"/>
  <c r="CM135" i="2" s="1"/>
  <c r="CM136" i="2" s="1"/>
  <c r="CM137" i="2" s="1"/>
  <c r="CM138" i="2" s="1"/>
  <c r="CM139" i="2" s="1"/>
  <c r="CM140" i="2" s="1"/>
  <c r="CM141" i="2" s="1"/>
  <c r="CM142" i="2" s="1"/>
  <c r="CM143" i="2" s="1"/>
  <c r="CM144" i="2" s="1"/>
  <c r="CM145" i="2" s="1"/>
  <c r="CM146" i="2" s="1"/>
  <c r="CM147" i="2" s="1"/>
  <c r="CM148" i="2" s="1"/>
  <c r="CM149" i="2" s="1"/>
  <c r="CM150" i="2" s="1"/>
  <c r="CM151" i="2" s="1"/>
  <c r="CM152" i="2" s="1"/>
  <c r="CM153" i="2" s="1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BX202" i="2" a="1"/>
  <c r="BX202" i="2" s="1"/>
  <c r="J9" i="4"/>
  <c r="J16" i="4" s="1"/>
  <c r="CL4" i="2"/>
  <c r="CL5" i="2" s="1"/>
  <c r="CL6" i="2" s="1"/>
  <c r="CL7" i="2" s="1"/>
  <c r="CL8" i="2" s="1"/>
  <c r="CL9" i="2" s="1"/>
  <c r="CL10" i="2" s="1"/>
  <c r="CL11" i="2" s="1"/>
  <c r="CL12" i="2" s="1"/>
  <c r="CL13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CL60" i="2" s="1"/>
  <c r="CL61" i="2" s="1"/>
  <c r="CL62" i="2" s="1"/>
  <c r="CL63" i="2" s="1"/>
  <c r="CL64" i="2" s="1"/>
  <c r="CL65" i="2" s="1"/>
  <c r="CL66" i="2" s="1"/>
  <c r="CL67" i="2" s="1"/>
  <c r="CL68" i="2" s="1"/>
  <c r="CL69" i="2" s="1"/>
  <c r="CL70" i="2" s="1"/>
  <c r="CL71" i="2" s="1"/>
  <c r="CL72" i="2" s="1"/>
  <c r="CL73" i="2" s="1"/>
  <c r="CL74" i="2" s="1"/>
  <c r="CL75" i="2" s="1"/>
  <c r="CL76" i="2" s="1"/>
  <c r="CL77" i="2" s="1"/>
  <c r="CL78" i="2" s="1"/>
  <c r="CL79" i="2" s="1"/>
  <c r="CL80" i="2" s="1"/>
  <c r="CL81" i="2" s="1"/>
  <c r="CL82" i="2" s="1"/>
  <c r="CL83" i="2" s="1"/>
  <c r="CL84" i="2" s="1"/>
  <c r="CL85" i="2" s="1"/>
  <c r="CL86" i="2" s="1"/>
  <c r="CL87" i="2" s="1"/>
  <c r="CL88" i="2" s="1"/>
  <c r="CL89" i="2" s="1"/>
  <c r="CL90" i="2" s="1"/>
  <c r="CL91" i="2" s="1"/>
  <c r="CL92" i="2" s="1"/>
  <c r="CL93" i="2" s="1"/>
  <c r="CL94" i="2" s="1"/>
  <c r="CL95" i="2" s="1"/>
  <c r="CL96" i="2" s="1"/>
  <c r="CL97" i="2" s="1"/>
  <c r="CL98" i="2" s="1"/>
  <c r="CL99" i="2" s="1"/>
  <c r="CL100" i="2" s="1"/>
  <c r="CL101" i="2" s="1"/>
  <c r="CL102" i="2" s="1"/>
  <c r="CL103" i="2" s="1"/>
  <c r="CL104" i="2" s="1"/>
  <c r="CL105" i="2" s="1"/>
  <c r="CL106" i="2" s="1"/>
  <c r="CL107" i="2" s="1"/>
  <c r="CL108" i="2" s="1"/>
  <c r="CL109" i="2" s="1"/>
  <c r="CL110" i="2" s="1"/>
  <c r="CL111" i="2" s="1"/>
  <c r="CL112" i="2" s="1"/>
  <c r="CL113" i="2" s="1"/>
  <c r="CL114" i="2" s="1"/>
  <c r="CL115" i="2" s="1"/>
  <c r="CL116" i="2" s="1"/>
  <c r="CL117" i="2" s="1"/>
  <c r="CL118" i="2" s="1"/>
  <c r="CL119" i="2" s="1"/>
  <c r="CL120" i="2" s="1"/>
  <c r="CL121" i="2" s="1"/>
  <c r="CL122" i="2" s="1"/>
  <c r="CL123" i="2" s="1"/>
  <c r="CL124" i="2" s="1"/>
  <c r="CL125" i="2" s="1"/>
  <c r="CL126" i="2" s="1"/>
  <c r="CL127" i="2" s="1"/>
  <c r="CL128" i="2" s="1"/>
  <c r="CL129" i="2" s="1"/>
  <c r="CL130" i="2" s="1"/>
  <c r="CL131" i="2" s="1"/>
  <c r="CL132" i="2" s="1"/>
  <c r="CL133" i="2" s="1"/>
  <c r="CL134" i="2" s="1"/>
  <c r="CL135" i="2" s="1"/>
  <c r="CL136" i="2" s="1"/>
  <c r="CL137" i="2" s="1"/>
  <c r="CL138" i="2" s="1"/>
  <c r="CL139" i="2" s="1"/>
  <c r="CL140" i="2" s="1"/>
  <c r="CL141" i="2" s="1"/>
  <c r="CL142" i="2" s="1"/>
  <c r="CL143" i="2" s="1"/>
  <c r="CL144" i="2" s="1"/>
  <c r="CL145" i="2" s="1"/>
  <c r="CL146" i="2" s="1"/>
  <c r="CL147" i="2" s="1"/>
  <c r="CL148" i="2" s="1"/>
  <c r="CL149" i="2" s="1"/>
  <c r="CL150" i="2" s="1"/>
  <c r="CL151" i="2" s="1"/>
  <c r="CL152" i="2" s="1"/>
  <c r="CL153" i="2" s="1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BX181" i="2" a="1"/>
  <c r="BX181" i="2" s="1"/>
  <c r="BX165" i="2" a="1"/>
  <c r="BX165" i="2" s="1"/>
  <c r="BX161" i="2" a="1"/>
  <c r="BX161" i="2" s="1"/>
  <c r="BX190" i="2" a="1"/>
  <c r="BX190" i="2" s="1"/>
  <c r="BX186" i="2" a="1"/>
  <c r="BX186" i="2" s="1"/>
  <c r="BX189" i="2" a="1"/>
  <c r="BX189" i="2" s="1"/>
  <c r="BX131" i="2" a="1"/>
  <c r="BX131" i="2" s="1"/>
  <c r="BX177" i="2" a="1"/>
  <c r="BX177" i="2" s="1"/>
  <c r="BX179" i="2" a="1"/>
  <c r="BX179" i="2" s="1"/>
  <c r="BX68" i="2" a="1"/>
  <c r="BX68" i="2" s="1"/>
  <c r="BX174" i="2" a="1"/>
  <c r="BX174" i="2" s="1"/>
  <c r="BX164" i="2" a="1"/>
  <c r="BX164" i="2" s="1"/>
  <c r="BX158" i="2" a="1"/>
  <c r="BX158" i="2" s="1"/>
  <c r="BX178" i="2" a="1"/>
  <c r="BX178" i="2" s="1"/>
  <c r="BX171" i="2" a="1"/>
  <c r="BX171" i="2" s="1"/>
  <c r="CK4" i="2"/>
  <c r="BX67" i="2" a="1"/>
  <c r="BX67" i="2" s="1"/>
  <c r="BX61" i="2" a="1"/>
  <c r="BX61" i="2" s="1"/>
  <c r="BX152" i="2" a="1"/>
  <c r="BX152" i="2" s="1"/>
  <c r="BX112" i="2" a="1"/>
  <c r="BX112" i="2" s="1"/>
  <c r="BX113" i="2" a="1"/>
  <c r="BX113" i="2" s="1"/>
  <c r="BX111" i="2" a="1"/>
  <c r="BX111" i="2" s="1"/>
  <c r="BX109" i="2" a="1"/>
  <c r="BX109" i="2" s="1"/>
  <c r="BX102" i="2" a="1"/>
  <c r="BX102" i="2" s="1"/>
  <c r="BX106" i="2" a="1"/>
  <c r="BX106" i="2" s="1"/>
  <c r="BX15" i="2" a="1"/>
  <c r="BX15" i="2" s="1"/>
  <c r="BX93" i="2" a="1"/>
  <c r="BX93" i="2" s="1"/>
  <c r="BX94" i="2" a="1"/>
  <c r="BX94" i="2" s="1"/>
  <c r="BX69" i="2" a="1"/>
  <c r="BX69" i="2" s="1"/>
  <c r="BX121" i="2" a="1"/>
  <c r="BX121" i="2" s="1"/>
  <c r="BX96" i="2" a="1"/>
  <c r="BX96" i="2" s="1"/>
  <c r="BX22" i="2" a="1"/>
  <c r="BX22" i="2" s="1"/>
  <c r="BX120" i="2" a="1"/>
  <c r="BX120" i="2" s="1"/>
  <c r="BX33" i="2" a="1"/>
  <c r="BX33" i="2" s="1"/>
  <c r="BX82" i="2" a="1"/>
  <c r="BX82" i="2" s="1"/>
  <c r="BX80" i="2" a="1"/>
  <c r="BX80" i="2" s="1"/>
  <c r="BX84" i="2" a="1"/>
  <c r="BX84" i="2" s="1"/>
  <c r="BX7" i="2" a="1"/>
  <c r="BX7" i="2" s="1"/>
  <c r="BX6" i="2" a="1"/>
  <c r="BX6" i="2" s="1"/>
  <c r="BX5" i="2" a="1"/>
  <c r="BX5" i="2" s="1"/>
  <c r="BX4" i="2" a="1"/>
  <c r="BX4" i="2" s="1"/>
  <c r="BY4" i="2" s="1"/>
  <c r="BX8" i="2" a="1"/>
  <c r="BX8" i="2" s="1"/>
  <c r="BX36" i="2" a="1"/>
  <c r="BX36" i="2" s="1"/>
  <c r="BX157" i="2" a="1"/>
  <c r="BX157" i="2" s="1"/>
  <c r="BX149" i="2" a="1"/>
  <c r="BX149" i="2" s="1"/>
  <c r="BX151" i="2" a="1"/>
  <c r="BX151" i="2" s="1"/>
  <c r="BX150" i="2" a="1"/>
  <c r="BX150" i="2" s="1"/>
  <c r="BX14" i="2" a="1"/>
  <c r="BX14" i="2" s="1"/>
  <c r="BX13" i="2" a="1"/>
  <c r="BX13" i="2" s="1"/>
  <c r="BX162" i="2" a="1"/>
  <c r="BX162" i="2" s="1"/>
  <c r="BX153" i="2" a="1"/>
  <c r="BX153" i="2" s="1"/>
  <c r="BX54" i="2" a="1"/>
  <c r="BX54" i="2" s="1"/>
  <c r="BX53" i="2" a="1"/>
  <c r="BX53" i="2" s="1"/>
  <c r="BX55" i="2" a="1"/>
  <c r="BX55" i="2" s="1"/>
  <c r="BX188" i="2" a="1"/>
  <c r="BX188" i="2" s="1"/>
  <c r="BX132" i="2" a="1"/>
  <c r="BX132" i="2" s="1"/>
  <c r="BX133" i="2" a="1"/>
  <c r="BX133" i="2" s="1"/>
  <c r="BX146" i="2" a="1"/>
  <c r="BX146" i="2" s="1"/>
  <c r="BX21" i="2" a="1"/>
  <c r="BX21" i="2" s="1"/>
  <c r="BX32" i="2" a="1"/>
  <c r="BX32" i="2" s="1"/>
  <c r="BX101" i="2" a="1"/>
  <c r="BX101" i="2" s="1"/>
  <c r="BX98" i="2" a="1"/>
  <c r="BX98" i="2" s="1"/>
  <c r="BX199" i="2" a="1"/>
  <c r="BX199" i="2" s="1"/>
  <c r="BX198" i="2" a="1"/>
  <c r="BX198" i="2" s="1"/>
  <c r="BX191" i="2" a="1"/>
  <c r="BX191" i="2" s="1"/>
  <c r="BX200" i="2" a="1"/>
  <c r="BX200" i="2" s="1"/>
  <c r="BX28" i="2" a="1"/>
  <c r="BX28" i="2" s="1"/>
  <c r="BX155" i="2" a="1"/>
  <c r="BX155" i="2" s="1"/>
  <c r="BX156" i="2" a="1"/>
  <c r="BX156" i="2" s="1"/>
  <c r="BX58" i="2" a="1"/>
  <c r="BX58" i="2" s="1"/>
  <c r="BX10" i="2" a="1"/>
  <c r="BX10" i="2" s="1"/>
  <c r="BX11" i="2" a="1"/>
  <c r="BX11" i="2" s="1"/>
  <c r="BX34" i="2" a="1"/>
  <c r="BX34" i="2" s="1"/>
  <c r="BX176" i="2" a="1"/>
  <c r="BX176" i="2" s="1"/>
  <c r="BX175" i="2" a="1"/>
  <c r="BX175" i="2" s="1"/>
  <c r="BX88" i="2" a="1"/>
  <c r="BX88" i="2" s="1"/>
  <c r="BX23" i="2" a="1"/>
  <c r="BX23" i="2" s="1"/>
  <c r="BX125" i="2" a="1"/>
  <c r="BX125" i="2" s="1"/>
  <c r="BX185" i="2" a="1"/>
  <c r="BX185" i="2" s="1"/>
  <c r="BX9" i="2" a="1"/>
  <c r="BX9" i="2" s="1"/>
  <c r="BX44" i="2" a="1"/>
  <c r="BX44" i="2" s="1"/>
  <c r="BX127" i="2" a="1"/>
  <c r="BX127" i="2" s="1"/>
  <c r="BX24" i="2" a="1"/>
  <c r="BX24" i="2" s="1"/>
  <c r="BX100" i="2" a="1"/>
  <c r="BX100" i="2" s="1"/>
  <c r="BX128" i="2" a="1"/>
  <c r="BX128" i="2" s="1"/>
  <c r="BX194" i="2" a="1"/>
  <c r="BX194" i="2" s="1"/>
  <c r="BX75" i="2" a="1"/>
  <c r="BX75" i="2" s="1"/>
  <c r="BX57" i="2" a="1"/>
  <c r="BX57" i="2" s="1"/>
  <c r="BX201" i="2" a="1"/>
  <c r="BX201" i="2" s="1"/>
  <c r="BX143" i="2" a="1"/>
  <c r="BX143" i="2" s="1"/>
  <c r="BX142" i="2" a="1"/>
  <c r="BX142" i="2" s="1"/>
  <c r="BX144" i="2" a="1"/>
  <c r="BX144" i="2" s="1"/>
  <c r="BX39" i="2" a="1"/>
  <c r="BX39" i="2" s="1"/>
  <c r="BX92" i="2" a="1"/>
  <c r="BX92" i="2" s="1"/>
  <c r="BX27" i="2" a="1"/>
  <c r="BX27" i="2" s="1"/>
  <c r="BX119" i="2" a="1"/>
  <c r="BX119" i="2" s="1"/>
  <c r="BX50" i="2" a="1"/>
  <c r="BX50" i="2" s="1"/>
  <c r="BX51" i="2" a="1"/>
  <c r="BX51" i="2" s="1"/>
  <c r="BX159" i="2" a="1"/>
  <c r="BX159" i="2" s="1"/>
  <c r="BX167" i="2" a="1"/>
  <c r="BX167" i="2" s="1"/>
  <c r="BX48" i="2" a="1"/>
  <c r="BX48" i="2" s="1"/>
  <c r="BX115" i="2" a="1"/>
  <c r="BX115" i="2" s="1"/>
  <c r="BX12" i="2" a="1"/>
  <c r="BX12" i="2" s="1"/>
  <c r="BX87" i="2" a="1"/>
  <c r="BX87" i="2" s="1"/>
  <c r="BX108" i="2" a="1"/>
  <c r="BX108" i="2" s="1"/>
  <c r="BX180" i="2" a="1"/>
  <c r="BX180" i="2" s="1"/>
  <c r="BX137" i="2" a="1"/>
  <c r="BX137" i="2" s="1"/>
  <c r="BX138" i="2" a="1"/>
  <c r="BX138" i="2" s="1"/>
  <c r="BX134" i="2" a="1"/>
  <c r="BX134" i="2" s="1"/>
  <c r="BX136" i="2" a="1"/>
  <c r="BX136" i="2" s="1"/>
  <c r="BX49" i="2" a="1"/>
  <c r="BX49" i="2" s="1"/>
  <c r="BX122" i="2" a="1"/>
  <c r="BX122" i="2" s="1"/>
  <c r="BX130" i="2" a="1"/>
  <c r="BX130" i="2" s="1"/>
  <c r="BX66" i="2" a="1"/>
  <c r="BX66" i="2" s="1"/>
  <c r="BX65" i="2" a="1"/>
  <c r="BX65" i="2" s="1"/>
  <c r="BX166" i="2" a="1"/>
  <c r="BX166" i="2" s="1"/>
  <c r="BX63" i="2" a="1"/>
  <c r="BX63" i="2" s="1"/>
  <c r="BX70" i="2" a="1"/>
  <c r="BX70" i="2" s="1"/>
  <c r="BX117" i="2" a="1"/>
  <c r="BX117" i="2" s="1"/>
  <c r="BX163" i="2" a="1"/>
  <c r="BX163" i="2" s="1"/>
  <c r="BX35" i="2" a="1"/>
  <c r="BX35" i="2" s="1"/>
  <c r="BX160" i="2" a="1"/>
  <c r="BX160" i="2" s="1"/>
  <c r="BX195" i="2" a="1"/>
  <c r="BX195" i="2" s="1"/>
  <c r="BX170" i="2" a="1"/>
  <c r="BX170" i="2" s="1"/>
  <c r="BX107" i="2" a="1"/>
  <c r="BX107" i="2" s="1"/>
  <c r="BX104" i="2" a="1"/>
  <c r="BX104" i="2" s="1"/>
  <c r="BX76" i="2" a="1"/>
  <c r="BX76" i="2" s="1"/>
  <c r="BX43" i="2" a="1"/>
  <c r="BX43" i="2" s="1"/>
  <c r="BX139" i="2" a="1"/>
  <c r="BX139" i="2" s="1"/>
  <c r="BX18" i="2" a="1"/>
  <c r="BX18" i="2" s="1"/>
  <c r="BX123" i="2" a="1"/>
  <c r="BX123" i="2" s="1"/>
  <c r="BX56" i="2" a="1"/>
  <c r="BX56" i="2" s="1"/>
  <c r="BX183" i="2" a="1"/>
  <c r="BX183" i="2" s="1"/>
  <c r="BX187" i="2" a="1"/>
  <c r="BX187" i="2" s="1"/>
  <c r="BX19" i="2" a="1"/>
  <c r="BX19" i="2" s="1"/>
  <c r="BX97" i="2" a="1"/>
  <c r="BX97" i="2" s="1"/>
  <c r="BX135" i="2" a="1"/>
  <c r="BX135" i="2" s="1"/>
  <c r="BX45" i="2" a="1"/>
  <c r="BX45" i="2" s="1"/>
  <c r="BX110" i="2" a="1"/>
  <c r="BX110" i="2" s="1"/>
  <c r="BX46" i="2" a="1"/>
  <c r="BX46" i="2" s="1"/>
  <c r="BX124" i="2" a="1"/>
  <c r="BX124" i="2" s="1"/>
  <c r="BX42" i="2" a="1"/>
  <c r="BX42" i="2" s="1"/>
  <c r="BX91" i="2" a="1"/>
  <c r="BX91" i="2" s="1"/>
  <c r="BX118" i="2" a="1"/>
  <c r="BX118" i="2" s="1"/>
  <c r="BX41" i="2" a="1"/>
  <c r="BX41" i="2" s="1"/>
  <c r="BX169" i="2" a="1"/>
  <c r="BX169" i="2" s="1"/>
  <c r="BX20" i="2" a="1"/>
  <c r="BX20" i="2" s="1"/>
  <c r="BX29" i="2" a="1"/>
  <c r="BX29" i="2" s="1"/>
  <c r="BX62" i="2" a="1"/>
  <c r="BX62" i="2" s="1"/>
  <c r="BX81" i="2" a="1"/>
  <c r="BX81" i="2" s="1"/>
  <c r="BX79" i="2" a="1"/>
  <c r="BX79" i="2" s="1"/>
  <c r="BX17" i="2" a="1"/>
  <c r="BX17" i="2" s="1"/>
  <c r="BX95" i="2" a="1"/>
  <c r="BX95" i="2" s="1"/>
  <c r="BX148" i="2" a="1"/>
  <c r="BX148" i="2" s="1"/>
  <c r="BX59" i="2" a="1"/>
  <c r="BX59" i="2" s="1"/>
  <c r="BX147" i="2" a="1"/>
  <c r="BX147" i="2" s="1"/>
  <c r="BX90" i="2" a="1"/>
  <c r="BX90" i="2" s="1"/>
  <c r="BX89" i="2" a="1"/>
  <c r="BX89" i="2" s="1"/>
  <c r="BX74" i="2" a="1"/>
  <c r="BX74" i="2" s="1"/>
  <c r="BX114" i="2" a="1"/>
  <c r="BX114" i="2" s="1"/>
  <c r="BX38" i="2" a="1"/>
  <c r="BX38" i="2" s="1"/>
  <c r="BX37" i="2" a="1"/>
  <c r="BX37" i="2" s="1"/>
  <c r="BX184" i="2" a="1"/>
  <c r="BX184" i="2" s="1"/>
  <c r="BX16" i="2" a="1"/>
  <c r="BX16" i="2" s="1"/>
  <c r="BX197" i="2" a="1"/>
  <c r="BX197" i="2" s="1"/>
  <c r="BX196" i="2" a="1"/>
  <c r="BX196" i="2" s="1"/>
  <c r="BX52" i="2" a="1"/>
  <c r="BX52" i="2" s="1"/>
  <c r="BX26" i="2" a="1"/>
  <c r="BX26" i="2" s="1"/>
  <c r="BX86" i="2" a="1"/>
  <c r="BX86" i="2" s="1"/>
  <c r="BX145" i="2" a="1"/>
  <c r="BX145" i="2" s="1"/>
  <c r="BX141" i="2" a="1"/>
  <c r="BX141" i="2" s="1"/>
  <c r="BX172" i="2" a="1"/>
  <c r="BX172" i="2" s="1"/>
  <c r="BX173" i="2" a="1"/>
  <c r="BX173" i="2" s="1"/>
  <c r="BX25" i="2" a="1"/>
  <c r="BX25" i="2" s="1"/>
  <c r="BX154" i="2" a="1"/>
  <c r="BX154" i="2" s="1"/>
  <c r="BX72" i="2" a="1"/>
  <c r="BX72" i="2" s="1"/>
  <c r="BX129" i="2" a="1"/>
  <c r="BX129" i="2" s="1"/>
  <c r="BX103" i="2" a="1"/>
  <c r="BX103" i="2" s="1"/>
  <c r="BX99" i="2" a="1"/>
  <c r="BX99" i="2" s="1"/>
  <c r="BX105" i="2" a="1"/>
  <c r="BX105" i="2" s="1"/>
  <c r="BX85" i="2" a="1"/>
  <c r="BX85" i="2" s="1"/>
  <c r="BX77" i="2" a="1"/>
  <c r="BX77" i="2" s="1"/>
  <c r="BX73" i="2" a="1"/>
  <c r="BX73" i="2" s="1"/>
  <c r="BX47" i="2" a="1"/>
  <c r="BX47" i="2" s="1"/>
  <c r="BX116" i="2" a="1"/>
  <c r="BX116" i="2" s="1"/>
  <c r="BX78" i="2" a="1"/>
  <c r="BX78" i="2" s="1"/>
  <c r="BX193" i="2" a="1"/>
  <c r="BX193" i="2" s="1"/>
  <c r="BX192" i="2" a="1"/>
  <c r="BX192" i="2" s="1"/>
  <c r="BX40" i="2" a="1"/>
  <c r="BX40" i="2" s="1"/>
  <c r="BX126" i="2" a="1"/>
  <c r="BX126" i="2" s="1"/>
  <c r="BX64" i="2" a="1"/>
  <c r="BX64" i="2" s="1"/>
  <c r="BX71" i="2" a="1"/>
  <c r="BX71" i="2" s="1"/>
  <c r="BX83" i="2" a="1"/>
  <c r="BX83" i="2" s="1"/>
  <c r="BX60" i="2" a="1"/>
  <c r="BX60" i="2" s="1"/>
  <c r="BX31" i="2" a="1"/>
  <c r="BX31" i="2" s="1"/>
  <c r="BX182" i="2" a="1"/>
  <c r="BX182" i="2" s="1"/>
  <c r="BX140" i="2" a="1"/>
  <c r="BX140" i="2" s="1"/>
  <c r="BX30" i="2" a="1"/>
  <c r="BX30" i="2" s="1"/>
  <c r="BX168" i="2" a="1"/>
  <c r="BX168" i="2" s="1"/>
  <c r="K9" i="4" l="1"/>
  <c r="K16" i="4" s="1"/>
  <c r="BY5" i="2"/>
  <c r="BZ4" i="2"/>
  <c r="CK5" i="2"/>
  <c r="CN4" i="2"/>
  <c r="CA4" i="2" l="1"/>
  <c r="CB4" i="2" s="1"/>
  <c r="CC4" i="2" s="1"/>
  <c r="CN5" i="2"/>
  <c r="CK6" i="2"/>
  <c r="BZ5" i="2"/>
  <c r="BY6" i="2"/>
  <c r="BZ6" i="2" l="1"/>
  <c r="BY7" i="2"/>
  <c r="CA5" i="2"/>
  <c r="CB5" i="2" s="1"/>
  <c r="CC5" i="2" s="1"/>
  <c r="CK7" i="2"/>
  <c r="CN6" i="2"/>
  <c r="BZ7" i="2" l="1"/>
  <c r="BY8" i="2"/>
  <c r="CA6" i="2"/>
  <c r="CB6" i="2" s="1"/>
  <c r="CC6" i="2" s="1"/>
  <c r="CN7" i="2"/>
  <c r="CK8" i="2"/>
  <c r="CK9" i="2" l="1"/>
  <c r="CN8" i="2"/>
  <c r="BY9" i="2"/>
  <c r="BZ8" i="2"/>
  <c r="CA7" i="2"/>
  <c r="CB7" i="2" s="1"/>
  <c r="CC7" i="2" s="1"/>
  <c r="CA8" i="2" l="1"/>
  <c r="CB8" i="2" s="1"/>
  <c r="CC8" i="2" s="1"/>
  <c r="BY10" i="2"/>
  <c r="BZ9" i="2"/>
  <c r="CN9" i="2"/>
  <c r="CK10" i="2"/>
  <c r="CA9" i="2" l="1"/>
  <c r="CB9" i="2" s="1"/>
  <c r="CC9" i="2" s="1"/>
  <c r="CK11" i="2"/>
  <c r="CN10" i="2"/>
  <c r="BZ10" i="2"/>
  <c r="BY11" i="2"/>
  <c r="BY12" i="2" l="1"/>
  <c r="BZ11" i="2"/>
  <c r="CA10" i="2"/>
  <c r="CB10" i="2" s="1"/>
  <c r="CC10" i="2" s="1"/>
  <c r="CK12" i="2"/>
  <c r="CN11" i="2"/>
  <c r="CN12" i="2" l="1"/>
  <c r="CK13" i="2"/>
  <c r="CA11" i="2"/>
  <c r="CB11" i="2" s="1"/>
  <c r="CC11" i="2" s="1"/>
  <c r="BZ12" i="2"/>
  <c r="BY13" i="2"/>
  <c r="BY14" i="2" l="1"/>
  <c r="BZ13" i="2"/>
  <c r="CA12" i="2"/>
  <c r="CB12" i="2" s="1"/>
  <c r="CC12" i="2" s="1"/>
  <c r="CN13" i="2"/>
  <c r="CK14" i="2"/>
  <c r="CN14" i="2" l="1"/>
  <c r="CK15" i="2"/>
  <c r="CA13" i="2"/>
  <c r="CB13" i="2" s="1"/>
  <c r="CC13" i="2" s="1"/>
  <c r="BZ14" i="2"/>
  <c r="BY15" i="2"/>
  <c r="CA14" i="2" l="1"/>
  <c r="CB14" i="2" s="1"/>
  <c r="CC14" i="2" s="1"/>
  <c r="CN15" i="2"/>
  <c r="CK16" i="2"/>
  <c r="BY16" i="2"/>
  <c r="BZ15" i="2"/>
  <c r="CA15" i="2" l="1"/>
  <c r="CB15" i="2" s="1"/>
  <c r="CC15" i="2" s="1"/>
  <c r="BZ16" i="2"/>
  <c r="BY17" i="2"/>
  <c r="CN16" i="2"/>
  <c r="CK17" i="2"/>
  <c r="CA16" i="2" l="1"/>
  <c r="CB16" i="2" s="1"/>
  <c r="CC16" i="2" s="1"/>
  <c r="CN17" i="2"/>
  <c r="CK18" i="2"/>
  <c r="BZ17" i="2"/>
  <c r="BY18" i="2"/>
  <c r="BZ18" i="2" l="1"/>
  <c r="BY19" i="2"/>
  <c r="CA17" i="2"/>
  <c r="CB17" i="2" s="1"/>
  <c r="CC17" i="2" s="1"/>
  <c r="CN18" i="2"/>
  <c r="CK19" i="2"/>
  <c r="CN19" i="2" l="1"/>
  <c r="CK20" i="2"/>
  <c r="BY20" i="2"/>
  <c r="BZ19" i="2"/>
  <c r="CA18" i="2"/>
  <c r="CB18" i="2" s="1"/>
  <c r="CC18" i="2" s="1"/>
  <c r="CA19" i="2" l="1"/>
  <c r="CB19" i="2" s="1"/>
  <c r="CC19" i="2" s="1"/>
  <c r="BZ20" i="2"/>
  <c r="BY21" i="2"/>
  <c r="CK21" i="2"/>
  <c r="CN20" i="2"/>
  <c r="CK22" i="2" l="1"/>
  <c r="CN21" i="2"/>
  <c r="BY22" i="2"/>
  <c r="BZ21" i="2"/>
  <c r="CA20" i="2"/>
  <c r="CB20" i="2" s="1"/>
  <c r="CC20" i="2" s="1"/>
  <c r="CA21" i="2" l="1"/>
  <c r="CB21" i="2" s="1"/>
  <c r="CC21" i="2" s="1"/>
  <c r="BZ22" i="2"/>
  <c r="BY23" i="2"/>
  <c r="CK23" i="2"/>
  <c r="CN22" i="2"/>
  <c r="CK24" i="2" l="1"/>
  <c r="CN23" i="2"/>
  <c r="CA22" i="2"/>
  <c r="CB22" i="2" s="1"/>
  <c r="CC22" i="2" s="1"/>
  <c r="BZ23" i="2"/>
  <c r="BY24" i="2"/>
  <c r="BZ24" i="2" l="1"/>
  <c r="BY25" i="2"/>
  <c r="CA23" i="2"/>
  <c r="CB23" i="2" s="1"/>
  <c r="CC23" i="2" s="1"/>
  <c r="CN24" i="2"/>
  <c r="CK25" i="2"/>
  <c r="CN25" i="2" l="1"/>
  <c r="CK26" i="2"/>
  <c r="BZ25" i="2"/>
  <c r="BY26" i="2"/>
  <c r="CA24" i="2"/>
  <c r="CB24" i="2" s="1"/>
  <c r="CC24" i="2" s="1"/>
  <c r="BY27" i="2" l="1"/>
  <c r="BZ26" i="2"/>
  <c r="CA25" i="2"/>
  <c r="CB25" i="2" s="1"/>
  <c r="CC25" i="2" s="1"/>
  <c r="CN26" i="2"/>
  <c r="CK27" i="2"/>
  <c r="CN27" i="2" l="1"/>
  <c r="CK28" i="2"/>
  <c r="CA26" i="2"/>
  <c r="CB26" i="2" s="1"/>
  <c r="CC26" i="2" s="1"/>
  <c r="BZ27" i="2"/>
  <c r="BY28" i="2"/>
  <c r="BY29" i="2" l="1"/>
  <c r="BZ28" i="2"/>
  <c r="CA27" i="2"/>
  <c r="CB27" i="2" s="1"/>
  <c r="CC27" i="2" s="1"/>
  <c r="CK29" i="2"/>
  <c r="CN28" i="2"/>
  <c r="CN29" i="2" l="1"/>
  <c r="CK30" i="2"/>
  <c r="CA28" i="2"/>
  <c r="CB28" i="2" s="1"/>
  <c r="CC28" i="2" s="1"/>
  <c r="BZ29" i="2"/>
  <c r="BY30" i="2"/>
  <c r="BZ30" i="2" l="1"/>
  <c r="BY31" i="2"/>
  <c r="CA29" i="2"/>
  <c r="CB29" i="2" s="1"/>
  <c r="CC29" i="2" s="1"/>
  <c r="CN30" i="2"/>
  <c r="CK31" i="2"/>
  <c r="CN31" i="2" l="1"/>
  <c r="CK32" i="2"/>
  <c r="BZ31" i="2"/>
  <c r="BY32" i="2"/>
  <c r="CA30" i="2"/>
  <c r="CB30" i="2" s="1"/>
  <c r="CC30" i="2" s="1"/>
  <c r="BY33" i="2" l="1"/>
  <c r="BZ32" i="2"/>
  <c r="CA31" i="2"/>
  <c r="CB31" i="2" s="1"/>
  <c r="CC31" i="2" s="1"/>
  <c r="CK33" i="2"/>
  <c r="CN32" i="2"/>
  <c r="CN33" i="2" l="1"/>
  <c r="H9" i="4" s="1"/>
  <c r="CK34" i="2"/>
  <c r="CA32" i="2"/>
  <c r="CB32" i="2" s="1"/>
  <c r="CC32" i="2" s="1"/>
  <c r="BY34" i="2"/>
  <c r="BZ33" i="2"/>
  <c r="CA33" i="2" l="1"/>
  <c r="CB33" i="2" s="1"/>
  <c r="CC33" i="2" s="1"/>
  <c r="CE3" i="2" s="1"/>
  <c r="CK35" i="2"/>
  <c r="CN34" i="2"/>
  <c r="BY35" i="2"/>
  <c r="BZ34" i="2"/>
  <c r="I9" i="4"/>
  <c r="H16" i="4"/>
  <c r="CA34" i="2" l="1"/>
  <c r="CB34" i="2" s="1"/>
  <c r="CC34" i="2" s="1"/>
  <c r="BY36" i="2"/>
  <c r="BZ35" i="2"/>
  <c r="I16" i="4"/>
  <c r="CN35" i="2"/>
  <c r="CK36" i="2"/>
  <c r="CE117" i="2"/>
  <c r="CE132" i="2"/>
  <c r="CE102" i="2"/>
  <c r="CE87" i="2"/>
  <c r="CE199" i="2"/>
  <c r="CE140" i="2"/>
  <c r="CE158" i="2"/>
  <c r="CE22" i="2"/>
  <c r="CE107" i="2"/>
  <c r="CE119" i="2"/>
  <c r="CE151" i="2"/>
  <c r="CE193" i="2"/>
  <c r="CE111" i="2"/>
  <c r="D9" i="4"/>
  <c r="CE16" i="2"/>
  <c r="CE136" i="2"/>
  <c r="CE15" i="2"/>
  <c r="CE116" i="2"/>
  <c r="CE112" i="2"/>
  <c r="CE186" i="2"/>
  <c r="CE85" i="2"/>
  <c r="CE144" i="2"/>
  <c r="CE33" i="2"/>
  <c r="CE47" i="2"/>
  <c r="CE50" i="2"/>
  <c r="CE32" i="2"/>
  <c r="CE178" i="2"/>
  <c r="CE188" i="2"/>
  <c r="CE146" i="2"/>
  <c r="CE52" i="2"/>
  <c r="CE131" i="2"/>
  <c r="CE65" i="2"/>
  <c r="CE99" i="2"/>
  <c r="CE70" i="2"/>
  <c r="CE83" i="2"/>
  <c r="CE145" i="2"/>
  <c r="CE93" i="2"/>
  <c r="CE202" i="2"/>
  <c r="CE88" i="2"/>
  <c r="CE86" i="2"/>
  <c r="CE46" i="2"/>
  <c r="CE169" i="2"/>
  <c r="CE9" i="2"/>
  <c r="CE39" i="2"/>
  <c r="CE155" i="2"/>
  <c r="CE125" i="2"/>
  <c r="CE42" i="2"/>
  <c r="CE115" i="2"/>
  <c r="CE91" i="2"/>
  <c r="CE21" i="2"/>
  <c r="CE148" i="2"/>
  <c r="CE195" i="2"/>
  <c r="CE124" i="2"/>
  <c r="CE77" i="2"/>
  <c r="CE164" i="2"/>
  <c r="CE190" i="2"/>
  <c r="CE44" i="2"/>
  <c r="CE94" i="2"/>
  <c r="CE180" i="2"/>
  <c r="CE74" i="2"/>
  <c r="CE106" i="2"/>
  <c r="CE138" i="2"/>
  <c r="CE120" i="2"/>
  <c r="CE160" i="2"/>
  <c r="CE73" i="2"/>
  <c r="CE104" i="2"/>
  <c r="CE60" i="2"/>
  <c r="CE135" i="2"/>
  <c r="CE36" i="2"/>
  <c r="CE197" i="2"/>
  <c r="CE194" i="2"/>
  <c r="CE4" i="2"/>
  <c r="CE170" i="2"/>
  <c r="CE95" i="2"/>
  <c r="CE103" i="2"/>
  <c r="CE71" i="2"/>
  <c r="CE128" i="2"/>
  <c r="CE101" i="2"/>
  <c r="CE173" i="2"/>
  <c r="CE187" i="2"/>
  <c r="CE192" i="2"/>
  <c r="CE11" i="2"/>
  <c r="CE150" i="2"/>
  <c r="CE14" i="2"/>
  <c r="CE57" i="2"/>
  <c r="CE67" i="2"/>
  <c r="CE200" i="2"/>
  <c r="CE62" i="2"/>
  <c r="CE152" i="2"/>
  <c r="CE10" i="2"/>
  <c r="CE118" i="2"/>
  <c r="CE123" i="2"/>
  <c r="CE171" i="2"/>
  <c r="CE203" i="2"/>
  <c r="CE69" i="2"/>
  <c r="CE24" i="2"/>
  <c r="CE79" i="2"/>
  <c r="CE96" i="2"/>
  <c r="CE127" i="2"/>
  <c r="CE198" i="2"/>
  <c r="CE114" i="2"/>
  <c r="CE100" i="2"/>
  <c r="CE18" i="2"/>
  <c r="CE37" i="2"/>
  <c r="CE40" i="2"/>
  <c r="CE98" i="2"/>
  <c r="CE45" i="2"/>
  <c r="CE163" i="2"/>
  <c r="CE75" i="2"/>
  <c r="CE49" i="2"/>
  <c r="CE61" i="2"/>
  <c r="CE185" i="2"/>
  <c r="CE89" i="2"/>
  <c r="CE76" i="2"/>
  <c r="CE78" i="2"/>
  <c r="CE27" i="2"/>
  <c r="CE139" i="2"/>
  <c r="CE26" i="2"/>
  <c r="CE68" i="2"/>
  <c r="CE35" i="2"/>
  <c r="CE29" i="2"/>
  <c r="CE201" i="2"/>
  <c r="CE84" i="2"/>
  <c r="CE66" i="2"/>
  <c r="CE72" i="2"/>
  <c r="CE165" i="2"/>
  <c r="CE196" i="2"/>
  <c r="CE176" i="2"/>
  <c r="CE157" i="2"/>
  <c r="CE142" i="2"/>
  <c r="CE183" i="2"/>
  <c r="CE126" i="2"/>
  <c r="CE182" i="2"/>
  <c r="CE149" i="2"/>
  <c r="CE162" i="2"/>
  <c r="CE34" i="2"/>
  <c r="CE28" i="2"/>
  <c r="CE92" i="2"/>
  <c r="CE53" i="2"/>
  <c r="CE80" i="2"/>
  <c r="CE191" i="2"/>
  <c r="CE8" i="2"/>
  <c r="CE55" i="2"/>
  <c r="CE179" i="2"/>
  <c r="CE122" i="2"/>
  <c r="CE51" i="2"/>
  <c r="CE108" i="2"/>
  <c r="CE48" i="2"/>
  <c r="CE121" i="2"/>
  <c r="CE168" i="2"/>
  <c r="CE30" i="2"/>
  <c r="CE90" i="2"/>
  <c r="CE147" i="2"/>
  <c r="CE161" i="2"/>
  <c r="CE59" i="2"/>
  <c r="CE133" i="2"/>
  <c r="CE181" i="2"/>
  <c r="CE13" i="2"/>
  <c r="CE177" i="2"/>
  <c r="CE166" i="2"/>
  <c r="CE129" i="2"/>
  <c r="CE12" i="2"/>
  <c r="CE7" i="2"/>
  <c r="CE97" i="2"/>
  <c r="CE110" i="2"/>
  <c r="CE154" i="2"/>
  <c r="CE143" i="2"/>
  <c r="CE41" i="2"/>
  <c r="CE184" i="2"/>
  <c r="CE25" i="2"/>
  <c r="CE156" i="2"/>
  <c r="CE56" i="2"/>
  <c r="CE109" i="2"/>
  <c r="CE82" i="2"/>
  <c r="CE20" i="2"/>
  <c r="CE174" i="2"/>
  <c r="CE64" i="2"/>
  <c r="CE19" i="2"/>
  <c r="CE141" i="2"/>
  <c r="CE58" i="2"/>
  <c r="CE134" i="2"/>
  <c r="CE172" i="2"/>
  <c r="CE23" i="2"/>
  <c r="CE189" i="2"/>
  <c r="CE63" i="2"/>
  <c r="CE137" i="2"/>
  <c r="CE175" i="2"/>
  <c r="CE54" i="2"/>
  <c r="CE153" i="2"/>
  <c r="CE17" i="2"/>
  <c r="CE38" i="2"/>
  <c r="CE167" i="2"/>
  <c r="CE105" i="2"/>
  <c r="CE5" i="2"/>
  <c r="CE6" i="2"/>
  <c r="CE130" i="2"/>
  <c r="CE43" i="2"/>
  <c r="CE31" i="2"/>
  <c r="CE113" i="2"/>
  <c r="CE81" i="2"/>
  <c r="CE159" i="2"/>
  <c r="CA35" i="2" l="1"/>
  <c r="CB35" i="2" s="1"/>
  <c r="CC35" i="2" s="1"/>
  <c r="CN36" i="2"/>
  <c r="CK37" i="2"/>
  <c r="BZ36" i="2"/>
  <c r="BY37" i="2"/>
  <c r="BZ37" i="2" l="1"/>
  <c r="BY38" i="2"/>
  <c r="CA36" i="2"/>
  <c r="CB36" i="2" s="1"/>
  <c r="CC36" i="2" s="1"/>
  <c r="CN37" i="2"/>
  <c r="CK38" i="2"/>
  <c r="CN38" i="2" l="1"/>
  <c r="CK39" i="2"/>
  <c r="BZ38" i="2"/>
  <c r="BY39" i="2"/>
  <c r="CA37" i="2"/>
  <c r="CB37" i="2" s="1"/>
  <c r="CC37" i="2" s="1"/>
  <c r="BZ39" i="2" l="1"/>
  <c r="BY40" i="2"/>
  <c r="CA38" i="2"/>
  <c r="CB38" i="2" s="1"/>
  <c r="CC38" i="2" s="1"/>
  <c r="CN39" i="2"/>
  <c r="CK40" i="2"/>
  <c r="CN40" i="2" l="1"/>
  <c r="CK41" i="2"/>
  <c r="BY41" i="2"/>
  <c r="BZ40" i="2"/>
  <c r="CA39" i="2"/>
  <c r="CB39" i="2" s="1"/>
  <c r="CC39" i="2" s="1"/>
  <c r="CA40" i="2" l="1"/>
  <c r="CB40" i="2" s="1"/>
  <c r="CC40" i="2" s="1"/>
  <c r="BZ41" i="2"/>
  <c r="BY42" i="2"/>
  <c r="CN41" i="2"/>
  <c r="CK42" i="2"/>
  <c r="CN42" i="2" l="1"/>
  <c r="CK43" i="2"/>
  <c r="BZ42" i="2"/>
  <c r="BY43" i="2"/>
  <c r="CA41" i="2"/>
  <c r="CB41" i="2" s="1"/>
  <c r="CC41" i="2" s="1"/>
  <c r="BY44" i="2" l="1"/>
  <c r="BZ43" i="2"/>
  <c r="CA42" i="2"/>
  <c r="CB42" i="2" s="1"/>
  <c r="CC42" i="2" s="1"/>
  <c r="CN43" i="2"/>
  <c r="CK44" i="2"/>
  <c r="CK45" i="2" l="1"/>
  <c r="CN44" i="2"/>
  <c r="CA43" i="2"/>
  <c r="CB43" i="2" s="1"/>
  <c r="CC43" i="2" s="1"/>
  <c r="BY45" i="2"/>
  <c r="BZ44" i="2"/>
  <c r="BY46" i="2" l="1"/>
  <c r="BZ45" i="2"/>
  <c r="CA44" i="2"/>
  <c r="CB44" i="2" s="1"/>
  <c r="CC44" i="2" s="1"/>
  <c r="CN45" i="2"/>
  <c r="CK46" i="2"/>
  <c r="CN46" i="2" l="1"/>
  <c r="CK47" i="2"/>
  <c r="CA45" i="2"/>
  <c r="CB45" i="2" s="1"/>
  <c r="CC45" i="2" s="1"/>
  <c r="BZ46" i="2"/>
  <c r="BY47" i="2"/>
  <c r="BY48" i="2" l="1"/>
  <c r="BZ47" i="2"/>
  <c r="CA46" i="2"/>
  <c r="CB46" i="2" s="1"/>
  <c r="CC46" i="2" s="1"/>
  <c r="CN47" i="2"/>
  <c r="CK48" i="2"/>
  <c r="CN48" i="2" l="1"/>
  <c r="CK49" i="2"/>
  <c r="CA47" i="2"/>
  <c r="CB47" i="2" s="1"/>
  <c r="CC47" i="2" s="1"/>
  <c r="BZ48" i="2"/>
  <c r="BY49" i="2"/>
  <c r="BZ49" i="2" l="1"/>
  <c r="BY50" i="2"/>
  <c r="CA48" i="2"/>
  <c r="CB48" i="2" s="1"/>
  <c r="CC48" i="2" s="1"/>
  <c r="CN49" i="2"/>
  <c r="CK50" i="2"/>
  <c r="CN50" i="2" l="1"/>
  <c r="CK51" i="2"/>
  <c r="BZ50" i="2"/>
  <c r="BY51" i="2"/>
  <c r="CA49" i="2"/>
  <c r="CB49" i="2" s="1"/>
  <c r="CC49" i="2" s="1"/>
  <c r="BY52" i="2" l="1"/>
  <c r="BZ51" i="2"/>
  <c r="CA50" i="2"/>
  <c r="CB50" i="2" s="1"/>
  <c r="CC50" i="2" s="1"/>
  <c r="CK52" i="2"/>
  <c r="CN51" i="2"/>
  <c r="CK53" i="2" l="1"/>
  <c r="CN52" i="2"/>
  <c r="CA51" i="2"/>
  <c r="CB51" i="2" s="1"/>
  <c r="CC51" i="2" s="1"/>
  <c r="BZ52" i="2"/>
  <c r="BY53" i="2"/>
  <c r="BZ53" i="2" l="1"/>
  <c r="BY54" i="2"/>
  <c r="CA52" i="2"/>
  <c r="CB52" i="2" s="1"/>
  <c r="CC52" i="2" s="1"/>
  <c r="CN53" i="2"/>
  <c r="CK54" i="2"/>
  <c r="CN54" i="2" l="1"/>
  <c r="CK55" i="2"/>
  <c r="BY55" i="2"/>
  <c r="BZ54" i="2"/>
  <c r="CA53" i="2"/>
  <c r="CB53" i="2" s="1"/>
  <c r="CC53" i="2" s="1"/>
  <c r="CN55" i="2" l="1"/>
  <c r="CK56" i="2"/>
  <c r="CA54" i="2"/>
  <c r="CB54" i="2" s="1"/>
  <c r="CC54" i="2" s="1"/>
  <c r="BZ55" i="2"/>
  <c r="BY56" i="2"/>
  <c r="BZ56" i="2" l="1"/>
  <c r="BY57" i="2"/>
  <c r="CA55" i="2"/>
  <c r="CB55" i="2" s="1"/>
  <c r="CC55" i="2" s="1"/>
  <c r="CN56" i="2"/>
  <c r="CK57" i="2"/>
  <c r="CN57" i="2" l="1"/>
  <c r="CK58" i="2"/>
  <c r="BZ57" i="2"/>
  <c r="BY58" i="2"/>
  <c r="CA56" i="2"/>
  <c r="CB56" i="2" s="1"/>
  <c r="CC56" i="2" s="1"/>
  <c r="BY59" i="2" l="1"/>
  <c r="BZ58" i="2"/>
  <c r="CA57" i="2"/>
  <c r="CB57" i="2" s="1"/>
  <c r="CC57" i="2" s="1"/>
  <c r="CN58" i="2"/>
  <c r="CK59" i="2"/>
  <c r="CN59" i="2" l="1"/>
  <c r="CK60" i="2"/>
  <c r="CA58" i="2"/>
  <c r="CB58" i="2" s="1"/>
  <c r="CC58" i="2" s="1"/>
  <c r="BZ59" i="2"/>
  <c r="BY60" i="2"/>
  <c r="BY61" i="2" l="1"/>
  <c r="BZ60" i="2"/>
  <c r="CA59" i="2"/>
  <c r="CB59" i="2" s="1"/>
  <c r="CC59" i="2" s="1"/>
  <c r="CK61" i="2"/>
  <c r="CN60" i="2"/>
  <c r="CN61" i="2" l="1"/>
  <c r="CK62" i="2"/>
  <c r="CA60" i="2"/>
  <c r="CB60" i="2" s="1"/>
  <c r="CC60" i="2" s="1"/>
  <c r="BZ61" i="2"/>
  <c r="BY62" i="2"/>
  <c r="BY63" i="2" l="1"/>
  <c r="BZ62" i="2"/>
  <c r="CA61" i="2"/>
  <c r="CB61" i="2" s="1"/>
  <c r="CC61" i="2" s="1"/>
  <c r="CN62" i="2"/>
  <c r="CK63" i="2"/>
  <c r="CN63" i="2" l="1"/>
  <c r="CK64" i="2"/>
  <c r="CA62" i="2"/>
  <c r="CB62" i="2" s="1"/>
  <c r="CC62" i="2" s="1"/>
  <c r="BY64" i="2"/>
  <c r="BZ63" i="2"/>
  <c r="CA63" i="2" l="1"/>
  <c r="CB63" i="2" s="1"/>
  <c r="CC63" i="2" s="1"/>
  <c r="BY65" i="2"/>
  <c r="BZ64" i="2"/>
  <c r="CN64" i="2"/>
  <c r="CK65" i="2"/>
  <c r="CA64" i="2" l="1"/>
  <c r="CB64" i="2" s="1"/>
  <c r="CC64" i="2" s="1"/>
  <c r="CN65" i="2"/>
  <c r="CK66" i="2"/>
  <c r="BY66" i="2"/>
  <c r="BZ65" i="2"/>
  <c r="CA65" i="2" l="1"/>
  <c r="CB65" i="2" s="1"/>
  <c r="CC65" i="2" s="1"/>
  <c r="BZ66" i="2"/>
  <c r="BY67" i="2"/>
  <c r="CN66" i="2"/>
  <c r="CK67" i="2"/>
  <c r="CN67" i="2" l="1"/>
  <c r="CK68" i="2"/>
  <c r="BY68" i="2"/>
  <c r="BZ67" i="2"/>
  <c r="CA66" i="2"/>
  <c r="CB66" i="2" s="1"/>
  <c r="CC66" i="2" s="1"/>
  <c r="CA67" i="2" l="1"/>
  <c r="CB67" i="2" s="1"/>
  <c r="CC67" i="2" s="1"/>
  <c r="BY69" i="2"/>
  <c r="BZ68" i="2"/>
  <c r="CN68" i="2"/>
  <c r="CK69" i="2"/>
  <c r="CN69" i="2" l="1"/>
  <c r="CK70" i="2"/>
  <c r="CA68" i="2"/>
  <c r="CB68" i="2" s="1"/>
  <c r="CC68" i="2" s="1"/>
  <c r="BZ69" i="2"/>
  <c r="BY70" i="2"/>
  <c r="BZ70" i="2" l="1"/>
  <c r="BY71" i="2"/>
  <c r="CA69" i="2"/>
  <c r="CB69" i="2" s="1"/>
  <c r="CC69" i="2" s="1"/>
  <c r="CN70" i="2"/>
  <c r="CK71" i="2"/>
  <c r="CN71" i="2" l="1"/>
  <c r="CK72" i="2"/>
  <c r="BZ71" i="2"/>
  <c r="BY72" i="2"/>
  <c r="CA70" i="2"/>
  <c r="CB70" i="2" s="1"/>
  <c r="CC70" i="2" s="1"/>
  <c r="BY73" i="2" l="1"/>
  <c r="BZ72" i="2"/>
  <c r="CA71" i="2"/>
  <c r="CB71" i="2" s="1"/>
  <c r="CC71" i="2" s="1"/>
  <c r="CN72" i="2"/>
  <c r="CK73" i="2"/>
  <c r="CN73" i="2" l="1"/>
  <c r="CK74" i="2"/>
  <c r="CA72" i="2"/>
  <c r="CB72" i="2" s="1"/>
  <c r="CC72" i="2" s="1"/>
  <c r="BY74" i="2"/>
  <c r="BZ73" i="2"/>
  <c r="CA73" i="2" l="1"/>
  <c r="CB73" i="2" s="1"/>
  <c r="CC73" i="2" s="1"/>
  <c r="BZ74" i="2"/>
  <c r="BY75" i="2"/>
  <c r="CN74" i="2"/>
  <c r="CK75" i="2"/>
  <c r="CN75" i="2" l="1"/>
  <c r="CK76" i="2"/>
  <c r="BY76" i="2"/>
  <c r="BZ75" i="2"/>
  <c r="CA74" i="2"/>
  <c r="CB74" i="2" s="1"/>
  <c r="CC74" i="2" s="1"/>
  <c r="CA75" i="2" l="1"/>
  <c r="CB75" i="2" s="1"/>
  <c r="CC75" i="2" s="1"/>
  <c r="BZ76" i="2"/>
  <c r="BY77" i="2"/>
  <c r="CN76" i="2"/>
  <c r="CK77" i="2"/>
  <c r="CK78" i="2" l="1"/>
  <c r="CN77" i="2"/>
  <c r="BZ77" i="2"/>
  <c r="BY78" i="2"/>
  <c r="CA76" i="2"/>
  <c r="CB76" i="2" s="1"/>
  <c r="CC76" i="2" s="1"/>
  <c r="BY79" i="2" l="1"/>
  <c r="BZ78" i="2"/>
  <c r="CA77" i="2"/>
  <c r="CB77" i="2" s="1"/>
  <c r="CC77" i="2" s="1"/>
  <c r="CN78" i="2"/>
  <c r="CK79" i="2"/>
  <c r="CN79" i="2" l="1"/>
  <c r="CK80" i="2"/>
  <c r="CA78" i="2"/>
  <c r="CB78" i="2" s="1"/>
  <c r="CC78" i="2" s="1"/>
  <c r="BY80" i="2"/>
  <c r="BZ79" i="2"/>
  <c r="CA79" i="2" l="1"/>
  <c r="CB79" i="2" s="1"/>
  <c r="CC79" i="2" s="1"/>
  <c r="BY81" i="2"/>
  <c r="BZ80" i="2"/>
  <c r="CN80" i="2"/>
  <c r="CK81" i="2"/>
  <c r="CN81" i="2" l="1"/>
  <c r="CK82" i="2"/>
  <c r="CA80" i="2"/>
  <c r="CB80" i="2" s="1"/>
  <c r="CC80" i="2" s="1"/>
  <c r="BY82" i="2"/>
  <c r="BZ81" i="2"/>
  <c r="CA81" i="2" l="1"/>
  <c r="CB81" i="2" s="1"/>
  <c r="CC81" i="2" s="1"/>
  <c r="BY83" i="2"/>
  <c r="BZ82" i="2"/>
  <c r="CN82" i="2"/>
  <c r="CK83" i="2"/>
  <c r="CA82" i="2" l="1"/>
  <c r="CB82" i="2" s="1"/>
  <c r="CC82" i="2" s="1"/>
  <c r="CN83" i="2"/>
  <c r="CK84" i="2"/>
  <c r="BY84" i="2"/>
  <c r="BZ83" i="2"/>
  <c r="CA83" i="2" l="1"/>
  <c r="CB83" i="2" s="1"/>
  <c r="CC83" i="2" s="1"/>
  <c r="BY85" i="2"/>
  <c r="BZ84" i="2"/>
  <c r="CN84" i="2"/>
  <c r="CK85" i="2"/>
  <c r="CA84" i="2" l="1"/>
  <c r="CB84" i="2" s="1"/>
  <c r="CC84" i="2" s="1"/>
  <c r="CN85" i="2"/>
  <c r="CK86" i="2"/>
  <c r="BY86" i="2"/>
  <c r="BZ85" i="2"/>
  <c r="CA85" i="2" l="1"/>
  <c r="CB85" i="2" s="1"/>
  <c r="CC85" i="2" s="1"/>
  <c r="BZ86" i="2"/>
  <c r="BY87" i="2"/>
  <c r="CN86" i="2"/>
  <c r="CK87" i="2"/>
  <c r="CN87" i="2" l="1"/>
  <c r="CK88" i="2"/>
  <c r="BZ87" i="2"/>
  <c r="BY88" i="2"/>
  <c r="CA86" i="2"/>
  <c r="CB86" i="2" s="1"/>
  <c r="CC86" i="2" s="1"/>
  <c r="BY89" i="2" l="1"/>
  <c r="BZ88" i="2"/>
  <c r="CA87" i="2"/>
  <c r="CB87" i="2" s="1"/>
  <c r="CC87" i="2" s="1"/>
  <c r="CN88" i="2"/>
  <c r="CK89" i="2"/>
  <c r="CN89" i="2" l="1"/>
  <c r="CK90" i="2"/>
  <c r="CA88" i="2"/>
  <c r="CB88" i="2" s="1"/>
  <c r="CC88" i="2" s="1"/>
  <c r="BZ89" i="2"/>
  <c r="BY90" i="2"/>
  <c r="CA89" i="2" l="1"/>
  <c r="CB89" i="2" s="1"/>
  <c r="CC89" i="2" s="1"/>
  <c r="BY91" i="2"/>
  <c r="BZ90" i="2"/>
  <c r="CN90" i="2"/>
  <c r="CK91" i="2"/>
  <c r="CN91" i="2" l="1"/>
  <c r="CK92" i="2"/>
  <c r="BY92" i="2"/>
  <c r="BZ91" i="2"/>
  <c r="CA90" i="2"/>
  <c r="CB90" i="2" s="1"/>
  <c r="CC90" i="2" s="1"/>
  <c r="CA91" i="2" l="1"/>
  <c r="CB91" i="2" s="1"/>
  <c r="CC91" i="2" s="1"/>
  <c r="BZ92" i="2"/>
  <c r="BY93" i="2"/>
  <c r="CN92" i="2"/>
  <c r="CK93" i="2"/>
  <c r="CN93" i="2" l="1"/>
  <c r="CK94" i="2"/>
  <c r="CA92" i="2"/>
  <c r="CB92" i="2" s="1"/>
  <c r="CC92" i="2" s="1"/>
  <c r="BY94" i="2"/>
  <c r="BZ93" i="2"/>
  <c r="CA93" i="2" l="1"/>
  <c r="CB93" i="2" s="1"/>
  <c r="CC93" i="2" s="1"/>
  <c r="BY95" i="2"/>
  <c r="BZ94" i="2"/>
  <c r="CN94" i="2"/>
  <c r="CK95" i="2"/>
  <c r="CA94" i="2" l="1"/>
  <c r="CB94" i="2" s="1"/>
  <c r="CC94" i="2" s="1"/>
  <c r="CN95" i="2"/>
  <c r="CK96" i="2"/>
  <c r="BY96" i="2"/>
  <c r="BZ95" i="2"/>
  <c r="CK97" i="2" l="1"/>
  <c r="CN96" i="2"/>
  <c r="BZ96" i="2"/>
  <c r="BY97" i="2"/>
  <c r="CA95" i="2"/>
  <c r="CB95" i="2" s="1"/>
  <c r="CC95" i="2" s="1"/>
  <c r="BY98" i="2" l="1"/>
  <c r="BZ97" i="2"/>
  <c r="CA96" i="2"/>
  <c r="CB96" i="2" s="1"/>
  <c r="CC96" i="2" s="1"/>
  <c r="CN97" i="2"/>
  <c r="CK98" i="2"/>
  <c r="CN98" i="2" l="1"/>
  <c r="CK99" i="2"/>
  <c r="CA97" i="2"/>
  <c r="CB97" i="2" s="1"/>
  <c r="CC97" i="2" s="1"/>
  <c r="BZ98" i="2"/>
  <c r="BY99" i="2"/>
  <c r="BZ99" i="2" l="1"/>
  <c r="BY100" i="2"/>
  <c r="CA98" i="2"/>
  <c r="CB98" i="2" s="1"/>
  <c r="CC98" i="2" s="1"/>
  <c r="CN99" i="2"/>
  <c r="CK100" i="2"/>
  <c r="CN100" i="2" l="1"/>
  <c r="CK101" i="2"/>
  <c r="BZ100" i="2"/>
  <c r="BY101" i="2"/>
  <c r="CA99" i="2"/>
  <c r="CB99" i="2" s="1"/>
  <c r="CC99" i="2" s="1"/>
  <c r="BY102" i="2" l="1"/>
  <c r="BZ101" i="2"/>
  <c r="CA100" i="2"/>
  <c r="CB100" i="2" s="1"/>
  <c r="CC100" i="2" s="1"/>
  <c r="CK102" i="2"/>
  <c r="CN101" i="2"/>
  <c r="CN102" i="2" l="1"/>
  <c r="CK103" i="2"/>
  <c r="CA101" i="2"/>
  <c r="CB101" i="2" s="1"/>
  <c r="CC101" i="2" s="1"/>
  <c r="BZ102" i="2"/>
  <c r="BY103" i="2"/>
  <c r="BZ103" i="2" l="1"/>
  <c r="BY104" i="2"/>
  <c r="CA102" i="2"/>
  <c r="CB102" i="2" s="1"/>
  <c r="CC102" i="2" s="1"/>
  <c r="CN103" i="2"/>
  <c r="CK104" i="2"/>
  <c r="CN104" i="2" l="1"/>
  <c r="CK105" i="2"/>
  <c r="BZ104" i="2"/>
  <c r="BY105" i="2"/>
  <c r="CA103" i="2"/>
  <c r="CB103" i="2" s="1"/>
  <c r="CC103" i="2" s="1"/>
  <c r="BY106" i="2" l="1"/>
  <c r="BZ105" i="2"/>
  <c r="CA104" i="2"/>
  <c r="CB104" i="2" s="1"/>
  <c r="CC104" i="2" s="1"/>
  <c r="CN105" i="2"/>
  <c r="CK106" i="2"/>
  <c r="CN106" i="2" l="1"/>
  <c r="CK107" i="2"/>
  <c r="CA105" i="2"/>
  <c r="CB105" i="2" s="1"/>
  <c r="CC105" i="2" s="1"/>
  <c r="BY107" i="2"/>
  <c r="BZ106" i="2"/>
  <c r="CA106" i="2" l="1"/>
  <c r="CB106" i="2" s="1"/>
  <c r="CC106" i="2" s="1"/>
  <c r="BZ107" i="2"/>
  <c r="BY108" i="2"/>
  <c r="CN107" i="2"/>
  <c r="CK108" i="2"/>
  <c r="CN108" i="2" l="1"/>
  <c r="CK109" i="2"/>
  <c r="BZ108" i="2"/>
  <c r="BY109" i="2"/>
  <c r="CA107" i="2"/>
  <c r="CB107" i="2" s="1"/>
  <c r="CC107" i="2" s="1"/>
  <c r="BZ109" i="2" l="1"/>
  <c r="BY110" i="2"/>
  <c r="CA108" i="2"/>
  <c r="CB108" i="2" s="1"/>
  <c r="CC108" i="2" s="1"/>
  <c r="CN109" i="2"/>
  <c r="CK110" i="2"/>
  <c r="CN110" i="2" l="1"/>
  <c r="CK111" i="2"/>
  <c r="BY111" i="2"/>
  <c r="BZ110" i="2"/>
  <c r="CA109" i="2"/>
  <c r="CB109" i="2" s="1"/>
  <c r="CC109" i="2" s="1"/>
  <c r="CA110" i="2" l="1"/>
  <c r="CB110" i="2" s="1"/>
  <c r="CC110" i="2" s="1"/>
  <c r="BZ111" i="2"/>
  <c r="BY112" i="2"/>
  <c r="CK112" i="2"/>
  <c r="CN111" i="2"/>
  <c r="CN112" i="2" l="1"/>
  <c r="CK113" i="2"/>
  <c r="BY113" i="2"/>
  <c r="BZ112" i="2"/>
  <c r="CA111" i="2"/>
  <c r="CB111" i="2" s="1"/>
  <c r="CC111" i="2" s="1"/>
  <c r="CA112" i="2" l="1"/>
  <c r="CB112" i="2" s="1"/>
  <c r="CC112" i="2" s="1"/>
  <c r="BY114" i="2"/>
  <c r="BZ113" i="2"/>
  <c r="CN113" i="2"/>
  <c r="CK114" i="2"/>
  <c r="CA113" i="2" l="1"/>
  <c r="CB113" i="2" s="1"/>
  <c r="CC113" i="2" s="1"/>
  <c r="CN114" i="2"/>
  <c r="CK115" i="2"/>
  <c r="BY115" i="2"/>
  <c r="BZ114" i="2"/>
  <c r="CN115" i="2" l="1"/>
  <c r="CK116" i="2"/>
  <c r="CA114" i="2"/>
  <c r="CB114" i="2" s="1"/>
  <c r="CC114" i="2" s="1"/>
  <c r="BY116" i="2"/>
  <c r="BZ115" i="2"/>
  <c r="CA115" i="2" l="1"/>
  <c r="CB115" i="2" s="1"/>
  <c r="CC115" i="2" s="1"/>
  <c r="BZ116" i="2"/>
  <c r="BY117" i="2"/>
  <c r="CN116" i="2"/>
  <c r="CK117" i="2"/>
  <c r="CN117" i="2" l="1"/>
  <c r="CK118" i="2"/>
  <c r="BZ117" i="2"/>
  <c r="BY118" i="2"/>
  <c r="CA116" i="2"/>
  <c r="CB116" i="2" s="1"/>
  <c r="CC116" i="2" s="1"/>
  <c r="BY119" i="2" l="1"/>
  <c r="BZ118" i="2"/>
  <c r="CA117" i="2"/>
  <c r="CB117" i="2" s="1"/>
  <c r="CC117" i="2" s="1"/>
  <c r="CN118" i="2"/>
  <c r="CK119" i="2"/>
  <c r="CK120" i="2" l="1"/>
  <c r="CN119" i="2"/>
  <c r="CA118" i="2"/>
  <c r="CB118" i="2" s="1"/>
  <c r="CC118" i="2" s="1"/>
  <c r="BZ119" i="2"/>
  <c r="BY120" i="2"/>
  <c r="BZ120" i="2" l="1"/>
  <c r="BY121" i="2"/>
  <c r="CA119" i="2"/>
  <c r="CB119" i="2" s="1"/>
  <c r="CC119" i="2" s="1"/>
  <c r="CN120" i="2"/>
  <c r="CK121" i="2"/>
  <c r="CN121" i="2" l="1"/>
  <c r="CK122" i="2"/>
  <c r="BZ121" i="2"/>
  <c r="BY122" i="2"/>
  <c r="CA120" i="2"/>
  <c r="CB120" i="2" s="1"/>
  <c r="CC120" i="2" s="1"/>
  <c r="BZ122" i="2" l="1"/>
  <c r="BY123" i="2"/>
  <c r="CA121" i="2"/>
  <c r="CB121" i="2" s="1"/>
  <c r="CC121" i="2" s="1"/>
  <c r="CN122" i="2"/>
  <c r="CK123" i="2"/>
  <c r="CN123" i="2" l="1"/>
  <c r="CK124" i="2"/>
  <c r="BZ123" i="2"/>
  <c r="BY124" i="2"/>
  <c r="CA122" i="2"/>
  <c r="CB122" i="2" s="1"/>
  <c r="CC122" i="2" s="1"/>
  <c r="BY125" i="2" l="1"/>
  <c r="BZ124" i="2"/>
  <c r="CA123" i="2"/>
  <c r="CB123" i="2" s="1"/>
  <c r="CC123" i="2" s="1"/>
  <c r="CN124" i="2"/>
  <c r="CK125" i="2"/>
  <c r="CA124" i="2" l="1"/>
  <c r="CB124" i="2" s="1"/>
  <c r="CC124" i="2" s="1"/>
  <c r="CN125" i="2"/>
  <c r="CK126" i="2"/>
  <c r="BZ125" i="2"/>
  <c r="BY126" i="2"/>
  <c r="BZ126" i="2" l="1"/>
  <c r="BY127" i="2"/>
  <c r="CA125" i="2"/>
  <c r="CB125" i="2" s="1"/>
  <c r="CC125" i="2" s="1"/>
  <c r="CN126" i="2"/>
  <c r="CK127" i="2"/>
  <c r="CN127" i="2" l="1"/>
  <c r="CK128" i="2"/>
  <c r="BY128" i="2"/>
  <c r="BZ127" i="2"/>
  <c r="CA126" i="2"/>
  <c r="CB126" i="2" s="1"/>
  <c r="CC126" i="2" s="1"/>
  <c r="CA127" i="2" l="1"/>
  <c r="CB127" i="2" s="1"/>
  <c r="CC127" i="2" s="1"/>
  <c r="BZ128" i="2"/>
  <c r="BY129" i="2"/>
  <c r="CN128" i="2"/>
  <c r="CK129" i="2"/>
  <c r="CA128" i="2" l="1"/>
  <c r="CB128" i="2" s="1"/>
  <c r="CC128" i="2" s="1"/>
  <c r="CN129" i="2"/>
  <c r="CK130" i="2"/>
  <c r="BY130" i="2"/>
  <c r="BZ129" i="2"/>
  <c r="CA129" i="2" l="1"/>
  <c r="CB129" i="2" s="1"/>
  <c r="CC129" i="2" s="1"/>
  <c r="BZ130" i="2"/>
  <c r="BY131" i="2"/>
  <c r="CN130" i="2"/>
  <c r="CK131" i="2"/>
  <c r="CN131" i="2" l="1"/>
  <c r="CK132" i="2"/>
  <c r="BY132" i="2"/>
  <c r="BZ131" i="2"/>
  <c r="CA130" i="2"/>
  <c r="CB130" i="2" s="1"/>
  <c r="CC130" i="2" s="1"/>
  <c r="CA131" i="2" l="1"/>
  <c r="CB131" i="2" s="1"/>
  <c r="CC131" i="2" s="1"/>
  <c r="BY133" i="2"/>
  <c r="BZ132" i="2"/>
  <c r="CN132" i="2"/>
  <c r="CK133" i="2"/>
  <c r="CN133" i="2" l="1"/>
  <c r="CK134" i="2"/>
  <c r="BZ133" i="2"/>
  <c r="BY134" i="2"/>
  <c r="CA132" i="2"/>
  <c r="CB132" i="2" s="1"/>
  <c r="CC132" i="2" s="1"/>
  <c r="BY135" i="2" l="1"/>
  <c r="BZ134" i="2"/>
  <c r="CN134" i="2"/>
  <c r="CK135" i="2"/>
  <c r="CA133" i="2"/>
  <c r="CB133" i="2" s="1"/>
  <c r="CC133" i="2" s="1"/>
  <c r="CN135" i="2" l="1"/>
  <c r="CK136" i="2"/>
  <c r="CA134" i="2"/>
  <c r="CB134" i="2" s="1"/>
  <c r="CC134" i="2" s="1"/>
  <c r="BY136" i="2"/>
  <c r="BZ135" i="2"/>
  <c r="CA135" i="2" l="1"/>
  <c r="CB135" i="2" s="1"/>
  <c r="CC135" i="2" s="1"/>
  <c r="BZ136" i="2"/>
  <c r="BY137" i="2"/>
  <c r="CN136" i="2"/>
  <c r="CK137" i="2"/>
  <c r="BY138" i="2" l="1"/>
  <c r="BZ137" i="2"/>
  <c r="CA136" i="2"/>
  <c r="CB136" i="2" s="1"/>
  <c r="CC136" i="2" s="1"/>
  <c r="CN137" i="2"/>
  <c r="CK138" i="2"/>
  <c r="CN138" i="2" l="1"/>
  <c r="CK139" i="2"/>
  <c r="CA137" i="2"/>
  <c r="CB137" i="2" s="1"/>
  <c r="CC137" i="2" s="1"/>
  <c r="BZ138" i="2"/>
  <c r="BY139" i="2"/>
  <c r="BY140" i="2" l="1"/>
  <c r="BZ139" i="2"/>
  <c r="CA138" i="2"/>
  <c r="CB138" i="2" s="1"/>
  <c r="CC138" i="2" s="1"/>
  <c r="CK140" i="2"/>
  <c r="CN139" i="2"/>
  <c r="CN140" i="2" l="1"/>
  <c r="CK141" i="2"/>
  <c r="CA139" i="2"/>
  <c r="CB139" i="2" s="1"/>
  <c r="CC139" i="2" s="1"/>
  <c r="BZ140" i="2"/>
  <c r="BY141" i="2"/>
  <c r="BZ141" i="2" l="1"/>
  <c r="BY142" i="2"/>
  <c r="CA140" i="2"/>
  <c r="CB140" i="2" s="1"/>
  <c r="CC140" i="2" s="1"/>
  <c r="CN141" i="2"/>
  <c r="CK142" i="2"/>
  <c r="CN142" i="2" l="1"/>
  <c r="CK143" i="2"/>
  <c r="BY143" i="2"/>
  <c r="BZ142" i="2"/>
  <c r="CA141" i="2"/>
  <c r="CB141" i="2" s="1"/>
  <c r="CC141" i="2" s="1"/>
  <c r="CA142" i="2" l="1"/>
  <c r="CB142" i="2" s="1"/>
  <c r="CC142" i="2" s="1"/>
  <c r="BZ143" i="2"/>
  <c r="BY144" i="2"/>
  <c r="CN143" i="2"/>
  <c r="CK144" i="2"/>
  <c r="CN144" i="2" l="1"/>
  <c r="CK145" i="2"/>
  <c r="BY145" i="2"/>
  <c r="BZ144" i="2"/>
  <c r="CA143" i="2"/>
  <c r="CB143" i="2" s="1"/>
  <c r="CC143" i="2" s="1"/>
  <c r="CA144" i="2" l="1"/>
  <c r="CB144" i="2" s="1"/>
  <c r="CC144" i="2" s="1"/>
  <c r="BY146" i="2"/>
  <c r="BZ145" i="2"/>
  <c r="CN145" i="2"/>
  <c r="CK146" i="2"/>
  <c r="CA145" i="2" l="1"/>
  <c r="CB145" i="2" s="1"/>
  <c r="CC145" i="2" s="1"/>
  <c r="CN146" i="2"/>
  <c r="CK147" i="2"/>
  <c r="BY147" i="2"/>
  <c r="BZ146" i="2"/>
  <c r="CA146" i="2" l="1"/>
  <c r="CB146" i="2" s="1"/>
  <c r="CC146" i="2" s="1"/>
  <c r="BZ147" i="2"/>
  <c r="BY148" i="2"/>
  <c r="CN147" i="2"/>
  <c r="CK148" i="2"/>
  <c r="BY149" i="2" l="1"/>
  <c r="BZ148" i="2"/>
  <c r="CA147" i="2"/>
  <c r="CB147" i="2" s="1"/>
  <c r="CC147" i="2" s="1"/>
  <c r="CN148" i="2"/>
  <c r="CK149" i="2"/>
  <c r="CA148" i="2" l="1"/>
  <c r="CB148" i="2" s="1"/>
  <c r="CC148" i="2" s="1"/>
  <c r="CN149" i="2"/>
  <c r="CK150" i="2"/>
  <c r="BY150" i="2"/>
  <c r="BZ149" i="2"/>
  <c r="CA149" i="2" l="1"/>
  <c r="CB149" i="2"/>
  <c r="CC149" i="2" s="1"/>
  <c r="CN150" i="2"/>
  <c r="CK151" i="2"/>
  <c r="BY151" i="2"/>
  <c r="BZ150" i="2"/>
  <c r="CN151" i="2" l="1"/>
  <c r="CK152" i="2"/>
  <c r="CA150" i="2"/>
  <c r="CB150" i="2" s="1"/>
  <c r="CC150" i="2" s="1"/>
  <c r="BZ151" i="2"/>
  <c r="BY152" i="2"/>
  <c r="BY153" i="2" l="1"/>
  <c r="BZ152" i="2"/>
  <c r="CA151" i="2"/>
  <c r="CB151" i="2" s="1"/>
  <c r="CC151" i="2" s="1"/>
  <c r="CN152" i="2"/>
  <c r="CK153" i="2"/>
  <c r="CN153" i="2" l="1"/>
  <c r="CK154" i="2"/>
  <c r="CA152" i="2"/>
  <c r="CB152" i="2" s="1"/>
  <c r="CC152" i="2" s="1"/>
  <c r="BZ153" i="2"/>
  <c r="BY154" i="2"/>
  <c r="BY155" i="2" l="1"/>
  <c r="BZ154" i="2"/>
  <c r="CA153" i="2"/>
  <c r="CB153" i="2" s="1"/>
  <c r="CC153" i="2" s="1"/>
  <c r="CN154" i="2"/>
  <c r="CK155" i="2"/>
  <c r="CD83" i="2" l="1"/>
  <c r="CD119" i="2"/>
  <c r="CD196" i="2"/>
  <c r="CD71" i="2"/>
  <c r="CD115" i="2"/>
  <c r="CD77" i="2"/>
  <c r="CD12" i="2"/>
  <c r="CD194" i="2"/>
  <c r="CD92" i="2"/>
  <c r="CD21" i="2"/>
  <c r="CD147" i="2"/>
  <c r="CD178" i="2"/>
  <c r="CD137" i="2"/>
  <c r="CD201" i="2"/>
  <c r="CD125" i="2"/>
  <c r="CD193" i="2"/>
  <c r="CD177" i="2"/>
  <c r="CD152" i="2"/>
  <c r="CD192" i="2"/>
  <c r="CD148" i="2"/>
  <c r="CD50" i="2"/>
  <c r="CD99" i="2"/>
  <c r="CD122" i="2"/>
  <c r="CD142" i="2"/>
  <c r="CD101" i="2"/>
  <c r="CD139" i="2"/>
  <c r="CD123" i="2"/>
  <c r="CD197" i="2"/>
  <c r="CD128" i="2"/>
  <c r="CD126" i="2"/>
  <c r="CD138" i="2"/>
  <c r="CD3" i="2"/>
  <c r="C9" i="4" s="1"/>
  <c r="E9" i="4" s="1"/>
  <c r="F9" i="4" s="1"/>
  <c r="CD59" i="2"/>
  <c r="CD182" i="2"/>
  <c r="CD169" i="2"/>
  <c r="CD55" i="2"/>
  <c r="CD72" i="2"/>
  <c r="CD113" i="2"/>
  <c r="CD100" i="2"/>
  <c r="CD61" i="2"/>
  <c r="CD31" i="2"/>
  <c r="CD150" i="2"/>
  <c r="CD60" i="2"/>
  <c r="CD195" i="2"/>
  <c r="CD184" i="2"/>
  <c r="CD127" i="2"/>
  <c r="CD62" i="2"/>
  <c r="CD13" i="2"/>
  <c r="CD34" i="2"/>
  <c r="CD140" i="2"/>
  <c r="CD43" i="2"/>
  <c r="CD146" i="2"/>
  <c r="CD39" i="2"/>
  <c r="CD65" i="2"/>
  <c r="CD44" i="2"/>
  <c r="CD143" i="2"/>
  <c r="CD135" i="2"/>
  <c r="CD76" i="2"/>
  <c r="CD94" i="2"/>
  <c r="CD19" i="2"/>
  <c r="CD67" i="2"/>
  <c r="CD103" i="2"/>
  <c r="CD181" i="2"/>
  <c r="CD198" i="2"/>
  <c r="CD57" i="2"/>
  <c r="CD191" i="2"/>
  <c r="CD188" i="2"/>
  <c r="CD68" i="2"/>
  <c r="CD28" i="2"/>
  <c r="CD114" i="2"/>
  <c r="CD11" i="2"/>
  <c r="CD109" i="2"/>
  <c r="CD107" i="2"/>
  <c r="CD144" i="2"/>
  <c r="CD97" i="2"/>
  <c r="CD167" i="2"/>
  <c r="CD47" i="2"/>
  <c r="CD173" i="2"/>
  <c r="CD82" i="2"/>
  <c r="CD38" i="2"/>
  <c r="CD174" i="2"/>
  <c r="CD7" i="2"/>
  <c r="CD17" i="2"/>
  <c r="CD155" i="2"/>
  <c r="CD199" i="2"/>
  <c r="CD5" i="2"/>
  <c r="CD24" i="2"/>
  <c r="CD186" i="2"/>
  <c r="CD187" i="2"/>
  <c r="CD89" i="2"/>
  <c r="CD88" i="2"/>
  <c r="CD87" i="2"/>
  <c r="CD51" i="2"/>
  <c r="CD172" i="2"/>
  <c r="CD157" i="2"/>
  <c r="CD27" i="2"/>
  <c r="CD95" i="2"/>
  <c r="CD170" i="2"/>
  <c r="CD151" i="2"/>
  <c r="CD131" i="2"/>
  <c r="CD37" i="2"/>
  <c r="CD75" i="2"/>
  <c r="CD96" i="2"/>
  <c r="CD189" i="2"/>
  <c r="CD153" i="2"/>
  <c r="CD105" i="2"/>
  <c r="CD81" i="2"/>
  <c r="CD41" i="2"/>
  <c r="CD15" i="2"/>
  <c r="CD108" i="2"/>
  <c r="CD165" i="2"/>
  <c r="CD162" i="2"/>
  <c r="CD160" i="2"/>
  <c r="CD23" i="2"/>
  <c r="CD80" i="2"/>
  <c r="CD158" i="2"/>
  <c r="CD112" i="2"/>
  <c r="CD4" i="2"/>
  <c r="CD180" i="2"/>
  <c r="CD110" i="2"/>
  <c r="CD48" i="2"/>
  <c r="CD104" i="2"/>
  <c r="CD69" i="2"/>
  <c r="CD116" i="2"/>
  <c r="CD168" i="2"/>
  <c r="CD63" i="2"/>
  <c r="CD10" i="2"/>
  <c r="CD93" i="2"/>
  <c r="CD46" i="2"/>
  <c r="CD190" i="2"/>
  <c r="CD164" i="2"/>
  <c r="CD203" i="2"/>
  <c r="CD90" i="2"/>
  <c r="CD176" i="2"/>
  <c r="CD120" i="2"/>
  <c r="CD26" i="2"/>
  <c r="CD118" i="2"/>
  <c r="CD85" i="2"/>
  <c r="CD124" i="2"/>
  <c r="CD175" i="2"/>
  <c r="CD29" i="2"/>
  <c r="CD166" i="2"/>
  <c r="CD111" i="2"/>
  <c r="CD49" i="2"/>
  <c r="CD136" i="2"/>
  <c r="CD8" i="2"/>
  <c r="CD78" i="2"/>
  <c r="CD132" i="2"/>
  <c r="CD98" i="2"/>
  <c r="CD70" i="2"/>
  <c r="CD171" i="2"/>
  <c r="CD91" i="2"/>
  <c r="CD18" i="2"/>
  <c r="CD159" i="2"/>
  <c r="CD35" i="2"/>
  <c r="CD22" i="2"/>
  <c r="CD163" i="2"/>
  <c r="CD42" i="2"/>
  <c r="CD33" i="2"/>
  <c r="CD102" i="2"/>
  <c r="CD53" i="2"/>
  <c r="CD86" i="2"/>
  <c r="CD14" i="2"/>
  <c r="CD106" i="2"/>
  <c r="CD141" i="2"/>
  <c r="CD25" i="2"/>
  <c r="CD54" i="2"/>
  <c r="CD202" i="2"/>
  <c r="CD40" i="2"/>
  <c r="CD56" i="2"/>
  <c r="CD64" i="2"/>
  <c r="CD73" i="2"/>
  <c r="CD154" i="2"/>
  <c r="CD16" i="2"/>
  <c r="CD129" i="2"/>
  <c r="CD121" i="2"/>
  <c r="CD32" i="2"/>
  <c r="CD183" i="2"/>
  <c r="CD117" i="2"/>
  <c r="CD133" i="2"/>
  <c r="CD79" i="2"/>
  <c r="CD45" i="2"/>
  <c r="CD20" i="2"/>
  <c r="CD161" i="2"/>
  <c r="CD84" i="2"/>
  <c r="CD200" i="2"/>
  <c r="CD74" i="2"/>
  <c r="CD36" i="2"/>
  <c r="CD66" i="2"/>
  <c r="CD30" i="2"/>
  <c r="CD156" i="2"/>
  <c r="CD9" i="2"/>
  <c r="CD149" i="2"/>
  <c r="CD52" i="2"/>
  <c r="CD6" i="2"/>
  <c r="CD58" i="2"/>
  <c r="CD134" i="2"/>
  <c r="CD179" i="2"/>
  <c r="CD145" i="2"/>
  <c r="CD185" i="2"/>
  <c r="CD130" i="2"/>
  <c r="CN155" i="2"/>
  <c r="CK156" i="2"/>
  <c r="CA154" i="2"/>
  <c r="CB154" i="2" s="1"/>
  <c r="CC154" i="2" s="1"/>
  <c r="BZ155" i="2"/>
  <c r="BY156" i="2"/>
  <c r="F16" i="4" l="1"/>
  <c r="G9" i="4"/>
  <c r="BZ156" i="2"/>
  <c r="BY157" i="2"/>
  <c r="CA155" i="2"/>
  <c r="CB155" i="2" s="1"/>
  <c r="CC155" i="2" s="1"/>
  <c r="CK157" i="2"/>
  <c r="CN156" i="2"/>
  <c r="G16" i="4" l="1"/>
  <c r="L9" i="4"/>
  <c r="L16" i="4" s="1"/>
  <c r="BZ157" i="2"/>
  <c r="BY158" i="2"/>
  <c r="CN157" i="2"/>
  <c r="CK158" i="2"/>
  <c r="CA156" i="2"/>
  <c r="CB156" i="2" s="1"/>
  <c r="CC156" i="2" s="1"/>
  <c r="CN158" i="2" l="1"/>
  <c r="CK159" i="2"/>
  <c r="BZ158" i="2"/>
  <c r="BY159" i="2"/>
  <c r="CA157" i="2"/>
  <c r="CB157" i="2" s="1"/>
  <c r="CC157" i="2" s="1"/>
  <c r="BZ159" i="2" l="1"/>
  <c r="BY160" i="2"/>
  <c r="CN159" i="2"/>
  <c r="CK160" i="2"/>
  <c r="CA158" i="2"/>
  <c r="CB158" i="2" s="1"/>
  <c r="CC158" i="2" s="1"/>
  <c r="CN160" i="2" l="1"/>
  <c r="CK161" i="2"/>
  <c r="BY161" i="2"/>
  <c r="BZ160" i="2"/>
  <c r="CA159" i="2"/>
  <c r="CB159" i="2" s="1"/>
  <c r="CC159" i="2" s="1"/>
  <c r="CA160" i="2" l="1"/>
  <c r="CB160" i="2" s="1"/>
  <c r="CC160" i="2" s="1"/>
  <c r="BZ161" i="2"/>
  <c r="BY162" i="2"/>
  <c r="CN161" i="2"/>
  <c r="CK162" i="2"/>
  <c r="CA161" i="2" l="1"/>
  <c r="CB161" i="2" s="1"/>
  <c r="CC161" i="2" s="1"/>
  <c r="CN162" i="2"/>
  <c r="CK163" i="2"/>
  <c r="BZ162" i="2"/>
  <c r="BY163" i="2"/>
  <c r="BZ163" i="2" l="1"/>
  <c r="BY164" i="2"/>
  <c r="CA162" i="2"/>
  <c r="CB162" i="2" s="1"/>
  <c r="CC162" i="2" s="1"/>
  <c r="CN163" i="2"/>
  <c r="CK164" i="2"/>
  <c r="CN164" i="2" l="1"/>
  <c r="CK165" i="2"/>
  <c r="BY165" i="2"/>
  <c r="BZ164" i="2"/>
  <c r="CA163" i="2"/>
  <c r="CB163" i="2" s="1"/>
  <c r="CC163" i="2" s="1"/>
  <c r="CN165" i="2" l="1"/>
  <c r="CK166" i="2"/>
  <c r="CA164" i="2"/>
  <c r="CB164" i="2" s="1"/>
  <c r="CC164" i="2" s="1"/>
  <c r="BZ165" i="2"/>
  <c r="BY166" i="2"/>
  <c r="CA165" i="2" l="1"/>
  <c r="CB165" i="2" s="1"/>
  <c r="CC165" i="2" s="1"/>
  <c r="BY167" i="2"/>
  <c r="BZ166" i="2"/>
  <c r="CN166" i="2"/>
  <c r="CK167" i="2"/>
  <c r="CA166" i="2" l="1"/>
  <c r="CB166" i="2"/>
  <c r="CC166" i="2" s="1"/>
  <c r="CN167" i="2"/>
  <c r="CK168" i="2"/>
  <c r="BZ167" i="2"/>
  <c r="BY168" i="2"/>
  <c r="BY169" i="2" l="1"/>
  <c r="BZ168" i="2"/>
  <c r="CA167" i="2"/>
  <c r="CB167" i="2" s="1"/>
  <c r="CC167" i="2" s="1"/>
  <c r="CN168" i="2"/>
  <c r="CK169" i="2"/>
  <c r="CN169" i="2" l="1"/>
  <c r="CK170" i="2"/>
  <c r="CA168" i="2"/>
  <c r="CB168" i="2" s="1"/>
  <c r="CC168" i="2" s="1"/>
  <c r="BZ169" i="2"/>
  <c r="BY170" i="2"/>
  <c r="CA169" i="2" l="1"/>
  <c r="CB169" i="2" s="1"/>
  <c r="CC169" i="2" s="1"/>
  <c r="CN170" i="2"/>
  <c r="CK171" i="2"/>
  <c r="BY171" i="2"/>
  <c r="BZ170" i="2"/>
  <c r="CA170" i="2" l="1"/>
  <c r="CB170" i="2" s="1"/>
  <c r="CC170" i="2" s="1"/>
  <c r="BZ171" i="2"/>
  <c r="BY172" i="2"/>
  <c r="CN171" i="2"/>
  <c r="CK172" i="2"/>
  <c r="CA171" i="2" l="1"/>
  <c r="CB171" i="2" s="1"/>
  <c r="CC171" i="2" s="1"/>
  <c r="CN172" i="2"/>
  <c r="CK173" i="2"/>
  <c r="BY173" i="2"/>
  <c r="BZ172" i="2"/>
  <c r="CA172" i="2" l="1"/>
  <c r="CB172" i="2" s="1"/>
  <c r="CC172" i="2" s="1"/>
  <c r="BY174" i="2"/>
  <c r="BZ173" i="2"/>
  <c r="CN173" i="2"/>
  <c r="CK174" i="2"/>
  <c r="CA173" i="2" l="1"/>
  <c r="CB173" i="2" s="1"/>
  <c r="CC173" i="2" s="1"/>
  <c r="CK175" i="2"/>
  <c r="CN174" i="2"/>
  <c r="BY175" i="2"/>
  <c r="BZ174" i="2"/>
  <c r="CA174" i="2" l="1"/>
  <c r="CB174" i="2" s="1"/>
  <c r="CC174" i="2" s="1"/>
  <c r="BY176" i="2"/>
  <c r="BZ175" i="2"/>
  <c r="CN175" i="2"/>
  <c r="CK176" i="2"/>
  <c r="CA175" i="2" l="1"/>
  <c r="CB175" i="2"/>
  <c r="CC175" i="2" s="1"/>
  <c r="CN176" i="2"/>
  <c r="CK177" i="2"/>
  <c r="BY177" i="2"/>
  <c r="BZ176" i="2"/>
  <c r="CA176" i="2" l="1"/>
  <c r="CB176" i="2" s="1"/>
  <c r="CC176" i="2" s="1"/>
  <c r="BZ177" i="2"/>
  <c r="BY178" i="2"/>
  <c r="CN177" i="2"/>
  <c r="CK178" i="2"/>
  <c r="CN178" i="2" l="1"/>
  <c r="CK179" i="2"/>
  <c r="BY179" i="2"/>
  <c r="BZ178" i="2"/>
  <c r="CA177" i="2"/>
  <c r="CB177" i="2" s="1"/>
  <c r="CC177" i="2" s="1"/>
  <c r="CA178" i="2" l="1"/>
  <c r="CB178" i="2" s="1"/>
  <c r="CC178" i="2" s="1"/>
  <c r="BY180" i="2"/>
  <c r="BZ179" i="2"/>
  <c r="CN179" i="2"/>
  <c r="CK180" i="2"/>
  <c r="CA179" i="2" l="1"/>
  <c r="CB179" i="2"/>
  <c r="CC179" i="2" s="1"/>
  <c r="CN180" i="2"/>
  <c r="CK181" i="2"/>
  <c r="BY181" i="2"/>
  <c r="BZ180" i="2"/>
  <c r="CA180" i="2" l="1"/>
  <c r="CB180" i="2" s="1"/>
  <c r="CC180" i="2" s="1"/>
  <c r="BZ181" i="2"/>
  <c r="BY182" i="2"/>
  <c r="CN181" i="2"/>
  <c r="CK182" i="2"/>
  <c r="CN182" i="2" l="1"/>
  <c r="CK183" i="2"/>
  <c r="BY183" i="2"/>
  <c r="BZ182" i="2"/>
  <c r="CA181" i="2"/>
  <c r="CB181" i="2" s="1"/>
  <c r="CC181" i="2" s="1"/>
  <c r="CA182" i="2" l="1"/>
  <c r="CB182" i="2" s="1"/>
  <c r="CC182" i="2" s="1"/>
  <c r="BZ183" i="2"/>
  <c r="BY184" i="2"/>
  <c r="CN183" i="2"/>
  <c r="CK184" i="2"/>
  <c r="CN184" i="2" l="1"/>
  <c r="CK185" i="2"/>
  <c r="BY185" i="2"/>
  <c r="BZ184" i="2"/>
  <c r="CA183" i="2"/>
  <c r="CB183" i="2" s="1"/>
  <c r="CC183" i="2" s="1"/>
  <c r="CN185" i="2" l="1"/>
  <c r="CK186" i="2"/>
  <c r="CA184" i="2"/>
  <c r="CB184" i="2" s="1"/>
  <c r="CC184" i="2" s="1"/>
  <c r="BZ185" i="2"/>
  <c r="BY186" i="2"/>
  <c r="BZ186" i="2" l="1"/>
  <c r="BY187" i="2"/>
  <c r="CA185" i="2"/>
  <c r="CB185" i="2" s="1"/>
  <c r="CC185" i="2" s="1"/>
  <c r="CN186" i="2"/>
  <c r="CK187" i="2"/>
  <c r="CN187" i="2" l="1"/>
  <c r="CK188" i="2"/>
  <c r="BZ187" i="2"/>
  <c r="BY188" i="2"/>
  <c r="CA186" i="2"/>
  <c r="CB186" i="2" s="1"/>
  <c r="CC186" i="2" s="1"/>
  <c r="CA187" i="2" l="1"/>
  <c r="CB187" i="2" s="1"/>
  <c r="CC187" i="2" s="1"/>
  <c r="CN188" i="2"/>
  <c r="CK189" i="2"/>
  <c r="BZ188" i="2"/>
  <c r="BY189" i="2"/>
  <c r="BY190" i="2" l="1"/>
  <c r="BZ189" i="2"/>
  <c r="CA188" i="2"/>
  <c r="CB188" i="2" s="1"/>
  <c r="CC188" i="2" s="1"/>
  <c r="CN189" i="2"/>
  <c r="CK190" i="2"/>
  <c r="CN190" i="2" l="1"/>
  <c r="CK191" i="2"/>
  <c r="CA189" i="2"/>
  <c r="CB189" i="2" s="1"/>
  <c r="CC189" i="2" s="1"/>
  <c r="BZ190" i="2"/>
  <c r="BY191" i="2"/>
  <c r="BZ191" i="2" l="1"/>
  <c r="BY192" i="2"/>
  <c r="CK192" i="2"/>
  <c r="CN191" i="2"/>
  <c r="CA190" i="2"/>
  <c r="CB190" i="2" s="1"/>
  <c r="CC190" i="2" s="1"/>
  <c r="CN192" i="2" l="1"/>
  <c r="CK193" i="2"/>
  <c r="BZ192" i="2"/>
  <c r="BY193" i="2"/>
  <c r="CA191" i="2"/>
  <c r="CB191" i="2" s="1"/>
  <c r="CC191" i="2" s="1"/>
  <c r="BY194" i="2" l="1"/>
  <c r="BZ193" i="2"/>
  <c r="CA192" i="2"/>
  <c r="CB192" i="2" s="1"/>
  <c r="CC192" i="2" s="1"/>
  <c r="CN193" i="2"/>
  <c r="CK194" i="2"/>
  <c r="CN194" i="2" l="1"/>
  <c r="CK195" i="2"/>
  <c r="CA193" i="2"/>
  <c r="CB193" i="2" s="1"/>
  <c r="CC193" i="2" s="1"/>
  <c r="BZ194" i="2"/>
  <c r="BY195" i="2"/>
  <c r="BZ195" i="2" l="1"/>
  <c r="BY196" i="2"/>
  <c r="CA194" i="2"/>
  <c r="CB194" i="2" s="1"/>
  <c r="CC194" i="2" s="1"/>
  <c r="CN195" i="2"/>
  <c r="CK196" i="2"/>
  <c r="CK197" i="2" l="1"/>
  <c r="CN196" i="2"/>
  <c r="BY197" i="2"/>
  <c r="BZ196" i="2"/>
  <c r="CA195" i="2"/>
  <c r="CB195" i="2" s="1"/>
  <c r="CC195" i="2" s="1"/>
  <c r="CA196" i="2" l="1"/>
  <c r="CB196" i="2" s="1"/>
  <c r="CC196" i="2" s="1"/>
  <c r="BY198" i="2"/>
  <c r="BZ197" i="2"/>
  <c r="CN197" i="2"/>
  <c r="CK198" i="2"/>
  <c r="CK199" i="2" l="1"/>
  <c r="CN198" i="2"/>
  <c r="CA197" i="2"/>
  <c r="CB197" i="2" s="1"/>
  <c r="CC197" i="2" s="1"/>
  <c r="BZ198" i="2"/>
  <c r="BY199" i="2"/>
  <c r="BY200" i="2" l="1"/>
  <c r="BZ199" i="2"/>
  <c r="CA198" i="2"/>
  <c r="CB198" i="2" s="1"/>
  <c r="CC198" i="2" s="1"/>
  <c r="CN199" i="2"/>
  <c r="CK200" i="2"/>
  <c r="CN200" i="2" l="1"/>
  <c r="CK201" i="2"/>
  <c r="CA199" i="2"/>
  <c r="CB199" i="2" s="1"/>
  <c r="CC199" i="2" s="1"/>
  <c r="BZ200" i="2"/>
  <c r="BY201" i="2"/>
  <c r="BZ201" i="2" l="1"/>
  <c r="BY202" i="2"/>
  <c r="CA200" i="2"/>
  <c r="CB200" i="2" s="1"/>
  <c r="CC200" i="2" s="1"/>
  <c r="CN201" i="2"/>
  <c r="CK202" i="2"/>
  <c r="CN202" i="2" l="1"/>
  <c r="CK203" i="2"/>
  <c r="CN203" i="2" s="1"/>
  <c r="BY203" i="2"/>
  <c r="BZ203" i="2" s="1"/>
  <c r="BZ202" i="2"/>
  <c r="CA201" i="2"/>
  <c r="CB201" i="2" s="1"/>
  <c r="CC201" i="2" s="1"/>
  <c r="CA202" i="2" l="1"/>
  <c r="CB202" i="2" s="1"/>
  <c r="CC202" i="2" s="1"/>
  <c r="CA203" i="2"/>
  <c r="CB203" i="2" s="1"/>
  <c r="CC203" i="2" s="1"/>
</calcChain>
</file>

<file path=xl/sharedStrings.xml><?xml version="1.0" encoding="utf-8"?>
<sst xmlns="http://schemas.openxmlformats.org/spreadsheetml/2006/main" count="1179" uniqueCount="325">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</sst>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0408080"/>
        <c:axId val="-2060410800"/>
      </c:scatterChart>
      <c:valAx>
        <c:axId val="-2060408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10800"/>
        <c:crosses val="autoZero"/>
        <c:crossBetween val="midCat"/>
      </c:valAx>
      <c:valAx>
        <c:axId val="-20604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8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51.452977619505397</c:v>
                </c:pt>
                <c:pt idx="22">
                  <c:v>66.244820001279194</c:v>
                </c:pt>
                <c:pt idx="23">
                  <c:v>80.950986488725476</c:v>
                </c:pt>
                <c:pt idx="24">
                  <c:v>95.589333040289148</c:v>
                </c:pt>
                <c:pt idx="25">
                  <c:v>110.1717474820732</c:v>
                </c:pt>
                <c:pt idx="26">
                  <c:v>124.32474628741488</c:v>
                </c:pt>
                <c:pt idx="27">
                  <c:v>138.43860238853472</c:v>
                </c:pt>
                <c:pt idx="28">
                  <c:v>152.51787303662658</c:v>
                </c:pt>
                <c:pt idx="29">
                  <c:v>166.56620334791356</c:v>
                </c:pt>
                <c:pt idx="30">
                  <c:v>180.58657218998465</c:v>
                </c:pt>
                <c:pt idx="31">
                  <c:v>134.24638938649051</c:v>
                </c:pt>
                <c:pt idx="32">
                  <c:v>146.81397834828738</c:v>
                </c:pt>
                <c:pt idx="33">
                  <c:v>159.35586286360197</c:v>
                </c:pt>
                <c:pt idx="34">
                  <c:v>171.87435267338171</c:v>
                </c:pt>
                <c:pt idx="35">
                  <c:v>184.37139305479852</c:v>
                </c:pt>
                <c:pt idx="36">
                  <c:v>194.95936423701301</c:v>
                </c:pt>
                <c:pt idx="37">
                  <c:v>205.53397529366748</c:v>
                </c:pt>
                <c:pt idx="38">
                  <c:v>216.09601105321735</c:v>
                </c:pt>
                <c:pt idx="39">
                  <c:v>226.64617327952342</c:v>
                </c:pt>
                <c:pt idx="40">
                  <c:v>237.18509300501162</c:v>
                </c:pt>
                <c:pt idx="41">
                  <c:v>193.82559249840713</c:v>
                </c:pt>
                <c:pt idx="42">
                  <c:v>203.26907123098991</c:v>
                </c:pt>
                <c:pt idx="43">
                  <c:v>212.70239804910193</c:v>
                </c:pt>
                <c:pt idx="44">
                  <c:v>222.12608711761615</c:v>
                </c:pt>
                <c:pt idx="45">
                  <c:v>231.54060536306474</c:v>
                </c:pt>
                <c:pt idx="46">
                  <c:v>239.44202608060968</c:v>
                </c:pt>
                <c:pt idx="47">
                  <c:v>247.3375095024121</c:v>
                </c:pt>
                <c:pt idx="48">
                  <c:v>255.22727211134475</c:v>
                </c:pt>
                <c:pt idx="49">
                  <c:v>263.11151589765069</c:v>
                </c:pt>
                <c:pt idx="50">
                  <c:v>270.99042974399339</c:v>
                </c:pt>
                <c:pt idx="51">
                  <c:v>230.41133295181569</c:v>
                </c:pt>
                <c:pt idx="52">
                  <c:v>236.80889001154424</c:v>
                </c:pt>
                <c:pt idx="53">
                  <c:v>243.20250692836794</c:v>
                </c:pt>
                <c:pt idx="54">
                  <c:v>249.59230205465974</c:v>
                </c:pt>
                <c:pt idx="55">
                  <c:v>255.97838717928323</c:v>
                </c:pt>
                <c:pt idx="56">
                  <c:v>261.98552595095452</c:v>
                </c:pt>
                <c:pt idx="57">
                  <c:v>267.98955571724849</c:v>
                </c:pt>
                <c:pt idx="58">
                  <c:v>273.99055606211817</c:v>
                </c:pt>
                <c:pt idx="59">
                  <c:v>279.98860279382745</c:v>
                </c:pt>
                <c:pt idx="60">
                  <c:v>285.98376820295493</c:v>
                </c:pt>
                <c:pt idx="61">
                  <c:v>260.85942671475146</c:v>
                </c:pt>
                <c:pt idx="62">
                  <c:v>265.73840375453756</c:v>
                </c:pt>
                <c:pt idx="63">
                  <c:v>270.61536157536972</c:v>
                </c:pt>
                <c:pt idx="64">
                  <c:v>275.49034176419678</c:v>
                </c:pt>
                <c:pt idx="65">
                  <c:v>280.36338431358672</c:v>
                </c:pt>
                <c:pt idx="66">
                  <c:v>284.48524314677434</c:v>
                </c:pt>
                <c:pt idx="67">
                  <c:v>288.60576477216398</c:v>
                </c:pt>
                <c:pt idx="68">
                  <c:v>292.72497100977245</c:v>
                </c:pt>
                <c:pt idx="69">
                  <c:v>296.84288301434077</c:v>
                </c:pt>
                <c:pt idx="70">
                  <c:v>300.95952130477946</c:v>
                </c:pt>
                <c:pt idx="71">
                  <c:v>280.73815459645272</c:v>
                </c:pt>
                <c:pt idx="72">
                  <c:v>284.85989094555725</c:v>
                </c:pt>
                <c:pt idx="73">
                  <c:v>288.98029209880133</c:v>
                </c:pt>
                <c:pt idx="74">
                  <c:v>293.09937981445779</c:v>
                </c:pt>
                <c:pt idx="75">
                  <c:v>297.21717518827501</c:v>
                </c:pt>
                <c:pt idx="76">
                  <c:v>300.58533356518427</c:v>
                </c:pt>
                <c:pt idx="77">
                  <c:v>303.95265143464201</c:v>
                </c:pt>
                <c:pt idx="78">
                  <c:v>307.3191394396128</c:v>
                </c:pt>
                <c:pt idx="79">
                  <c:v>310.68480797043929</c:v>
                </c:pt>
                <c:pt idx="80">
                  <c:v>314.04966717357314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0402096"/>
        <c:axId val="-2060408624"/>
      </c:scatterChart>
      <c:valAx>
        <c:axId val="-2060402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8624"/>
        <c:crosses val="autoZero"/>
        <c:crossBetween val="midCat"/>
      </c:valAx>
      <c:valAx>
        <c:axId val="-206040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2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3.1628863339481534</c:v>
                </c:pt>
                <c:pt idx="2">
                  <c:v>3.6628992871920438</c:v>
                </c:pt>
                <c:pt idx="3">
                  <c:v>4.2422409244936503</c:v>
                </c:pt>
                <c:pt idx="4">
                  <c:v>4.9135393564650593</c:v>
                </c:pt>
                <c:pt idx="5">
                  <c:v>5.6914392471718847</c:v>
                </c:pt>
                <c:pt idx="6">
                  <c:v>6.5929247726706288</c:v>
                </c:pt>
                <c:pt idx="7">
                  <c:v>7.6376944418802752</c:v>
                </c:pt>
                <c:pt idx="8">
                  <c:v>8.8485961287004873</c:v>
                </c:pt>
                <c:pt idx="9">
                  <c:v>10.252132011350932</c:v>
                </c:pt>
                <c:pt idx="10">
                  <c:v>11.879044679757373</c:v>
                </c:pt>
                <c:pt idx="11">
                  <c:v>13.764997489727833</c:v>
                </c:pt>
                <c:pt idx="12">
                  <c:v>15.951364354646456</c:v>
                </c:pt>
                <c:pt idx="13">
                  <c:v>18.486146619119001</c:v>
                </c:pt>
                <c:pt idx="14">
                  <c:v>21.425037509820857</c:v>
                </c:pt>
                <c:pt idx="15">
                  <c:v>24.832657971109484</c:v>
                </c:pt>
                <c:pt idx="16">
                  <c:v>28.783991541603669</c:v>
                </c:pt>
                <c:pt idx="17">
                  <c:v>33.366050399895471</c:v>
                </c:pt>
                <c:pt idx="18">
                  <c:v>38.679809903968007</c:v>
                </c:pt>
                <c:pt idx="19">
                  <c:v>44.842454987298908</c:v>
                </c:pt>
                <c:pt idx="20">
                  <c:v>51.989988791691758</c:v>
                </c:pt>
                <c:pt idx="21">
                  <c:v>59.194676379503932</c:v>
                </c:pt>
                <c:pt idx="22">
                  <c:v>66.376471349621667</c:v>
                </c:pt>
                <c:pt idx="23">
                  <c:v>73.538207482585321</c:v>
                </c:pt>
                <c:pt idx="24">
                  <c:v>80.682119006165934</c:v>
                </c:pt>
                <c:pt idx="25">
                  <c:v>87.810010625275268</c:v>
                </c:pt>
                <c:pt idx="26">
                  <c:v>96.344409983623464</c:v>
                </c:pt>
                <c:pt idx="27">
                  <c:v>104.85998913171427</c:v>
                </c:pt>
                <c:pt idx="28">
                  <c:v>113.3584947279664</c:v>
                </c:pt>
                <c:pt idx="29">
                  <c:v>121.84138944928242</c:v>
                </c:pt>
                <c:pt idx="30">
                  <c:v>130.30991517841125</c:v>
                </c:pt>
                <c:pt idx="31">
                  <c:v>138.76513884586331</c:v>
                </c:pt>
                <c:pt idx="32">
                  <c:v>147.20798647794683</c:v>
                </c:pt>
                <c:pt idx="33">
                  <c:v>155.63926900235728</c:v>
                </c:pt>
                <c:pt idx="34">
                  <c:v>164.05970215478595</c:v>
                </c:pt>
                <c:pt idx="35">
                  <c:v>172.4699220751078</c:v>
                </c:pt>
                <c:pt idx="36">
                  <c:v>142.04989216192445</c:v>
                </c:pt>
                <c:pt idx="37">
                  <c:v>151.42502661477829</c:v>
                </c:pt>
                <c:pt idx="38">
                  <c:v>160.78633625957769</c:v>
                </c:pt>
                <c:pt idx="39">
                  <c:v>170.13474046014426</c:v>
                </c:pt>
                <c:pt idx="40">
                  <c:v>179.47104913917383</c:v>
                </c:pt>
                <c:pt idx="41">
                  <c:v>188.32999436925604</c:v>
                </c:pt>
                <c:pt idx="42">
                  <c:v>197.17922416826374</c:v>
                </c:pt>
                <c:pt idx="43">
                  <c:v>206.01923654428722</c:v>
                </c:pt>
                <c:pt idx="44">
                  <c:v>214.85048322218776</c:v>
                </c:pt>
                <c:pt idx="45">
                  <c:v>223.6733757126764</c:v>
                </c:pt>
                <c:pt idx="46">
                  <c:v>190.65965977632126</c:v>
                </c:pt>
                <c:pt idx="47">
                  <c:v>199.50641766256544</c:v>
                </c:pt>
                <c:pt idx="48">
                  <c:v>208.34408122016089</c:v>
                </c:pt>
                <c:pt idx="49">
                  <c:v>217.17309104815993</c:v>
                </c:pt>
                <c:pt idx="50">
                  <c:v>225.9938489517518</c:v>
                </c:pt>
                <c:pt idx="51">
                  <c:v>235.27034637020085</c:v>
                </c:pt>
                <c:pt idx="52">
                  <c:v>244.53850101874687</c:v>
                </c:pt>
                <c:pt idx="53">
                  <c:v>253.79867396956936</c:v>
                </c:pt>
                <c:pt idx="54">
                  <c:v>263.05119776940052</c:v>
                </c:pt>
                <c:pt idx="55">
                  <c:v>272.29637963914479</c:v>
                </c:pt>
                <c:pt idx="56">
                  <c:v>237.12463272796342</c:v>
                </c:pt>
                <c:pt idx="57">
                  <c:v>245.92802736230567</c:v>
                </c:pt>
                <c:pt idx="58">
                  <c:v>254.72426530340337</c:v>
                </c:pt>
                <c:pt idx="59">
                  <c:v>263.51362878037509</c:v>
                </c:pt>
                <c:pt idx="60">
                  <c:v>272.29637963914473</c:v>
                </c:pt>
                <c:pt idx="61">
                  <c:v>281.07276143896291</c:v>
                </c:pt>
                <c:pt idx="62">
                  <c:v>289.84300127315146</c:v>
                </c:pt>
                <c:pt idx="63">
                  <c:v>298.60731135776933</c:v>
                </c:pt>
                <c:pt idx="64">
                  <c:v>307.36589042386942</c:v>
                </c:pt>
                <c:pt idx="65">
                  <c:v>316.1189249426497</c:v>
                </c:pt>
                <c:pt idx="66">
                  <c:v>278.301946435746</c:v>
                </c:pt>
                <c:pt idx="67">
                  <c:v>286.61256112608555</c:v>
                </c:pt>
                <c:pt idx="68">
                  <c:v>294.91778523157933</c:v>
                </c:pt>
                <c:pt idx="69">
                  <c:v>303.21779210740073</c:v>
                </c:pt>
                <c:pt idx="70">
                  <c:v>311.51274483481546</c:v>
                </c:pt>
                <c:pt idx="71">
                  <c:v>319.34236469301567</c:v>
                </c:pt>
                <c:pt idx="72">
                  <c:v>327.16773590634534</c:v>
                </c:pt>
                <c:pt idx="73">
                  <c:v>334.98897452037232</c:v>
                </c:pt>
                <c:pt idx="74">
                  <c:v>342.80619071488059</c:v>
                </c:pt>
                <c:pt idx="75">
                  <c:v>350.61948923031787</c:v>
                </c:pt>
                <c:pt idx="76">
                  <c:v>312.43410102603713</c:v>
                </c:pt>
                <c:pt idx="77">
                  <c:v>320.26321481869581</c:v>
                </c:pt>
                <c:pt idx="78">
                  <c:v>328.08809393827681</c:v>
                </c:pt>
                <c:pt idx="79">
                  <c:v>335.90885371669873</c:v>
                </c:pt>
                <c:pt idx="80">
                  <c:v>343.72560367250861</c:v>
                </c:pt>
                <c:pt idx="81">
                  <c:v>350.61948923031787</c:v>
                </c:pt>
                <c:pt idx="82">
                  <c:v>357.51040237087665</c:v>
                </c:pt>
                <c:pt idx="83">
                  <c:v>364.39840852244924</c:v>
                </c:pt>
                <c:pt idx="84">
                  <c:v>371.28357043570492</c:v>
                </c:pt>
                <c:pt idx="85">
                  <c:v>378.1659483420201</c:v>
                </c:pt>
                <c:pt idx="86">
                  <c:v>344.18528987135369</c:v>
                </c:pt>
                <c:pt idx="87">
                  <c:v>351.53844793236181</c:v>
                </c:pt>
                <c:pt idx="88">
                  <c:v>358.8882341147721</c:v>
                </c:pt>
                <c:pt idx="89">
                  <c:v>366.23472727218899</c:v>
                </c:pt>
                <c:pt idx="90">
                  <c:v>373.57800283389633</c:v>
                </c:pt>
                <c:pt idx="91">
                  <c:v>380.00078636560312</c:v>
                </c:pt>
                <c:pt idx="92">
                  <c:v>386.42120824586385</c:v>
                </c:pt>
                <c:pt idx="93">
                  <c:v>392.83931328480293</c:v>
                </c:pt>
                <c:pt idx="94">
                  <c:v>399.25514470759913</c:v>
                </c:pt>
                <c:pt idx="95">
                  <c:v>405.66874423568089</c:v>
                </c:pt>
                <c:pt idx="96">
                  <c:v>371.28357043570492</c:v>
                </c:pt>
                <c:pt idx="97">
                  <c:v>378.1659483420201</c:v>
                </c:pt>
                <c:pt idx="98">
                  <c:v>385.04560009964825</c:v>
                </c:pt>
                <c:pt idx="99">
                  <c:v>391.92258132889066</c:v>
                </c:pt>
                <c:pt idx="100">
                  <c:v>398.79694553728069</c:v>
                </c:pt>
                <c:pt idx="101">
                  <c:v>405.21070313365345</c:v>
                </c:pt>
                <c:pt idx="102">
                  <c:v>411.62226629649246</c:v>
                </c:pt>
                <c:pt idx="103">
                  <c:v>418.03167405681643</c:v>
                </c:pt>
                <c:pt idx="104">
                  <c:v>424.43896415017315</c:v>
                </c:pt>
                <c:pt idx="105">
                  <c:v>430.8441730789794</c:v>
                </c:pt>
                <c:pt idx="106">
                  <c:v>396.50577836169577</c:v>
                </c:pt>
                <c:pt idx="107">
                  <c:v>403.37842662539197</c:v>
                </c:pt>
                <c:pt idx="108">
                  <c:v>410.2485426639725</c:v>
                </c:pt>
                <c:pt idx="109">
                  <c:v>417.11617489634546</c:v>
                </c:pt>
                <c:pt idx="110">
                  <c:v>423.98137001578169</c:v>
                </c:pt>
                <c:pt idx="111">
                  <c:v>430.8441730789794</c:v>
                </c:pt>
                <c:pt idx="112">
                  <c:v>437.70462758915534</c:v>
                </c:pt>
                <c:pt idx="113">
                  <c:v>444.5627755736532</c:v>
                </c:pt>
                <c:pt idx="114">
                  <c:v>451.41865765651147</c:v>
                </c:pt>
                <c:pt idx="115">
                  <c:v>458.27231312639066</c:v>
                </c:pt>
                <c:pt idx="116">
                  <c:v>465.12378000022363</c:v>
                </c:pt>
                <c:pt idx="117">
                  <c:v>471.97309508291988</c:v>
                </c:pt>
                <c:pt idx="118">
                  <c:v>478.82029402342158</c:v>
                </c:pt>
                <c:pt idx="119">
                  <c:v>485.66541136738397</c:v>
                </c:pt>
                <c:pt idx="120">
                  <c:v>492.50848060673189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0406992"/>
        <c:axId val="-2060414064"/>
      </c:scatterChart>
      <c:valAx>
        <c:axId val="-2060406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14064"/>
        <c:crosses val="autoZero"/>
        <c:crossBetween val="midCat"/>
      </c:valAx>
      <c:valAx>
        <c:axId val="-206041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6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277.64048093700978</c:v>
                </c:pt>
                <c:pt idx="38">
                  <c:v>294.48954060352384</c:v>
                </c:pt>
                <c:pt idx="39">
                  <c:v>311.31709651831665</c:v>
                </c:pt>
                <c:pt idx="40">
                  <c:v>328.12447444010144</c:v>
                </c:pt>
                <c:pt idx="41">
                  <c:v>344.91285322325461</c:v>
                </c:pt>
                <c:pt idx="42">
                  <c:v>361.6832876036994</c:v>
                </c:pt>
                <c:pt idx="43">
                  <c:v>378.43672653622252</c:v>
                </c:pt>
                <c:pt idx="44">
                  <c:v>395.17402811417611</c:v>
                </c:pt>
                <c:pt idx="45">
                  <c:v>327.74099980495697</c:v>
                </c:pt>
                <c:pt idx="46">
                  <c:v>342.57632901037942</c:v>
                </c:pt>
                <c:pt idx="47">
                  <c:v>357.39754063727128</c:v>
                </c:pt>
                <c:pt idx="48">
                  <c:v>372.2053025492678</c:v>
                </c:pt>
                <c:pt idx="49">
                  <c:v>387.00022513459527</c:v>
                </c:pt>
                <c:pt idx="50">
                  <c:v>401.78286830651933</c:v>
                </c:pt>
                <c:pt idx="51">
                  <c:v>416.55374741966574</c:v>
                </c:pt>
                <c:pt idx="52">
                  <c:v>431.31333830337053</c:v>
                </c:pt>
                <c:pt idx="53">
                  <c:v>365.99122063055853</c:v>
                </c:pt>
                <c:pt idx="54">
                  <c:v>379.3298971194522</c:v>
                </c:pt>
                <c:pt idx="55">
                  <c:v>392.65837013825052</c:v>
                </c:pt>
                <c:pt idx="56">
                  <c:v>405.97703483483957</c:v>
                </c:pt>
                <c:pt idx="57">
                  <c:v>419.28625831464296</c:v>
                </c:pt>
                <c:pt idx="58">
                  <c:v>432.5863824764233</c:v>
                </c:pt>
                <c:pt idx="59">
                  <c:v>445.87772648114247</c:v>
                </c:pt>
                <c:pt idx="60">
                  <c:v>459.16058891110282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0405904"/>
        <c:axId val="-2060404816"/>
      </c:scatterChart>
      <c:valAx>
        <c:axId val="-2060405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4816"/>
        <c:crosses val="autoZero"/>
        <c:crossBetween val="midCat"/>
      </c:valAx>
      <c:valAx>
        <c:axId val="-206040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119.55269284122029</c:v>
                </c:pt>
                <c:pt idx="32">
                  <c:v>130.19985837355313</c:v>
                </c:pt>
                <c:pt idx="33">
                  <c:v>140.82597594357108</c:v>
                </c:pt>
                <c:pt idx="34">
                  <c:v>151.43285943489818</c:v>
                </c:pt>
                <c:pt idx="35">
                  <c:v>162.02204740767968</c:v>
                </c:pt>
                <c:pt idx="36">
                  <c:v>172.59486055735832</c:v>
                </c:pt>
                <c:pt idx="37">
                  <c:v>183.15244431920306</c:v>
                </c:pt>
                <c:pt idx="38">
                  <c:v>193.69580111200079</c:v>
                </c:pt>
                <c:pt idx="39">
                  <c:v>204.22581517936158</c:v>
                </c:pt>
                <c:pt idx="40">
                  <c:v>214.74327203018319</c:v>
                </c:pt>
                <c:pt idx="41">
                  <c:v>225.2488738650726</c:v>
                </c:pt>
                <c:pt idx="42">
                  <c:v>235.74325197003046</c:v>
                </c:pt>
                <c:pt idx="43">
                  <c:v>246.22697678490542</c:v>
                </c:pt>
                <c:pt idx="44">
                  <c:v>256.70056616536107</c:v>
                </c:pt>
                <c:pt idx="45">
                  <c:v>267.16449222449438</c:v>
                </c:pt>
                <c:pt idx="46">
                  <c:v>277.6191870455084</c:v>
                </c:pt>
                <c:pt idx="47">
                  <c:v>288.06504748811147</c:v>
                </c:pt>
                <c:pt idx="48">
                  <c:v>298.50243926074967</c:v>
                </c:pt>
                <c:pt idx="49">
                  <c:v>308.93170039309683</c:v>
                </c:pt>
                <c:pt idx="50">
                  <c:v>319.3531442148153</c:v>
                </c:pt>
                <c:pt idx="51">
                  <c:v>329.76706192494242</c:v>
                </c:pt>
                <c:pt idx="52">
                  <c:v>239.89963130204032</c:v>
                </c:pt>
                <c:pt idx="53">
                  <c:v>250.73733022777768</c:v>
                </c:pt>
                <c:pt idx="54">
                  <c:v>261.56441168915899</c:v>
                </c:pt>
                <c:pt idx="55">
                  <c:v>272.38137740343666</c:v>
                </c:pt>
                <c:pt idx="56">
                  <c:v>283.18868595745323</c:v>
                </c:pt>
                <c:pt idx="57">
                  <c:v>293.98675805542308</c:v>
                </c:pt>
                <c:pt idx="58">
                  <c:v>304.77598095482739</c:v>
                </c:pt>
                <c:pt idx="59">
                  <c:v>315.55671224092112</c:v>
                </c:pt>
                <c:pt idx="60">
                  <c:v>326.32928305815631</c:v>
                </c:pt>
                <c:pt idx="61">
                  <c:v>337.09400089238392</c:v>
                </c:pt>
                <c:pt idx="62">
                  <c:v>347.85115197892782</c:v>
                </c:pt>
                <c:pt idx="63">
                  <c:v>358.60100339709646</c:v>
                </c:pt>
                <c:pt idx="64">
                  <c:v>260.16574342755524</c:v>
                </c:pt>
                <c:pt idx="65">
                  <c:v>270.03856838682231</c:v>
                </c:pt>
                <c:pt idx="66">
                  <c:v>279.90327150057988</c:v>
                </c:pt>
                <c:pt idx="67">
                  <c:v>289.76017957093472</c:v>
                </c:pt>
                <c:pt idx="68">
                  <c:v>299.60959533432202</c:v>
                </c:pt>
                <c:pt idx="69">
                  <c:v>309.4517999837621</c:v>
                </c:pt>
                <c:pt idx="70">
                  <c:v>319.28705535324553</c:v>
                </c:pt>
                <c:pt idx="71">
                  <c:v>329.1156058187384</c:v>
                </c:pt>
                <c:pt idx="72">
                  <c:v>338.93767996010916</c:v>
                </c:pt>
                <c:pt idx="73">
                  <c:v>348.75349202024881</c:v>
                </c:pt>
                <c:pt idx="74">
                  <c:v>358.56324319126111</c:v>
                </c:pt>
                <c:pt idx="75">
                  <c:v>368.367122752488</c:v>
                </c:pt>
                <c:pt idx="76">
                  <c:v>291.98679373574424</c:v>
                </c:pt>
                <c:pt idx="77">
                  <c:v>301.01220487244694</c:v>
                </c:pt>
                <c:pt idx="78">
                  <c:v>310.031591827932</c:v>
                </c:pt>
                <c:pt idx="79">
                  <c:v>319.04515470328221</c:v>
                </c:pt>
                <c:pt idx="80">
                  <c:v>328.0530813618015</c:v>
                </c:pt>
                <c:pt idx="81">
                  <c:v>337.05554850027073</c:v>
                </c:pt>
                <c:pt idx="82">
                  <c:v>346.05272259970707</c:v>
                </c:pt>
                <c:pt idx="83">
                  <c:v>355.04476077203134</c:v>
                </c:pt>
                <c:pt idx="84">
                  <c:v>364.03181151643639</c:v>
                </c:pt>
                <c:pt idx="85">
                  <c:v>373.0140153971318</c:v>
                </c:pt>
                <c:pt idx="86">
                  <c:v>381.99150565236943</c:v>
                </c:pt>
                <c:pt idx="87">
                  <c:v>390.96440874320461</c:v>
                </c:pt>
                <c:pt idx="88">
                  <c:v>316.25819110098661</c:v>
                </c:pt>
                <c:pt idx="89">
                  <c:v>324.4045219570105</c:v>
                </c:pt>
                <c:pt idx="90">
                  <c:v>332.54633237194383</c:v>
                </c:pt>
                <c:pt idx="91">
                  <c:v>340.68374872160194</c:v>
                </c:pt>
                <c:pt idx="92">
                  <c:v>348.81689084712229</c:v>
                </c:pt>
                <c:pt idx="93">
                  <c:v>356.94587254069387</c:v>
                </c:pt>
                <c:pt idx="94">
                  <c:v>365.07080198470561</c:v>
                </c:pt>
                <c:pt idx="95">
                  <c:v>373.19178214973607</c:v>
                </c:pt>
                <c:pt idx="96">
                  <c:v>381.30891115607625</c:v>
                </c:pt>
                <c:pt idx="97">
                  <c:v>389.4222826028456</c:v>
                </c:pt>
                <c:pt idx="98">
                  <c:v>397.53198586823692</c:v>
                </c:pt>
                <c:pt idx="99">
                  <c:v>405.6381063839724</c:v>
                </c:pt>
                <c:pt idx="100">
                  <c:v>212.56848233940431</c:v>
                </c:pt>
                <c:pt idx="101">
                  <c:v>218.27904148126387</c:v>
                </c:pt>
                <c:pt idx="102">
                  <c:v>223.98616720918039</c:v>
                </c:pt>
                <c:pt idx="103">
                  <c:v>229.68995950268229</c:v>
                </c:pt>
                <c:pt idx="104">
                  <c:v>235.39051296187952</c:v>
                </c:pt>
                <c:pt idx="105">
                  <c:v>241.08791722313939</c:v>
                </c:pt>
                <c:pt idx="106">
                  <c:v>246.78225733335694</c:v>
                </c:pt>
                <c:pt idx="107">
                  <c:v>252.47361408782808</c:v>
                </c:pt>
                <c:pt idx="108">
                  <c:v>258.16206433602196</c:v>
                </c:pt>
                <c:pt idx="109">
                  <c:v>263.8476812589596</c:v>
                </c:pt>
                <c:pt idx="110">
                  <c:v>6.0761376450252565E-12</c:v>
                </c:pt>
                <c:pt idx="111">
                  <c:v>6.0761376450252565E-12</c:v>
                </c:pt>
                <c:pt idx="112">
                  <c:v>6.0761376450252565E-12</c:v>
                </c:pt>
                <c:pt idx="113">
                  <c:v>6.0761376450252565E-12</c:v>
                </c:pt>
                <c:pt idx="114">
                  <c:v>6.0761376450252565E-12</c:v>
                </c:pt>
                <c:pt idx="115">
                  <c:v>6.0761376450252565E-12</c:v>
                </c:pt>
                <c:pt idx="116">
                  <c:v>6.0761376450252565E-12</c:v>
                </c:pt>
                <c:pt idx="117">
                  <c:v>6.0761376450252565E-12</c:v>
                </c:pt>
                <c:pt idx="118">
                  <c:v>6.0761376450252565E-12</c:v>
                </c:pt>
                <c:pt idx="119">
                  <c:v>6.0761376450252565E-12</c:v>
                </c:pt>
                <c:pt idx="120">
                  <c:v>6.0761376450252565E-12</c:v>
                </c:pt>
                <c:pt idx="121">
                  <c:v>6.0761376450252565E-12</c:v>
                </c:pt>
                <c:pt idx="122">
                  <c:v>6.0761376450252565E-12</c:v>
                </c:pt>
                <c:pt idx="123">
                  <c:v>6.0761376450252565E-12</c:v>
                </c:pt>
                <c:pt idx="124">
                  <c:v>6.0761376450252565E-12</c:v>
                </c:pt>
                <c:pt idx="125">
                  <c:v>6.0761376450252565E-12</c:v>
                </c:pt>
                <c:pt idx="126">
                  <c:v>6.0761376450252565E-12</c:v>
                </c:pt>
                <c:pt idx="127">
                  <c:v>6.0761376450252565E-12</c:v>
                </c:pt>
                <c:pt idx="128">
                  <c:v>6.0761376450252565E-12</c:v>
                </c:pt>
                <c:pt idx="129">
                  <c:v>6.0761376450252565E-12</c:v>
                </c:pt>
                <c:pt idx="130">
                  <c:v>6.0761376450252565E-12</c:v>
                </c:pt>
                <c:pt idx="131">
                  <c:v>6.0761376450252565E-12</c:v>
                </c:pt>
                <c:pt idx="132">
                  <c:v>6.0761376450252565E-12</c:v>
                </c:pt>
                <c:pt idx="133">
                  <c:v>6.0761376450252565E-12</c:v>
                </c:pt>
                <c:pt idx="134">
                  <c:v>6.0761376450252565E-12</c:v>
                </c:pt>
                <c:pt idx="135">
                  <c:v>6.0761376450252565E-12</c:v>
                </c:pt>
                <c:pt idx="136">
                  <c:v>6.0761376450252565E-12</c:v>
                </c:pt>
                <c:pt idx="137">
                  <c:v>6.0761376450252565E-12</c:v>
                </c:pt>
                <c:pt idx="138">
                  <c:v>6.0761376450252565E-12</c:v>
                </c:pt>
                <c:pt idx="139">
                  <c:v>6.0761376450252565E-12</c:v>
                </c:pt>
                <c:pt idx="140">
                  <c:v>6.0761376450252565E-12</c:v>
                </c:pt>
                <c:pt idx="141">
                  <c:v>6.0761376450252565E-12</c:v>
                </c:pt>
                <c:pt idx="142">
                  <c:v>6.0761376450252565E-12</c:v>
                </c:pt>
                <c:pt idx="143">
                  <c:v>6.0761376450252565E-12</c:v>
                </c:pt>
                <c:pt idx="144">
                  <c:v>6.0761376450252565E-12</c:v>
                </c:pt>
                <c:pt idx="145">
                  <c:v>6.0761376450252565E-12</c:v>
                </c:pt>
                <c:pt idx="146">
                  <c:v>6.0761376450252565E-12</c:v>
                </c:pt>
                <c:pt idx="147">
                  <c:v>6.0761376450252565E-12</c:v>
                </c:pt>
                <c:pt idx="148">
                  <c:v>6.0761376450252565E-12</c:v>
                </c:pt>
                <c:pt idx="149">
                  <c:v>6.0761376450252565E-12</c:v>
                </c:pt>
                <c:pt idx="150">
                  <c:v>6.0761376450252565E-12</c:v>
                </c:pt>
                <c:pt idx="151">
                  <c:v>6.0761376450252565E-12</c:v>
                </c:pt>
                <c:pt idx="152">
                  <c:v>6.0761376450252565E-12</c:v>
                </c:pt>
                <c:pt idx="153">
                  <c:v>6.0761376450252565E-12</c:v>
                </c:pt>
                <c:pt idx="154">
                  <c:v>6.0761376450252565E-12</c:v>
                </c:pt>
                <c:pt idx="155">
                  <c:v>6.0761376450252565E-12</c:v>
                </c:pt>
                <c:pt idx="156">
                  <c:v>6.0761376450252565E-12</c:v>
                </c:pt>
                <c:pt idx="157">
                  <c:v>6.0761376450252565E-12</c:v>
                </c:pt>
                <c:pt idx="158">
                  <c:v>6.0761376450252565E-12</c:v>
                </c:pt>
                <c:pt idx="159">
                  <c:v>6.0761376450252565E-12</c:v>
                </c:pt>
                <c:pt idx="160">
                  <c:v>6.0761376450252565E-12</c:v>
                </c:pt>
                <c:pt idx="161">
                  <c:v>6.0761376450252565E-12</c:v>
                </c:pt>
                <c:pt idx="162">
                  <c:v>6.0761376450252565E-12</c:v>
                </c:pt>
                <c:pt idx="163">
                  <c:v>6.0761376450252565E-12</c:v>
                </c:pt>
                <c:pt idx="164">
                  <c:v>6.0761376450252565E-12</c:v>
                </c:pt>
                <c:pt idx="165">
                  <c:v>6.0761376450252565E-12</c:v>
                </c:pt>
                <c:pt idx="166">
                  <c:v>6.0761376450252565E-12</c:v>
                </c:pt>
                <c:pt idx="167">
                  <c:v>6.0761376450252565E-12</c:v>
                </c:pt>
                <c:pt idx="168">
                  <c:v>6.0761376450252565E-12</c:v>
                </c:pt>
                <c:pt idx="169">
                  <c:v>6.0761376450252565E-12</c:v>
                </c:pt>
                <c:pt idx="170">
                  <c:v>6.0761376450252565E-12</c:v>
                </c:pt>
                <c:pt idx="171">
                  <c:v>6.0761376450252565E-12</c:v>
                </c:pt>
                <c:pt idx="172">
                  <c:v>6.0761376450252565E-12</c:v>
                </c:pt>
                <c:pt idx="173">
                  <c:v>6.0761376450252565E-12</c:v>
                </c:pt>
                <c:pt idx="174">
                  <c:v>6.0761376450252565E-12</c:v>
                </c:pt>
                <c:pt idx="175">
                  <c:v>6.0761376450252565E-12</c:v>
                </c:pt>
                <c:pt idx="176">
                  <c:v>6.0761376450252565E-12</c:v>
                </c:pt>
                <c:pt idx="177">
                  <c:v>6.0761376450252565E-12</c:v>
                </c:pt>
                <c:pt idx="178">
                  <c:v>6.0761376450252565E-12</c:v>
                </c:pt>
                <c:pt idx="179">
                  <c:v>6.0761376450252565E-12</c:v>
                </c:pt>
                <c:pt idx="180">
                  <c:v>6.0761376450252565E-12</c:v>
                </c:pt>
                <c:pt idx="181">
                  <c:v>6.0761376450252565E-12</c:v>
                </c:pt>
                <c:pt idx="182">
                  <c:v>6.0761376450252565E-12</c:v>
                </c:pt>
                <c:pt idx="183">
                  <c:v>6.0761376450252565E-12</c:v>
                </c:pt>
                <c:pt idx="184">
                  <c:v>6.0761376450252565E-12</c:v>
                </c:pt>
                <c:pt idx="185">
                  <c:v>6.0761376450252565E-12</c:v>
                </c:pt>
                <c:pt idx="186">
                  <c:v>6.0761376450252565E-12</c:v>
                </c:pt>
                <c:pt idx="187">
                  <c:v>6.0761376450252565E-12</c:v>
                </c:pt>
                <c:pt idx="188">
                  <c:v>6.0761376450252565E-12</c:v>
                </c:pt>
                <c:pt idx="189">
                  <c:v>6.0761376450252565E-12</c:v>
                </c:pt>
                <c:pt idx="190">
                  <c:v>6.0761376450252565E-12</c:v>
                </c:pt>
                <c:pt idx="191">
                  <c:v>6.0761376450252565E-12</c:v>
                </c:pt>
                <c:pt idx="192">
                  <c:v>6.0761376450252565E-12</c:v>
                </c:pt>
                <c:pt idx="193">
                  <c:v>6.0761376450252565E-12</c:v>
                </c:pt>
                <c:pt idx="194">
                  <c:v>6.0761376450252565E-12</c:v>
                </c:pt>
                <c:pt idx="195">
                  <c:v>6.0761376450252565E-12</c:v>
                </c:pt>
                <c:pt idx="196">
                  <c:v>6.0761376450252565E-12</c:v>
                </c:pt>
                <c:pt idx="197">
                  <c:v>6.0761376450252565E-12</c:v>
                </c:pt>
                <c:pt idx="198">
                  <c:v>6.0761376450252565E-12</c:v>
                </c:pt>
                <c:pt idx="199">
                  <c:v>6.0761376450252565E-12</c:v>
                </c:pt>
                <c:pt idx="200">
                  <c:v>6.0761376450252565E-12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0409168"/>
        <c:axId val="-2060403184"/>
      </c:scatterChart>
      <c:valAx>
        <c:axId val="-2060409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3184"/>
        <c:crosses val="autoZero"/>
        <c:crossBetween val="midCat"/>
      </c:valAx>
      <c:valAx>
        <c:axId val="-20604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9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1.9190286454012624</c:v>
                </c:pt>
                <c:pt idx="2">
                  <c:v>2.3745849545197242</c:v>
                </c:pt>
                <c:pt idx="3">
                  <c:v>2.938707459966293</c:v>
                </c:pt>
                <c:pt idx="4">
                  <c:v>3.6373642605922853</c:v>
                </c:pt>
                <c:pt idx="5">
                  <c:v>4.5027561309452855</c:v>
                </c:pt>
                <c:pt idx="6">
                  <c:v>5.5748172110080709</c:v>
                </c:pt>
                <c:pt idx="7">
                  <c:v>6.9030780907738958</c:v>
                </c:pt>
                <c:pt idx="8">
                  <c:v>8.5489790386098861</c:v>
                </c:pt>
                <c:pt idx="9">
                  <c:v>10.588742421786387</c:v>
                </c:pt>
                <c:pt idx="10">
                  <c:v>13.116939848545632</c:v>
                </c:pt>
                <c:pt idx="11">
                  <c:v>16.250922486723002</c:v>
                </c:pt>
                <c:pt idx="12">
                  <c:v>20.136323955741016</c:v>
                </c:pt>
                <c:pt idx="13">
                  <c:v>24.953896102189773</c:v>
                </c:pt>
                <c:pt idx="14">
                  <c:v>30.928001287430916</c:v>
                </c:pt>
                <c:pt idx="15">
                  <c:v>38.337163566726382</c:v>
                </c:pt>
                <c:pt idx="16">
                  <c:v>47.527179091678228</c:v>
                </c:pt>
                <c:pt idx="17">
                  <c:v>58.927407911319868</c:v>
                </c:pt>
                <c:pt idx="18">
                  <c:v>73.071020919484155</c:v>
                </c:pt>
                <c:pt idx="19">
                  <c:v>90.620164263085925</c:v>
                </c:pt>
                <c:pt idx="20">
                  <c:v>112.39723813230249</c:v>
                </c:pt>
                <c:pt idx="21">
                  <c:v>139.42377875850318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158.76051047616974</c:v>
                </c:pt>
                <c:pt idx="29">
                  <c:v>175.59896515661083</c:v>
                </c:pt>
                <c:pt idx="30">
                  <c:v>192.39950654022337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220.02792534458789</c:v>
                </c:pt>
                <c:pt idx="36">
                  <c:v>236.44664825214033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318.18531578207222</c:v>
                </c:pt>
                <c:pt idx="42">
                  <c:v>258.41598708702207</c:v>
                </c:pt>
                <c:pt idx="43">
                  <c:v>273.64897539352847</c:v>
                </c:pt>
                <c:pt idx="44">
                  <c:v>288.86291050410301</c:v>
                </c:pt>
                <c:pt idx="45">
                  <c:v>304.05893725366747</c:v>
                </c:pt>
                <c:pt idx="46">
                  <c:v>319.23807668113341</c:v>
                </c:pt>
                <c:pt idx="47">
                  <c:v>334.40124478994881</c:v>
                </c:pt>
                <c:pt idx="48">
                  <c:v>349.54926772624776</c:v>
                </c:pt>
                <c:pt idx="49">
                  <c:v>364.68289418741483</c:v>
                </c:pt>
                <c:pt idx="50">
                  <c:v>379.80280566271313</c:v>
                </c:pt>
                <c:pt idx="51">
                  <c:v>322.84049712168786</c:v>
                </c:pt>
                <c:pt idx="52">
                  <c:v>336.46900936276592</c:v>
                </c:pt>
                <c:pt idx="53">
                  <c:v>350.08536930552197</c:v>
                </c:pt>
                <c:pt idx="54">
                  <c:v>363.69011622210314</c:v>
                </c:pt>
                <c:pt idx="55">
                  <c:v>377.28374574247255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431.55573603859699</c:v>
                </c:pt>
                <c:pt idx="60">
                  <c:v>445.09999862375906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0399376"/>
        <c:axId val="-2060401552"/>
      </c:scatterChart>
      <c:valAx>
        <c:axId val="-2060399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1552"/>
        <c:crosses val="autoZero"/>
        <c:crossBetween val="midCat"/>
      </c:valAx>
      <c:valAx>
        <c:axId val="-206040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399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4.1283924852181428</c:v>
                </c:pt>
                <c:pt idx="2">
                  <c:v>5.847181921249482</c:v>
                </c:pt>
                <c:pt idx="3">
                  <c:v>8.2845916539938074</c:v>
                </c:pt>
                <c:pt idx="4">
                  <c:v>11.742260310500248</c:v>
                </c:pt>
                <c:pt idx="5">
                  <c:v>16.648900488847818</c:v>
                </c:pt>
                <c:pt idx="6">
                  <c:v>23.614011700972089</c:v>
                </c:pt>
                <c:pt idx="7">
                  <c:v>33.50436662870846</c:v>
                </c:pt>
                <c:pt idx="8">
                  <c:v>47.552952903725156</c:v>
                </c:pt>
                <c:pt idx="9">
                  <c:v>67.514179347276198</c:v>
                </c:pt>
                <c:pt idx="10">
                  <c:v>95.885045150189043</c:v>
                </c:pt>
                <c:pt idx="11">
                  <c:v>96.123288085110971</c:v>
                </c:pt>
                <c:pt idx="12">
                  <c:v>108.00233106654548</c:v>
                </c:pt>
                <c:pt idx="13">
                  <c:v>119.84919632941995</c:v>
                </c:pt>
                <c:pt idx="14">
                  <c:v>131.66751740807521</c:v>
                </c:pt>
                <c:pt idx="15">
                  <c:v>143.46022052453102</c:v>
                </c:pt>
                <c:pt idx="16">
                  <c:v>155.2297104619069</c:v>
                </c:pt>
                <c:pt idx="17">
                  <c:v>166.97799688004437</c:v>
                </c:pt>
                <c:pt idx="18">
                  <c:v>178.70678309777881</c:v>
                </c:pt>
                <c:pt idx="19">
                  <c:v>190.41753027970165</c:v>
                </c:pt>
                <c:pt idx="20">
                  <c:v>202.11150496732066</c:v>
                </c:pt>
                <c:pt idx="21">
                  <c:v>190.3352607100372</c:v>
                </c:pt>
                <c:pt idx="22">
                  <c:v>202.22602372898868</c:v>
                </c:pt>
                <c:pt idx="23">
                  <c:v>214.10060052790664</c:v>
                </c:pt>
                <c:pt idx="24">
                  <c:v>225.96001588785293</c:v>
                </c:pt>
                <c:pt idx="25">
                  <c:v>237.80517814112216</c:v>
                </c:pt>
                <c:pt idx="26">
                  <c:v>249.63689767063647</c:v>
                </c:pt>
                <c:pt idx="27">
                  <c:v>261.45590171436476</c:v>
                </c:pt>
                <c:pt idx="28">
                  <c:v>273.26284634991129</c:v>
                </c:pt>
                <c:pt idx="29">
                  <c:v>285.05832629752393</c:v>
                </c:pt>
                <c:pt idx="30">
                  <c:v>296.842883014341</c:v>
                </c:pt>
                <c:pt idx="31">
                  <c:v>275.65349417964381</c:v>
                </c:pt>
                <c:pt idx="32">
                  <c:v>287.07132377752293</c:v>
                </c:pt>
                <c:pt idx="33">
                  <c:v>298.4789971502945</c:v>
                </c:pt>
                <c:pt idx="34">
                  <c:v>309.87695734316827</c:v>
                </c:pt>
                <c:pt idx="35">
                  <c:v>321.26561213250153</c:v>
                </c:pt>
                <c:pt idx="36">
                  <c:v>332.64533801094188</c:v>
                </c:pt>
                <c:pt idx="37">
                  <c:v>344.01648359848582</c:v>
                </c:pt>
                <c:pt idx="38">
                  <c:v>355.3793725787836</c:v>
                </c:pt>
                <c:pt idx="39">
                  <c:v>366.73430624014873</c:v>
                </c:pt>
                <c:pt idx="40">
                  <c:v>378.08156568532991</c:v>
                </c:pt>
                <c:pt idx="41">
                  <c:v>347.84354367003817</c:v>
                </c:pt>
                <c:pt idx="42">
                  <c:v>358.88915570255818</c:v>
                </c:pt>
                <c:pt idx="43">
                  <c:v>369.92733118445193</c:v>
                </c:pt>
                <c:pt idx="44">
                  <c:v>380.95832336151602</c:v>
                </c:pt>
                <c:pt idx="45">
                  <c:v>391.98236961231692</c:v>
                </c:pt>
                <c:pt idx="46">
                  <c:v>402.99969287019775</c:v>
                </c:pt>
                <c:pt idx="47">
                  <c:v>414.0105028816356</c:v>
                </c:pt>
                <c:pt idx="48">
                  <c:v>425.0149973237298</c:v>
                </c:pt>
                <c:pt idx="49">
                  <c:v>436.0133627998992</c:v>
                </c:pt>
                <c:pt idx="50">
                  <c:v>447.00577572986822</c:v>
                </c:pt>
                <c:pt idx="51">
                  <c:v>411.88627942151425</c:v>
                </c:pt>
                <c:pt idx="52">
                  <c:v>422.30669900616778</c:v>
                </c:pt>
                <c:pt idx="53">
                  <c:v>432.72158410821072</c:v>
                </c:pt>
                <c:pt idx="54">
                  <c:v>443.13108674335803</c:v>
                </c:pt>
                <c:pt idx="55">
                  <c:v>453.53535120120392</c:v>
                </c:pt>
                <c:pt idx="56">
                  <c:v>463.93451460992674</c:v>
                </c:pt>
                <c:pt idx="57">
                  <c:v>474.32870744771981</c:v>
                </c:pt>
                <c:pt idx="58">
                  <c:v>484.71805400705563</c:v>
                </c:pt>
                <c:pt idx="59">
                  <c:v>495.10267281707235</c:v>
                </c:pt>
                <c:pt idx="60">
                  <c:v>505.48267702867639</c:v>
                </c:pt>
                <c:pt idx="61">
                  <c:v>466.95505474152384</c:v>
                </c:pt>
                <c:pt idx="62">
                  <c:v>476.77627732506852</c:v>
                </c:pt>
                <c:pt idx="63">
                  <c:v>486.5931975523294</c:v>
                </c:pt>
                <c:pt idx="64">
                  <c:v>496.40591447456086</c:v>
                </c:pt>
                <c:pt idx="65">
                  <c:v>506.21452290703246</c:v>
                </c:pt>
                <c:pt idx="66">
                  <c:v>516.01911369051209</c:v>
                </c:pt>
                <c:pt idx="67">
                  <c:v>525.81977393184104</c:v>
                </c:pt>
                <c:pt idx="68">
                  <c:v>535.61658722563902</c:v>
                </c:pt>
                <c:pt idx="69">
                  <c:v>545.40963385894656</c:v>
                </c:pt>
                <c:pt idx="70">
                  <c:v>555.19899100040629</c:v>
                </c:pt>
                <c:pt idx="71">
                  <c:v>514.72181824428014</c:v>
                </c:pt>
                <c:pt idx="72">
                  <c:v>523.95745947822275</c:v>
                </c:pt>
                <c:pt idx="73">
                  <c:v>533.18967113053884</c:v>
                </c:pt>
                <c:pt idx="74">
                  <c:v>542.41852096417767</c:v>
                </c:pt>
                <c:pt idx="75">
                  <c:v>551.64407424793637</c:v>
                </c:pt>
                <c:pt idx="76">
                  <c:v>560.86639388933452</c:v>
                </c:pt>
                <c:pt idx="77">
                  <c:v>570.08554055829416</c:v>
                </c:pt>
                <c:pt idx="78">
                  <c:v>579.30157280240462</c:v>
                </c:pt>
                <c:pt idx="79">
                  <c:v>588.51454715447323</c:v>
                </c:pt>
                <c:pt idx="80">
                  <c:v>597.72451823298854</c:v>
                </c:pt>
                <c:pt idx="81">
                  <c:v>553.20975752555944</c:v>
                </c:pt>
                <c:pt idx="82">
                  <c:v>562.22463921173255</c:v>
                </c:pt>
                <c:pt idx="83">
                  <c:v>571.23649710029645</c:v>
                </c:pt>
                <c:pt idx="84">
                  <c:v>580.24538562287671</c:v>
                </c:pt>
                <c:pt idx="85">
                  <c:v>589.25135738300639</c:v>
                </c:pt>
                <c:pt idx="86">
                  <c:v>598.25446324512336</c:v>
                </c:pt>
                <c:pt idx="87">
                  <c:v>607.25475241793379</c:v>
                </c:pt>
                <c:pt idx="88">
                  <c:v>616.25227253257628</c:v>
                </c:pt>
                <c:pt idx="89">
                  <c:v>625.24706971598357</c:v>
                </c:pt>
                <c:pt idx="90">
                  <c:v>634.23918865980636</c:v>
                </c:pt>
                <c:pt idx="91">
                  <c:v>589.28783263821958</c:v>
                </c:pt>
                <c:pt idx="92">
                  <c:v>597.79744702527432</c:v>
                </c:pt>
                <c:pt idx="93">
                  <c:v>606.30454289742772</c:v>
                </c:pt>
                <c:pt idx="94">
                  <c:v>614.80916057495858</c:v>
                </c:pt>
                <c:pt idx="95">
                  <c:v>623.31133917169302</c:v>
                </c:pt>
                <c:pt idx="96">
                  <c:v>631.81111664742082</c:v>
                </c:pt>
                <c:pt idx="97">
                  <c:v>640.30852985734498</c:v>
                </c:pt>
                <c:pt idx="98">
                  <c:v>648.80361459877054</c:v>
                </c:pt>
                <c:pt idx="99">
                  <c:v>657.29640565522266</c:v>
                </c:pt>
                <c:pt idx="100">
                  <c:v>665.7869368381638</c:v>
                </c:pt>
                <c:pt idx="101">
                  <c:v>620.68806766600085</c:v>
                </c:pt>
                <c:pt idx="102">
                  <c:v>628.75147102119388</c:v>
                </c:pt>
                <c:pt idx="103">
                  <c:v>636.81273522056802</c:v>
                </c:pt>
                <c:pt idx="104">
                  <c:v>644.8718911608006</c:v>
                </c:pt>
                <c:pt idx="105">
                  <c:v>652.92896890337431</c:v>
                </c:pt>
                <c:pt idx="106">
                  <c:v>660.98399770740377</c:v>
                </c:pt>
                <c:pt idx="107">
                  <c:v>669.03700606077882</c:v>
                </c:pt>
                <c:pt idx="108">
                  <c:v>677.08802170972831</c:v>
                </c:pt>
                <c:pt idx="109">
                  <c:v>685.13707168691019</c:v>
                </c:pt>
                <c:pt idx="110">
                  <c:v>693.18418233810769</c:v>
                </c:pt>
                <c:pt idx="111">
                  <c:v>648.21146060816591</c:v>
                </c:pt>
                <c:pt idx="112">
                  <c:v>655.86977560394951</c:v>
                </c:pt>
                <c:pt idx="113">
                  <c:v>663.52624856935142</c:v>
                </c:pt>
                <c:pt idx="114">
                  <c:v>671.18090375574229</c:v>
                </c:pt>
                <c:pt idx="115">
                  <c:v>678.83376481625851</c:v>
                </c:pt>
                <c:pt idx="116">
                  <c:v>686.48485482728211</c:v>
                </c:pt>
                <c:pt idx="117">
                  <c:v>694.13419630891406</c:v>
                </c:pt>
                <c:pt idx="118">
                  <c:v>701.78181124449839</c:v>
                </c:pt>
                <c:pt idx="119">
                  <c:v>709.42772109924965</c:v>
                </c:pt>
                <c:pt idx="120">
                  <c:v>717.07194683804016</c:v>
                </c:pt>
                <c:pt idx="121">
                  <c:v>672.70870871471288</c:v>
                </c:pt>
                <c:pt idx="122">
                  <c:v>679.96844838999493</c:v>
                </c:pt>
                <c:pt idx="123">
                  <c:v>687.2265972088793</c:v>
                </c:pt>
                <c:pt idx="124">
                  <c:v>694.48317434122453</c:v>
                </c:pt>
                <c:pt idx="125">
                  <c:v>701.73819852364875</c:v>
                </c:pt>
                <c:pt idx="126">
                  <c:v>708.99168807379374</c:v>
                </c:pt>
                <c:pt idx="127">
                  <c:v>716.24366090397734</c:v>
                </c:pt>
                <c:pt idx="128">
                  <c:v>723.49413453426314</c:v>
                </c:pt>
                <c:pt idx="129">
                  <c:v>730.74312610497975</c:v>
                </c:pt>
                <c:pt idx="130">
                  <c:v>737.99065238871788</c:v>
                </c:pt>
                <c:pt idx="131">
                  <c:v>694.2771807983471</c:v>
                </c:pt>
                <c:pt idx="132">
                  <c:v>701.18576592390161</c:v>
                </c:pt>
                <c:pt idx="133">
                  <c:v>708.09295826221376</c:v>
                </c:pt>
                <c:pt idx="134">
                  <c:v>714.99877331400251</c:v>
                </c:pt>
                <c:pt idx="135">
                  <c:v>721.90322625617262</c:v>
                </c:pt>
                <c:pt idx="136">
                  <c:v>728.80633195167866</c:v>
                </c:pt>
                <c:pt idx="137">
                  <c:v>735.70810495899548</c:v>
                </c:pt>
                <c:pt idx="138">
                  <c:v>742.60855954121553</c:v>
                </c:pt>
                <c:pt idx="139">
                  <c:v>749.50770967478877</c:v>
                </c:pt>
                <c:pt idx="140">
                  <c:v>756.40556905792698</c:v>
                </c:pt>
                <c:pt idx="141">
                  <c:v>713.37114920629074</c:v>
                </c:pt>
                <c:pt idx="142">
                  <c:v>719.96352895061545</c:v>
                </c:pt>
                <c:pt idx="143">
                  <c:v>726.55467683252971</c:v>
                </c:pt>
                <c:pt idx="144">
                  <c:v>733.1446056018882</c:v>
                </c:pt>
                <c:pt idx="145">
                  <c:v>739.73332776067548</c:v>
                </c:pt>
                <c:pt idx="146">
                  <c:v>746.32085557003745</c:v>
                </c:pt>
                <c:pt idx="147">
                  <c:v>752.90720105705111</c:v>
                </c:pt>
                <c:pt idx="148">
                  <c:v>759.49237602124538</c:v>
                </c:pt>
                <c:pt idx="149">
                  <c:v>766.07639204088593</c:v>
                </c:pt>
                <c:pt idx="150">
                  <c:v>772.65926047902883</c:v>
                </c:pt>
                <c:pt idx="151">
                  <c:v>3.548896039755445E-12</c:v>
                </c:pt>
                <c:pt idx="152">
                  <c:v>3.548896039755445E-12</c:v>
                </c:pt>
                <c:pt idx="153">
                  <c:v>3.548896039755445E-12</c:v>
                </c:pt>
                <c:pt idx="154">
                  <c:v>3.548896039755445E-12</c:v>
                </c:pt>
                <c:pt idx="155">
                  <c:v>3.548896039755445E-12</c:v>
                </c:pt>
                <c:pt idx="156">
                  <c:v>3.548896039755445E-12</c:v>
                </c:pt>
                <c:pt idx="157">
                  <c:v>3.548896039755445E-12</c:v>
                </c:pt>
                <c:pt idx="158">
                  <c:v>3.548896039755445E-12</c:v>
                </c:pt>
                <c:pt idx="159">
                  <c:v>3.548896039755445E-12</c:v>
                </c:pt>
                <c:pt idx="160">
                  <c:v>3.548896039755445E-12</c:v>
                </c:pt>
                <c:pt idx="161">
                  <c:v>3.548896039755445E-12</c:v>
                </c:pt>
                <c:pt idx="162">
                  <c:v>3.548896039755445E-12</c:v>
                </c:pt>
                <c:pt idx="163">
                  <c:v>3.548896039755445E-12</c:v>
                </c:pt>
                <c:pt idx="164">
                  <c:v>3.548896039755445E-12</c:v>
                </c:pt>
                <c:pt idx="165">
                  <c:v>3.548896039755445E-12</c:v>
                </c:pt>
                <c:pt idx="166">
                  <c:v>3.548896039755445E-12</c:v>
                </c:pt>
                <c:pt idx="167">
                  <c:v>3.548896039755445E-12</c:v>
                </c:pt>
                <c:pt idx="168">
                  <c:v>3.548896039755445E-12</c:v>
                </c:pt>
                <c:pt idx="169">
                  <c:v>3.548896039755445E-12</c:v>
                </c:pt>
                <c:pt idx="170">
                  <c:v>3.548896039755445E-12</c:v>
                </c:pt>
                <c:pt idx="171">
                  <c:v>3.548896039755445E-12</c:v>
                </c:pt>
                <c:pt idx="172">
                  <c:v>3.548896039755445E-12</c:v>
                </c:pt>
                <c:pt idx="173">
                  <c:v>3.548896039755445E-12</c:v>
                </c:pt>
                <c:pt idx="174">
                  <c:v>3.548896039755445E-12</c:v>
                </c:pt>
                <c:pt idx="175">
                  <c:v>3.548896039755445E-12</c:v>
                </c:pt>
                <c:pt idx="176">
                  <c:v>3.548896039755445E-12</c:v>
                </c:pt>
                <c:pt idx="177">
                  <c:v>3.548896039755445E-12</c:v>
                </c:pt>
                <c:pt idx="178">
                  <c:v>3.548896039755445E-12</c:v>
                </c:pt>
                <c:pt idx="179">
                  <c:v>3.548896039755445E-12</c:v>
                </c:pt>
                <c:pt idx="180">
                  <c:v>3.548896039755445E-12</c:v>
                </c:pt>
                <c:pt idx="181">
                  <c:v>3.548896039755445E-12</c:v>
                </c:pt>
                <c:pt idx="182">
                  <c:v>3.548896039755445E-12</c:v>
                </c:pt>
                <c:pt idx="183">
                  <c:v>3.548896039755445E-12</c:v>
                </c:pt>
                <c:pt idx="184">
                  <c:v>3.548896039755445E-12</c:v>
                </c:pt>
                <c:pt idx="185">
                  <c:v>3.548896039755445E-12</c:v>
                </c:pt>
                <c:pt idx="186">
                  <c:v>3.548896039755445E-12</c:v>
                </c:pt>
                <c:pt idx="187">
                  <c:v>3.548896039755445E-12</c:v>
                </c:pt>
                <c:pt idx="188">
                  <c:v>3.548896039755445E-12</c:v>
                </c:pt>
                <c:pt idx="189">
                  <c:v>3.548896039755445E-12</c:v>
                </c:pt>
                <c:pt idx="190">
                  <c:v>3.548896039755445E-12</c:v>
                </c:pt>
                <c:pt idx="191">
                  <c:v>3.548896039755445E-12</c:v>
                </c:pt>
                <c:pt idx="192">
                  <c:v>3.548896039755445E-12</c:v>
                </c:pt>
                <c:pt idx="193">
                  <c:v>3.548896039755445E-12</c:v>
                </c:pt>
                <c:pt idx="194">
                  <c:v>3.548896039755445E-12</c:v>
                </c:pt>
                <c:pt idx="195">
                  <c:v>3.548896039755445E-12</c:v>
                </c:pt>
                <c:pt idx="196">
                  <c:v>3.548896039755445E-12</c:v>
                </c:pt>
                <c:pt idx="197">
                  <c:v>3.548896039755445E-12</c:v>
                </c:pt>
                <c:pt idx="198">
                  <c:v>3.548896039755445E-12</c:v>
                </c:pt>
                <c:pt idx="199">
                  <c:v>3.548896039755445E-12</c:v>
                </c:pt>
                <c:pt idx="200">
                  <c:v>3.548896039755445E-12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0397200"/>
        <c:axId val="-2060410256"/>
      </c:scatterChart>
      <c:valAx>
        <c:axId val="-2060397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10256"/>
        <c:crosses val="autoZero"/>
        <c:crossBetween val="midCat"/>
      </c:valAx>
      <c:valAx>
        <c:axId val="-206041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397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3.3394640190111766</c:v>
                </c:pt>
                <c:pt idx="2">
                  <c:v>3.8674873772702867</c:v>
                </c:pt>
                <c:pt idx="3">
                  <c:v>4.4792976876993569</c:v>
                </c:pt>
                <c:pt idx="4">
                  <c:v>5.1882348976837296</c:v>
                </c:pt>
                <c:pt idx="5">
                  <c:v>6.0097694974887572</c:v>
                </c:pt>
                <c:pt idx="6">
                  <c:v>6.9618437817507113</c:v>
                </c:pt>
                <c:pt idx="7">
                  <c:v>8.065267919449095</c:v>
                </c:pt>
                <c:pt idx="8">
                  <c:v>9.3441796565767881</c:v>
                </c:pt>
                <c:pt idx="9">
                  <c:v>10.826577899625848</c:v>
                </c:pt>
                <c:pt idx="10">
                  <c:v>12.544942082142599</c:v>
                </c:pt>
                <c:pt idx="11">
                  <c:v>14.536951138272158</c:v>
                </c:pt>
                <c:pt idx="12">
                  <c:v>16.846318139757877</c:v>
                </c:pt>
                <c:pt idx="13">
                  <c:v>19.523759246667929</c:v>
                </c:pt>
                <c:pt idx="14">
                  <c:v>22.628118635752003</c:v>
                </c:pt>
                <c:pt idx="15">
                  <c:v>26.227674571855243</c:v>
                </c:pt>
                <c:pt idx="16">
                  <c:v>30.40165585635906</c:v>
                </c:pt>
                <c:pt idx="17">
                  <c:v>35.242002614155552</c:v>
                </c:pt>
                <c:pt idx="18">
                  <c:v>40.855410874112543</c:v>
                </c:pt>
                <c:pt idx="19">
                  <c:v>47.365706781642565</c:v>
                </c:pt>
                <c:pt idx="20">
                  <c:v>54.91660370034333</c:v>
                </c:pt>
                <c:pt idx="21">
                  <c:v>62.528021986293801</c:v>
                </c:pt>
                <c:pt idx="22">
                  <c:v>70.115378895218456</c:v>
                </c:pt>
                <c:pt idx="23">
                  <c:v>77.681652883443277</c:v>
                </c:pt>
                <c:pt idx="24">
                  <c:v>85.229192244967592</c:v>
                </c:pt>
                <c:pt idx="25">
                  <c:v>92.759893822078311</c:v>
                </c:pt>
                <c:pt idx="26">
                  <c:v>101.77669150071311</c:v>
                </c:pt>
                <c:pt idx="27">
                  <c:v>110.77370812238216</c:v>
                </c:pt>
                <c:pt idx="28">
                  <c:v>119.7527795193747</c:v>
                </c:pt>
                <c:pt idx="29">
                  <c:v>128.71544304407607</c:v>
                </c:pt>
                <c:pt idx="30">
                  <c:v>137.66300398229683</c:v>
                </c:pt>
                <c:pt idx="31">
                  <c:v>146.5965837356004</c:v>
                </c:pt>
                <c:pt idx="32">
                  <c:v>155.51715560762716</c:v>
                </c:pt>
                <c:pt idx="33">
                  <c:v>164.42557192716174</c:v>
                </c:pt>
                <c:pt idx="34">
                  <c:v>173.32258497105386</c:v>
                </c:pt>
                <c:pt idx="35">
                  <c:v>182.20886335665327</c:v>
                </c:pt>
                <c:pt idx="36">
                  <c:v>150.06719138513347</c:v>
                </c:pt>
                <c:pt idx="37">
                  <c:v>159.97283406014307</c:v>
                </c:pt>
                <c:pt idx="38">
                  <c:v>169.8639461155727</c:v>
                </c:pt>
                <c:pt idx="39">
                  <c:v>179.7414938524295</c:v>
                </c:pt>
                <c:pt idx="40">
                  <c:v>189.60632854318956</c:v>
                </c:pt>
                <c:pt idx="41">
                  <c:v>198.96683496622973</c:v>
                </c:pt>
                <c:pt idx="42">
                  <c:v>208.31712994673535</c:v>
                </c:pt>
                <c:pt idx="43">
                  <c:v>217.65773691809366</c:v>
                </c:pt>
                <c:pt idx="44">
                  <c:v>226.98913066751967</c:v>
                </c:pt>
                <c:pt idx="45">
                  <c:v>236.3117437149856</c:v>
                </c:pt>
                <c:pt idx="46">
                  <c:v>201.42840663816685</c:v>
                </c:pt>
                <c:pt idx="47">
                  <c:v>210.77610350491491</c:v>
                </c:pt>
                <c:pt idx="48">
                  <c:v>220.11424174130741</c:v>
                </c:pt>
                <c:pt idx="49">
                  <c:v>229.44328444073338</c:v>
                </c:pt>
                <c:pt idx="50">
                  <c:v>238.76365392213782</c:v>
                </c:pt>
                <c:pt idx="51">
                  <c:v>248.56562374919261</c:v>
                </c:pt>
                <c:pt idx="52">
                  <c:v>258.35882487470542</c:v>
                </c:pt>
                <c:pt idx="53">
                  <c:v>268.14363680502896</c:v>
                </c:pt>
                <c:pt idx="54">
                  <c:v>277.92040906473107</c:v>
                </c:pt>
                <c:pt idx="55">
                  <c:v>287.68946455956689</c:v>
                </c:pt>
                <c:pt idx="56">
                  <c:v>250.5249528645617</c:v>
                </c:pt>
                <c:pt idx="57">
                  <c:v>259.82707261265051</c:v>
                </c:pt>
                <c:pt idx="58">
                  <c:v>269.12167028979457</c:v>
                </c:pt>
                <c:pt idx="59">
                  <c:v>278.40904253403284</c:v>
                </c:pt>
                <c:pt idx="60">
                  <c:v>287.68946455956683</c:v>
                </c:pt>
                <c:pt idx="61">
                  <c:v>296.96319236031735</c:v>
                </c:pt>
                <c:pt idx="62">
                  <c:v>306.23046462362475</c:v>
                </c:pt>
                <c:pt idx="63">
                  <c:v>315.49150440002353</c:v>
                </c:pt>
                <c:pt idx="64">
                  <c:v>324.74652056657823</c:v>
                </c:pt>
                <c:pt idx="65">
                  <c:v>333.99570911458437</c:v>
                </c:pt>
                <c:pt idx="66">
                  <c:v>294.03535513490738</c:v>
                </c:pt>
                <c:pt idx="67">
                  <c:v>302.81694304673329</c:v>
                </c:pt>
                <c:pt idx="68">
                  <c:v>311.59286516288245</c:v>
                </c:pt>
                <c:pt idx="69">
                  <c:v>320.36330368900036</c:v>
                </c:pt>
                <c:pt idx="70">
                  <c:v>329.12843003230108</c:v>
                </c:pt>
                <c:pt idx="71">
                  <c:v>337.4018728966368</c:v>
                </c:pt>
                <c:pt idx="72">
                  <c:v>345.67085020585574</c:v>
                </c:pt>
                <c:pt idx="73">
                  <c:v>353.93548393011434</c:v>
                </c:pt>
                <c:pt idx="74">
                  <c:v>362.19588987431371</c:v>
                </c:pt>
                <c:pt idx="75">
                  <c:v>370.45217812631859</c:v>
                </c:pt>
                <c:pt idx="76">
                  <c:v>330.10201215355221</c:v>
                </c:pt>
                <c:pt idx="77">
                  <c:v>338.37492311568434</c:v>
                </c:pt>
                <c:pt idx="78">
                  <c:v>346.64338320780843</c:v>
                </c:pt>
                <c:pt idx="79">
                  <c:v>354.90751364999682</c:v>
                </c:pt>
                <c:pt idx="80">
                  <c:v>363.16742955215483</c:v>
                </c:pt>
                <c:pt idx="81">
                  <c:v>370.45217812631859</c:v>
                </c:pt>
                <c:pt idx="82">
                  <c:v>377.73380252948976</c:v>
                </c:pt>
                <c:pt idx="83">
                  <c:v>385.01237153030615</c:v>
                </c:pt>
                <c:pt idx="84">
                  <c:v>392.28795108310914</c:v>
                </c:pt>
                <c:pt idx="85">
                  <c:v>399.56060449432636</c:v>
                </c:pt>
                <c:pt idx="86">
                  <c:v>363.65317807573325</c:v>
                </c:pt>
                <c:pt idx="87">
                  <c:v>371.42324035701841</c:v>
                </c:pt>
                <c:pt idx="88">
                  <c:v>379.1897586118705</c:v>
                </c:pt>
                <c:pt idx="89">
                  <c:v>386.95281571968485</c:v>
                </c:pt>
                <c:pt idx="90">
                  <c:v>394.71249096071051</c:v>
                </c:pt>
                <c:pt idx="91">
                  <c:v>401.49949236057915</c:v>
                </c:pt>
                <c:pt idx="92">
                  <c:v>408.2840115372872</c:v>
                </c:pt>
                <c:pt idx="93">
                  <c:v>415.06609558869451</c:v>
                </c:pt>
                <c:pt idx="94">
                  <c:v>421.84578994679754</c:v>
                </c:pt>
                <c:pt idx="95">
                  <c:v>428.62313846306932</c:v>
                </c:pt>
                <c:pt idx="96">
                  <c:v>392.28795108310914</c:v>
                </c:pt>
                <c:pt idx="97">
                  <c:v>399.56060449432636</c:v>
                </c:pt>
                <c:pt idx="98">
                  <c:v>406.83039257610608</c:v>
                </c:pt>
                <c:pt idx="99">
                  <c:v>414.09737378838713</c:v>
                </c:pt>
                <c:pt idx="100">
                  <c:v>421.36160437047585</c:v>
                </c:pt>
                <c:pt idx="101">
                  <c:v>428.1391190250547</c:v>
                </c:pt>
                <c:pt idx="102">
                  <c:v>434.91432721152597</c:v>
                </c:pt>
                <c:pt idx="103">
                  <c:v>441.68726995359702</c:v>
                </c:pt>
                <c:pt idx="104">
                  <c:v>448.45798691336608</c:v>
                </c:pt>
                <c:pt idx="105">
                  <c:v>455.22651645684374</c:v>
                </c:pt>
                <c:pt idx="106">
                  <c:v>418.94049641810261</c:v>
                </c:pt>
                <c:pt idx="107">
                  <c:v>426.20292344968499</c:v>
                </c:pt>
                <c:pt idx="108">
                  <c:v>433.46268897597179</c:v>
                </c:pt>
                <c:pt idx="109">
                  <c:v>440.71984388784944</c:v>
                </c:pt>
                <c:pt idx="110">
                  <c:v>447.97443726246615</c:v>
                </c:pt>
                <c:pt idx="111">
                  <c:v>455.22651645684374</c:v>
                </c:pt>
                <c:pt idx="112">
                  <c:v>462.47612719521203</c:v>
                </c:pt>
                <c:pt idx="113">
                  <c:v>469.72331365057767</c:v>
                </c:pt>
                <c:pt idx="114">
                  <c:v>476.96811852099836</c:v>
                </c:pt>
                <c:pt idx="115">
                  <c:v>484.21058310097698</c:v>
                </c:pt>
                <c:pt idx="116">
                  <c:v>491.45074734836277</c:v>
                </c:pt>
                <c:pt idx="117">
                  <c:v>498.68864994710202</c:v>
                </c:pt>
                <c:pt idx="118">
                  <c:v>505.92432836615734</c:v>
                </c:pt>
                <c:pt idx="119">
                  <c:v>513.15781891487757</c:v>
                </c:pt>
                <c:pt idx="120">
                  <c:v>520.38915679508375</c:v>
                </c:pt>
                <c:pt idx="121">
                  <c:v>1.8944229476047665E-12</c:v>
                </c:pt>
                <c:pt idx="122">
                  <c:v>1.8944229476047665E-12</c:v>
                </c:pt>
                <c:pt idx="123">
                  <c:v>1.8944229476047665E-12</c:v>
                </c:pt>
                <c:pt idx="124">
                  <c:v>1.8944229476047665E-12</c:v>
                </c:pt>
                <c:pt idx="125">
                  <c:v>1.8944229476047665E-12</c:v>
                </c:pt>
                <c:pt idx="126">
                  <c:v>1.8944229476047665E-12</c:v>
                </c:pt>
                <c:pt idx="127">
                  <c:v>1.8944229476047665E-12</c:v>
                </c:pt>
                <c:pt idx="128">
                  <c:v>1.8944229476047665E-12</c:v>
                </c:pt>
                <c:pt idx="129">
                  <c:v>1.8944229476047665E-12</c:v>
                </c:pt>
                <c:pt idx="130">
                  <c:v>1.8944229476047665E-12</c:v>
                </c:pt>
                <c:pt idx="131">
                  <c:v>1.8944229476047665E-12</c:v>
                </c:pt>
                <c:pt idx="132">
                  <c:v>1.8944229476047665E-12</c:v>
                </c:pt>
                <c:pt idx="133">
                  <c:v>1.8944229476047665E-12</c:v>
                </c:pt>
                <c:pt idx="134">
                  <c:v>1.8944229476047665E-12</c:v>
                </c:pt>
                <c:pt idx="135">
                  <c:v>1.8944229476047665E-12</c:v>
                </c:pt>
                <c:pt idx="136">
                  <c:v>1.8944229476047665E-12</c:v>
                </c:pt>
                <c:pt idx="137">
                  <c:v>1.8944229476047665E-12</c:v>
                </c:pt>
                <c:pt idx="138">
                  <c:v>1.8944229476047665E-12</c:v>
                </c:pt>
                <c:pt idx="139">
                  <c:v>1.8944229476047665E-12</c:v>
                </c:pt>
                <c:pt idx="140">
                  <c:v>1.8944229476047665E-12</c:v>
                </c:pt>
                <c:pt idx="141">
                  <c:v>1.8944229476047665E-12</c:v>
                </c:pt>
                <c:pt idx="142">
                  <c:v>1.8944229476047665E-12</c:v>
                </c:pt>
                <c:pt idx="143">
                  <c:v>1.8944229476047665E-12</c:v>
                </c:pt>
                <c:pt idx="144">
                  <c:v>1.8944229476047665E-12</c:v>
                </c:pt>
                <c:pt idx="145">
                  <c:v>1.8944229476047665E-12</c:v>
                </c:pt>
                <c:pt idx="146">
                  <c:v>1.8944229476047665E-12</c:v>
                </c:pt>
                <c:pt idx="147">
                  <c:v>1.8944229476047665E-12</c:v>
                </c:pt>
                <c:pt idx="148">
                  <c:v>1.8944229476047665E-12</c:v>
                </c:pt>
                <c:pt idx="149">
                  <c:v>1.8944229476047665E-12</c:v>
                </c:pt>
                <c:pt idx="150">
                  <c:v>1.8944229476047665E-12</c:v>
                </c:pt>
                <c:pt idx="151">
                  <c:v>1.8944229476047665E-12</c:v>
                </c:pt>
                <c:pt idx="152">
                  <c:v>1.8944229476047665E-12</c:v>
                </c:pt>
                <c:pt idx="153">
                  <c:v>1.8944229476047665E-12</c:v>
                </c:pt>
                <c:pt idx="154">
                  <c:v>1.8944229476047665E-12</c:v>
                </c:pt>
                <c:pt idx="155">
                  <c:v>1.8944229476047665E-12</c:v>
                </c:pt>
                <c:pt idx="156">
                  <c:v>1.8944229476047665E-12</c:v>
                </c:pt>
                <c:pt idx="157">
                  <c:v>1.8944229476047665E-12</c:v>
                </c:pt>
                <c:pt idx="158">
                  <c:v>1.8944229476047665E-12</c:v>
                </c:pt>
                <c:pt idx="159">
                  <c:v>1.8944229476047665E-12</c:v>
                </c:pt>
                <c:pt idx="160">
                  <c:v>1.8944229476047665E-12</c:v>
                </c:pt>
                <c:pt idx="161">
                  <c:v>1.8944229476047665E-12</c:v>
                </c:pt>
                <c:pt idx="162">
                  <c:v>1.8944229476047665E-12</c:v>
                </c:pt>
                <c:pt idx="163">
                  <c:v>1.8944229476047665E-12</c:v>
                </c:pt>
                <c:pt idx="164">
                  <c:v>1.8944229476047665E-12</c:v>
                </c:pt>
                <c:pt idx="165">
                  <c:v>1.8944229476047665E-12</c:v>
                </c:pt>
                <c:pt idx="166">
                  <c:v>1.8944229476047665E-12</c:v>
                </c:pt>
                <c:pt idx="167">
                  <c:v>1.8944229476047665E-12</c:v>
                </c:pt>
                <c:pt idx="168">
                  <c:v>1.8944229476047665E-12</c:v>
                </c:pt>
                <c:pt idx="169">
                  <c:v>1.8944229476047665E-12</c:v>
                </c:pt>
                <c:pt idx="170">
                  <c:v>1.8944229476047665E-12</c:v>
                </c:pt>
                <c:pt idx="171">
                  <c:v>1.8944229476047665E-12</c:v>
                </c:pt>
                <c:pt idx="172">
                  <c:v>1.8944229476047665E-12</c:v>
                </c:pt>
                <c:pt idx="173">
                  <c:v>1.8944229476047665E-12</c:v>
                </c:pt>
                <c:pt idx="174">
                  <c:v>1.8944229476047665E-12</c:v>
                </c:pt>
                <c:pt idx="175">
                  <c:v>1.8944229476047665E-12</c:v>
                </c:pt>
                <c:pt idx="176">
                  <c:v>1.8944229476047665E-12</c:v>
                </c:pt>
                <c:pt idx="177">
                  <c:v>1.8944229476047665E-12</c:v>
                </c:pt>
                <c:pt idx="178">
                  <c:v>1.8944229476047665E-12</c:v>
                </c:pt>
                <c:pt idx="179">
                  <c:v>1.8944229476047665E-12</c:v>
                </c:pt>
                <c:pt idx="180">
                  <c:v>1.8944229476047665E-12</c:v>
                </c:pt>
                <c:pt idx="181">
                  <c:v>1.8944229476047665E-12</c:v>
                </c:pt>
                <c:pt idx="182">
                  <c:v>1.8944229476047665E-12</c:v>
                </c:pt>
                <c:pt idx="183">
                  <c:v>1.8944229476047665E-12</c:v>
                </c:pt>
                <c:pt idx="184">
                  <c:v>1.8944229476047665E-12</c:v>
                </c:pt>
                <c:pt idx="185">
                  <c:v>1.8944229476047665E-12</c:v>
                </c:pt>
                <c:pt idx="186">
                  <c:v>1.8944229476047665E-12</c:v>
                </c:pt>
                <c:pt idx="187">
                  <c:v>1.8944229476047665E-12</c:v>
                </c:pt>
                <c:pt idx="188">
                  <c:v>1.8944229476047665E-12</c:v>
                </c:pt>
                <c:pt idx="189">
                  <c:v>1.8944229476047665E-12</c:v>
                </c:pt>
                <c:pt idx="190">
                  <c:v>1.8944229476047665E-12</c:v>
                </c:pt>
                <c:pt idx="191">
                  <c:v>1.8944229476047665E-12</c:v>
                </c:pt>
                <c:pt idx="192">
                  <c:v>1.8944229476047665E-12</c:v>
                </c:pt>
                <c:pt idx="193">
                  <c:v>1.8944229476047665E-12</c:v>
                </c:pt>
                <c:pt idx="194">
                  <c:v>1.8944229476047665E-12</c:v>
                </c:pt>
                <c:pt idx="195">
                  <c:v>1.8944229476047665E-12</c:v>
                </c:pt>
                <c:pt idx="196">
                  <c:v>1.8944229476047665E-12</c:v>
                </c:pt>
                <c:pt idx="197">
                  <c:v>1.8944229476047665E-12</c:v>
                </c:pt>
                <c:pt idx="198">
                  <c:v>1.8944229476047665E-12</c:v>
                </c:pt>
                <c:pt idx="199">
                  <c:v>1.8944229476047665E-12</c:v>
                </c:pt>
                <c:pt idx="200">
                  <c:v>1.8944229476047665E-12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0404272"/>
        <c:axId val="-2060409712"/>
      </c:scatterChart>
      <c:valAx>
        <c:axId val="-2060404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9712"/>
        <c:crosses val="autoZero"/>
        <c:crossBetween val="midCat"/>
      </c:valAx>
      <c:valAx>
        <c:axId val="-206040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4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3.4001639851425192</c:v>
                </c:pt>
                <c:pt idx="2">
                  <c:v>4.3553033704075794</c:v>
                </c:pt>
                <c:pt idx="3">
                  <c:v>5.5797998252114569</c:v>
                </c:pt>
                <c:pt idx="4">
                  <c:v>7.1498924387074512</c:v>
                </c:pt>
                <c:pt idx="5">
                  <c:v>9.1634725787337761</c:v>
                </c:pt>
                <c:pt idx="6">
                  <c:v>11.74625258926398</c:v>
                </c:pt>
                <c:pt idx="7">
                  <c:v>15.059697013124968</c:v>
                </c:pt>
                <c:pt idx="8">
                  <c:v>19.311221256867253</c:v>
                </c:pt>
                <c:pt idx="9">
                  <c:v>24.767307605927822</c:v>
                </c:pt>
                <c:pt idx="10">
                  <c:v>31.770375214932102</c:v>
                </c:pt>
                <c:pt idx="11">
                  <c:v>40.760481171185205</c:v>
                </c:pt>
                <c:pt idx="12">
                  <c:v>52.303239465207007</c:v>
                </c:pt>
                <c:pt idx="13">
                  <c:v>67.125743687022648</c:v>
                </c:pt>
                <c:pt idx="14">
                  <c:v>86.16279326415669</c:v>
                </c:pt>
                <c:pt idx="15">
                  <c:v>110.61638527930711</c:v>
                </c:pt>
                <c:pt idx="16">
                  <c:v>128.4564666904669</c:v>
                </c:pt>
                <c:pt idx="17">
                  <c:v>146.23650694512952</c:v>
                </c:pt>
                <c:pt idx="18">
                  <c:v>163.96484388074876</c:v>
                </c:pt>
                <c:pt idx="19">
                  <c:v>181.64785940367835</c:v>
                </c:pt>
                <c:pt idx="20">
                  <c:v>199.29058865200216</c:v>
                </c:pt>
                <c:pt idx="21">
                  <c:v>217.79908728584903</c:v>
                </c:pt>
                <c:pt idx="22">
                  <c:v>236.27143351082449</c:v>
                </c:pt>
                <c:pt idx="23">
                  <c:v>254.71085148084526</c:v>
                </c:pt>
                <c:pt idx="24">
                  <c:v>273.12006014400737</c:v>
                </c:pt>
                <c:pt idx="25">
                  <c:v>291.50138185518728</c:v>
                </c:pt>
                <c:pt idx="26">
                  <c:v>309.40942222562171</c:v>
                </c:pt>
                <c:pt idx="27">
                  <c:v>327.29445525818045</c:v>
                </c:pt>
                <c:pt idx="28">
                  <c:v>345.15791476599003</c:v>
                </c:pt>
                <c:pt idx="29">
                  <c:v>363.00107405424819</c:v>
                </c:pt>
                <c:pt idx="30">
                  <c:v>380.82507105894382</c:v>
                </c:pt>
                <c:pt idx="31">
                  <c:v>319.24894183323727</c:v>
                </c:pt>
                <c:pt idx="32">
                  <c:v>355.86617076016751</c:v>
                </c:pt>
                <c:pt idx="33">
                  <c:v>392.40088205878868</c:v>
                </c:pt>
                <c:pt idx="34">
                  <c:v>428.86182865275651</c:v>
                </c:pt>
                <c:pt idx="35">
                  <c:v>465.25615418679718</c:v>
                </c:pt>
                <c:pt idx="36">
                  <c:v>480.32838151488409</c:v>
                </c:pt>
                <c:pt idx="37">
                  <c:v>495.39055961625439</c:v>
                </c:pt>
                <c:pt idx="38">
                  <c:v>510.44303696246698</c:v>
                </c:pt>
                <c:pt idx="39">
                  <c:v>525.48613980439291</c:v>
                </c:pt>
                <c:pt idx="40">
                  <c:v>540.52017419789081</c:v>
                </c:pt>
                <c:pt idx="41">
                  <c:v>492.29032706882936</c:v>
                </c:pt>
                <c:pt idx="42">
                  <c:v>521.50503673477249</c:v>
                </c:pt>
                <c:pt idx="43">
                  <c:v>550.68526032404031</c:v>
                </c:pt>
                <c:pt idx="44">
                  <c:v>579.83307958303942</c:v>
                </c:pt>
                <c:pt idx="45">
                  <c:v>608.95035015881183</c:v>
                </c:pt>
                <c:pt idx="46">
                  <c:v>621.29431474512069</c:v>
                </c:pt>
                <c:pt idx="47">
                  <c:v>633.63320038030554</c:v>
                </c:pt>
                <c:pt idx="48">
                  <c:v>645.96711986752075</c:v>
                </c:pt>
                <c:pt idx="49">
                  <c:v>658.29618135280418</c:v>
                </c:pt>
                <c:pt idx="50">
                  <c:v>670.62048860279322</c:v>
                </c:pt>
                <c:pt idx="51">
                  <c:v>614.68211558125336</c:v>
                </c:pt>
                <c:pt idx="52">
                  <c:v>642.44364323070306</c:v>
                </c:pt>
                <c:pt idx="53">
                  <c:v>670.18041550240105</c:v>
                </c:pt>
                <c:pt idx="54">
                  <c:v>697.89359955712951</c:v>
                </c:pt>
                <c:pt idx="55">
                  <c:v>725.58426243648864</c:v>
                </c:pt>
                <c:pt idx="56">
                  <c:v>735.2488953226997</c:v>
                </c:pt>
                <c:pt idx="57">
                  <c:v>744.91094132256455</c:v>
                </c:pt>
                <c:pt idx="58">
                  <c:v>754.57043870656582</c:v>
                </c:pt>
                <c:pt idx="59">
                  <c:v>764.22742468587705</c:v>
                </c:pt>
                <c:pt idx="60">
                  <c:v>773.88193545498154</c:v>
                </c:pt>
                <c:pt idx="61">
                  <c:v>715.91700328912805</c:v>
                </c:pt>
                <c:pt idx="62">
                  <c:v>741.39776692054545</c:v>
                </c:pt>
                <c:pt idx="63">
                  <c:v>766.86071705367328</c:v>
                </c:pt>
                <c:pt idx="64">
                  <c:v>792.30652754414314</c:v>
                </c:pt>
                <c:pt idx="65">
                  <c:v>817.73582549951016</c:v>
                </c:pt>
                <c:pt idx="66">
                  <c:v>826.50082740684218</c:v>
                </c:pt>
                <c:pt idx="67">
                  <c:v>835.26395866572045</c:v>
                </c:pt>
                <c:pt idx="68">
                  <c:v>844.02524165865918</c:v>
                </c:pt>
                <c:pt idx="69">
                  <c:v>852.7846982658516</c:v>
                </c:pt>
                <c:pt idx="70">
                  <c:v>861.5423498815959</c:v>
                </c:pt>
                <c:pt idx="71">
                  <c:v>805.90006495897467</c:v>
                </c:pt>
                <c:pt idx="72">
                  <c:v>829.12996217429918</c:v>
                </c:pt>
                <c:pt idx="73">
                  <c:v>852.34676847994808</c:v>
                </c:pt>
                <c:pt idx="74">
                  <c:v>875.5508901403673</c:v>
                </c:pt>
                <c:pt idx="75">
                  <c:v>898.74271016225191</c:v>
                </c:pt>
                <c:pt idx="76">
                  <c:v>905.74165197270111</c:v>
                </c:pt>
                <c:pt idx="77">
                  <c:v>912.73951534929301</c:v>
                </c:pt>
                <c:pt idx="78">
                  <c:v>919.73630972152353</c:v>
                </c:pt>
                <c:pt idx="79">
                  <c:v>926.73204436380081</c:v>
                </c:pt>
                <c:pt idx="80">
                  <c:v>933.72672839917243</c:v>
                </c:pt>
                <c:pt idx="81">
                  <c:v>878.61465775715317</c:v>
                </c:pt>
                <c:pt idx="82">
                  <c:v>900.05509433710301</c:v>
                </c:pt>
                <c:pt idx="83">
                  <c:v>921.48534237284832</c:v>
                </c:pt>
                <c:pt idx="84">
                  <c:v>942.90567183813164</c:v>
                </c:pt>
                <c:pt idx="85">
                  <c:v>964.31633945846306</c:v>
                </c:pt>
                <c:pt idx="86">
                  <c:v>969.9951302053629</c:v>
                </c:pt>
                <c:pt idx="87">
                  <c:v>975.67326257204365</c:v>
                </c:pt>
                <c:pt idx="88">
                  <c:v>981.35074092813545</c:v>
                </c:pt>
                <c:pt idx="89">
                  <c:v>987.02756958861335</c:v>
                </c:pt>
                <c:pt idx="90">
                  <c:v>992.70375281480131</c:v>
                </c:pt>
                <c:pt idx="91">
                  <c:v>932.63387790720469</c:v>
                </c:pt>
                <c:pt idx="92">
                  <c:v>944.65384022748287</c:v>
                </c:pt>
                <c:pt idx="93">
                  <c:v>956.67076597401149</c:v>
                </c:pt>
                <c:pt idx="94">
                  <c:v>968.6846986293516</c:v>
                </c:pt>
                <c:pt idx="95">
                  <c:v>980.69568051059775</c:v>
                </c:pt>
                <c:pt idx="96">
                  <c:v>992.70375281480131</c:v>
                </c:pt>
                <c:pt idx="97">
                  <c:v>1004.7089556620837</c:v>
                </c:pt>
                <c:pt idx="98">
                  <c:v>1016.7113281365864</c:v>
                </c:pt>
                <c:pt idx="99">
                  <c:v>1028.7109083253883</c:v>
                </c:pt>
                <c:pt idx="100">
                  <c:v>1040.7077333555139</c:v>
                </c:pt>
                <c:pt idx="101">
                  <c:v>982.005792695938</c:v>
                </c:pt>
                <c:pt idx="102">
                  <c:v>993.14035568080362</c:v>
                </c:pt>
                <c:pt idx="103">
                  <c:v>1004.2724526548276</c:v>
                </c:pt>
                <c:pt idx="104">
                  <c:v>1015.4021147793027</c:v>
                </c:pt>
                <c:pt idx="105">
                  <c:v>1026.5293724773885</c:v>
                </c:pt>
                <c:pt idx="106">
                  <c:v>1037.6542554595746</c:v>
                </c:pt>
                <c:pt idx="107">
                  <c:v>1048.7767927479931</c:v>
                </c:pt>
                <c:pt idx="108">
                  <c:v>1059.8970126996487</c:v>
                </c:pt>
                <c:pt idx="109">
                  <c:v>1071.014943028626</c:v>
                </c:pt>
                <c:pt idx="110">
                  <c:v>1082.1306108273245</c:v>
                </c:pt>
                <c:pt idx="111">
                  <c:v>1026.7475301669467</c:v>
                </c:pt>
                <c:pt idx="112">
                  <c:v>1036.7818007639119</c:v>
                </c:pt>
                <c:pt idx="113">
                  <c:v>1046.8141612374111</c:v>
                </c:pt>
                <c:pt idx="114">
                  <c:v>1056.8446324560077</c:v>
                </c:pt>
                <c:pt idx="115">
                  <c:v>1066.8732348602318</c:v>
                </c:pt>
                <c:pt idx="116">
                  <c:v>1076.8999884753823</c:v>
                </c:pt>
                <c:pt idx="117">
                  <c:v>1086.9249129238303</c:v>
                </c:pt>
                <c:pt idx="118">
                  <c:v>1096.9480274368439</c:v>
                </c:pt>
                <c:pt idx="119">
                  <c:v>1106.9693508659632</c:v>
                </c:pt>
                <c:pt idx="120">
                  <c:v>1116.9889016939335</c:v>
                </c:pt>
                <c:pt idx="121">
                  <c:v>1065.1292634571939</c:v>
                </c:pt>
                <c:pt idx="122">
                  <c:v>1074.2844907542453</c:v>
                </c:pt>
                <c:pt idx="123">
                  <c:v>1083.4381889384488</c:v>
                </c:pt>
                <c:pt idx="124">
                  <c:v>1092.5903727373113</c:v>
                </c:pt>
                <c:pt idx="125">
                  <c:v>1101.7410566117323</c:v>
                </c:pt>
                <c:pt idx="126">
                  <c:v>1110.8902547630521</c:v>
                </c:pt>
                <c:pt idx="127">
                  <c:v>1120.0379811398527</c:v>
                </c:pt>
                <c:pt idx="128">
                  <c:v>1129.1842494445277</c:v>
                </c:pt>
                <c:pt idx="129">
                  <c:v>1138.3290731396266</c:v>
                </c:pt>
                <c:pt idx="130">
                  <c:v>1147.4724654539891</c:v>
                </c:pt>
                <c:pt idx="131">
                  <c:v>1090.8472157119852</c:v>
                </c:pt>
                <c:pt idx="132">
                  <c:v>1090.8472157119852</c:v>
                </c:pt>
                <c:pt idx="133">
                  <c:v>1090.8472157119852</c:v>
                </c:pt>
                <c:pt idx="134">
                  <c:v>1090.8472157119852</c:v>
                </c:pt>
                <c:pt idx="135">
                  <c:v>1090.8472157119852</c:v>
                </c:pt>
                <c:pt idx="136">
                  <c:v>1090.8472157119852</c:v>
                </c:pt>
                <c:pt idx="137">
                  <c:v>1090.8472157119852</c:v>
                </c:pt>
                <c:pt idx="138">
                  <c:v>1090.8472157119852</c:v>
                </c:pt>
                <c:pt idx="139">
                  <c:v>1090.8472157119852</c:v>
                </c:pt>
                <c:pt idx="140">
                  <c:v>1090.8472157119852</c:v>
                </c:pt>
                <c:pt idx="141">
                  <c:v>1090.8472157119852</c:v>
                </c:pt>
                <c:pt idx="142">
                  <c:v>1090.8472157119852</c:v>
                </c:pt>
                <c:pt idx="143">
                  <c:v>1090.8472157119852</c:v>
                </c:pt>
                <c:pt idx="144">
                  <c:v>1090.8472157119852</c:v>
                </c:pt>
                <c:pt idx="145">
                  <c:v>1090.8472157119852</c:v>
                </c:pt>
                <c:pt idx="146">
                  <c:v>1090.8472157119852</c:v>
                </c:pt>
                <c:pt idx="147">
                  <c:v>1090.8472157119852</c:v>
                </c:pt>
                <c:pt idx="148">
                  <c:v>1090.8472157119852</c:v>
                </c:pt>
                <c:pt idx="149">
                  <c:v>1090.8472157119852</c:v>
                </c:pt>
                <c:pt idx="150">
                  <c:v>1090.8472157119852</c:v>
                </c:pt>
                <c:pt idx="151">
                  <c:v>1090.8472157119852</c:v>
                </c:pt>
                <c:pt idx="152">
                  <c:v>1090.8472157119852</c:v>
                </c:pt>
                <c:pt idx="153">
                  <c:v>1090.8472157119852</c:v>
                </c:pt>
                <c:pt idx="154">
                  <c:v>1090.8472157119852</c:v>
                </c:pt>
                <c:pt idx="155">
                  <c:v>1090.8472157119852</c:v>
                </c:pt>
                <c:pt idx="156">
                  <c:v>1090.8472157119852</c:v>
                </c:pt>
                <c:pt idx="157">
                  <c:v>1090.8472157119852</c:v>
                </c:pt>
                <c:pt idx="158">
                  <c:v>1090.8472157119852</c:v>
                </c:pt>
                <c:pt idx="159">
                  <c:v>1090.8472157119852</c:v>
                </c:pt>
                <c:pt idx="160">
                  <c:v>1090.8472157119852</c:v>
                </c:pt>
                <c:pt idx="161">
                  <c:v>1090.8472157119852</c:v>
                </c:pt>
                <c:pt idx="162">
                  <c:v>1090.8472157119852</c:v>
                </c:pt>
                <c:pt idx="163">
                  <c:v>1090.8472157119852</c:v>
                </c:pt>
                <c:pt idx="164">
                  <c:v>1090.8472157119852</c:v>
                </c:pt>
                <c:pt idx="165">
                  <c:v>1090.8472157119852</c:v>
                </c:pt>
                <c:pt idx="166">
                  <c:v>1090.8472157119852</c:v>
                </c:pt>
                <c:pt idx="167">
                  <c:v>1090.8472157119852</c:v>
                </c:pt>
                <c:pt idx="168">
                  <c:v>1090.8472157119852</c:v>
                </c:pt>
                <c:pt idx="169">
                  <c:v>1090.8472157119852</c:v>
                </c:pt>
                <c:pt idx="170">
                  <c:v>1090.8472157119852</c:v>
                </c:pt>
                <c:pt idx="171">
                  <c:v>1090.8472157119852</c:v>
                </c:pt>
                <c:pt idx="172">
                  <c:v>1090.8472157119852</c:v>
                </c:pt>
                <c:pt idx="173">
                  <c:v>1090.8472157119852</c:v>
                </c:pt>
                <c:pt idx="174">
                  <c:v>1090.8472157119852</c:v>
                </c:pt>
                <c:pt idx="175">
                  <c:v>1090.8472157119852</c:v>
                </c:pt>
                <c:pt idx="176">
                  <c:v>1090.8472157119852</c:v>
                </c:pt>
                <c:pt idx="177">
                  <c:v>1090.8472157119852</c:v>
                </c:pt>
                <c:pt idx="178">
                  <c:v>1090.8472157119852</c:v>
                </c:pt>
                <c:pt idx="179">
                  <c:v>1090.8472157119852</c:v>
                </c:pt>
                <c:pt idx="180">
                  <c:v>1090.8472157119852</c:v>
                </c:pt>
                <c:pt idx="181">
                  <c:v>1090.8472157119852</c:v>
                </c:pt>
                <c:pt idx="182">
                  <c:v>1090.8472157119852</c:v>
                </c:pt>
                <c:pt idx="183">
                  <c:v>1090.8472157119852</c:v>
                </c:pt>
                <c:pt idx="184">
                  <c:v>1090.8472157119852</c:v>
                </c:pt>
                <c:pt idx="185">
                  <c:v>1090.8472157119852</c:v>
                </c:pt>
                <c:pt idx="186">
                  <c:v>1090.8472157119852</c:v>
                </c:pt>
                <c:pt idx="187">
                  <c:v>1090.8472157119852</c:v>
                </c:pt>
                <c:pt idx="188">
                  <c:v>1090.8472157119852</c:v>
                </c:pt>
                <c:pt idx="189">
                  <c:v>1090.8472157119852</c:v>
                </c:pt>
                <c:pt idx="190">
                  <c:v>1090.8472157119852</c:v>
                </c:pt>
                <c:pt idx="191">
                  <c:v>1090.8472157119852</c:v>
                </c:pt>
                <c:pt idx="192">
                  <c:v>1090.8472157119852</c:v>
                </c:pt>
                <c:pt idx="193">
                  <c:v>1090.8472157119852</c:v>
                </c:pt>
                <c:pt idx="194">
                  <c:v>1090.8472157119852</c:v>
                </c:pt>
                <c:pt idx="195">
                  <c:v>1090.8472157119852</c:v>
                </c:pt>
                <c:pt idx="196">
                  <c:v>1090.8472157119852</c:v>
                </c:pt>
                <c:pt idx="197">
                  <c:v>1090.8472157119852</c:v>
                </c:pt>
                <c:pt idx="198">
                  <c:v>1090.8472157119852</c:v>
                </c:pt>
                <c:pt idx="199">
                  <c:v>1090.8472157119852</c:v>
                </c:pt>
                <c:pt idx="200">
                  <c:v>1090.8472157119852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0403728"/>
        <c:axId val="-2060401008"/>
      </c:scatterChart>
      <c:valAx>
        <c:axId val="-2060403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1008"/>
        <c:crosses val="autoZero"/>
        <c:crossBetween val="midCat"/>
      </c:valAx>
      <c:valAx>
        <c:axId val="-206040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3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2.8530458900838358</c:v>
                </c:pt>
                <c:pt idx="2">
                  <c:v>3.3039212099420436</c:v>
                </c:pt>
                <c:pt idx="3">
                  <c:v>3.8263060507819229</c:v>
                </c:pt>
                <c:pt idx="4">
                  <c:v>4.431580333413633</c:v>
                </c:pt>
                <c:pt idx="5">
                  <c:v>5.1329406942075515</c:v>
                </c:pt>
                <c:pt idx="6">
                  <c:v>5.945691362151531</c:v>
                </c:pt>
                <c:pt idx="7">
                  <c:v>6.887581735097335</c:v>
                </c:pt>
                <c:pt idx="8">
                  <c:v>7.9791981712630529</c:v>
                </c:pt>
                <c:pt idx="9">
                  <c:v>9.2444187244984306</c:v>
                </c:pt>
                <c:pt idx="10">
                  <c:v>10.71094096024798</c:v>
                </c:pt>
                <c:pt idx="11">
                  <c:v>12.410894625303198</c:v>
                </c:pt>
                <c:pt idx="12">
                  <c:v>14.381552845209095</c:v>
                </c:pt>
                <c:pt idx="13">
                  <c:v>16.666157731457787</c:v>
                </c:pt>
                <c:pt idx="14">
                  <c:v>19.314878846195473</c:v>
                </c:pt>
                <c:pt idx="15">
                  <c:v>22.385925953013096</c:v>
                </c:pt>
                <c:pt idx="16">
                  <c:v>25.946840945811488</c:v>
                </c:pt>
                <c:pt idx="17">
                  <c:v>30.07599787199096</c:v>
                </c:pt>
                <c:pt idx="18">
                  <c:v>34.864344642284394</c:v>
                </c:pt>
                <c:pt idx="19">
                  <c:v>40.417425453185118</c:v>
                </c:pt>
                <c:pt idx="20">
                  <c:v>46.85772926204951</c:v>
                </c:pt>
                <c:pt idx="21">
                  <c:v>53.349300230420219</c:v>
                </c:pt>
                <c:pt idx="22">
                  <c:v>59.820043288621314</c:v>
                </c:pt>
                <c:pt idx="23">
                  <c:v>66.272536635761469</c:v>
                </c:pt>
                <c:pt idx="24">
                  <c:v>72.708812992429259</c:v>
                </c:pt>
                <c:pt idx="25">
                  <c:v>79.130514295439681</c:v>
                </c:pt>
                <c:pt idx="26">
                  <c:v>86.819205269098731</c:v>
                </c:pt>
                <c:pt idx="27">
                  <c:v>94.490773445625265</c:v>
                </c:pt>
                <c:pt idx="28">
                  <c:v>102.14680795061109</c:v>
                </c:pt>
                <c:pt idx="29">
                  <c:v>109.78863954070187</c:v>
                </c:pt>
                <c:pt idx="30">
                  <c:v>117.41739809202979</c:v>
                </c:pt>
                <c:pt idx="31">
                  <c:v>125.03405430760159</c:v>
                </c:pt>
                <c:pt idx="32">
                  <c:v>132.63945069450935</c:v>
                </c:pt>
                <c:pt idx="33">
                  <c:v>140.23432504208844</c:v>
                </c:pt>
                <c:pt idx="34">
                  <c:v>147.81932853312981</c:v>
                </c:pt>
                <c:pt idx="35">
                  <c:v>155.39503993343254</c:v>
                </c:pt>
                <c:pt idx="36">
                  <c:v>127.99300373621668</c:v>
                </c:pt>
                <c:pt idx="37">
                  <c:v>136.4381605770578</c:v>
                </c:pt>
                <c:pt idx="38">
                  <c:v>144.87073948277092</c:v>
                </c:pt>
                <c:pt idx="39">
                  <c:v>153.29157689885758</c:v>
                </c:pt>
                <c:pt idx="40">
                  <c:v>161.70140970029556</c:v>
                </c:pt>
                <c:pt idx="41">
                  <c:v>169.68115418242931</c:v>
                </c:pt>
                <c:pt idx="42">
                  <c:v>177.65205947769599</c:v>
                </c:pt>
                <c:pt idx="43">
                  <c:v>185.6145786783502</c:v>
                </c:pt>
                <c:pt idx="44">
                  <c:v>193.56912276774736</c:v>
                </c:pt>
                <c:pt idx="45">
                  <c:v>201.51606614204607</c:v>
                </c:pt>
                <c:pt idx="46">
                  <c:v>171.77959852127819</c:v>
                </c:pt>
                <c:pt idx="47">
                  <c:v>179.7482548480051</c:v>
                </c:pt>
                <c:pt idx="48">
                  <c:v>187.70863707245698</c:v>
                </c:pt>
                <c:pt idx="49">
                  <c:v>195.66114605562757</c:v>
                </c:pt>
                <c:pt idx="50">
                  <c:v>203.60614736350433</c:v>
                </c:pt>
                <c:pt idx="51">
                  <c:v>211.96156334030783</c:v>
                </c:pt>
                <c:pt idx="52">
                  <c:v>220.30938898976532</c:v>
                </c:pt>
                <c:pt idx="53">
                  <c:v>228.64995281860425</c:v>
                </c:pt>
                <c:pt idx="54">
                  <c:v>236.98355738084277</c:v>
                </c:pt>
                <c:pt idx="55">
                  <c:v>245.31048218883168</c:v>
                </c:pt>
                <c:pt idx="56">
                  <c:v>213.63172478455704</c:v>
                </c:pt>
                <c:pt idx="57">
                  <c:v>221.56092883337803</c:v>
                </c:pt>
                <c:pt idx="58">
                  <c:v>229.48362165810047</c:v>
                </c:pt>
                <c:pt idx="59">
                  <c:v>237.40006003332357</c:v>
                </c:pt>
                <c:pt idx="60">
                  <c:v>245.31048218883168</c:v>
                </c:pt>
                <c:pt idx="61">
                  <c:v>253.21510971702909</c:v>
                </c:pt>
                <c:pt idx="62">
                  <c:v>261.11414922946938</c:v>
                </c:pt>
                <c:pt idx="63">
                  <c:v>269.0077938022381</c:v>
                </c:pt>
                <c:pt idx="64">
                  <c:v>276.89622424264059</c:v>
                </c:pt>
                <c:pt idx="65">
                  <c:v>284.77961020385533</c:v>
                </c:pt>
                <c:pt idx="66">
                  <c:v>250.71952474895636</c:v>
                </c:pt>
                <c:pt idx="67">
                  <c:v>258.20461441214769</c:v>
                </c:pt>
                <c:pt idx="68">
                  <c:v>265.68479967259987</c:v>
                </c:pt>
                <c:pt idx="69">
                  <c:v>273.16023825041395</c:v>
                </c:pt>
                <c:pt idx="70">
                  <c:v>280.63107851839709</c:v>
                </c:pt>
                <c:pt idx="71">
                  <c:v>287.68277599708523</c:v>
                </c:pt>
                <c:pt idx="72">
                  <c:v>294.73060802032893</c:v>
                </c:pt>
                <c:pt idx="73">
                  <c:v>301.7746801674329</c:v>
                </c:pt>
                <c:pt idx="74">
                  <c:v>308.81509268095914</c:v>
                </c:pt>
                <c:pt idx="75">
                  <c:v>315.85194085471181</c:v>
                </c:pt>
                <c:pt idx="76">
                  <c:v>281.46089418692515</c:v>
                </c:pt>
                <c:pt idx="77">
                  <c:v>288.5121312426167</c:v>
                </c:pt>
                <c:pt idx="78">
                  <c:v>295.55951555452697</c:v>
                </c:pt>
                <c:pt idx="79">
                  <c:v>302.60315205267631</c:v>
                </c:pt>
                <c:pt idx="80">
                  <c:v>309.64314037802711</c:v>
                </c:pt>
                <c:pt idx="81">
                  <c:v>315.85194085471193</c:v>
                </c:pt>
                <c:pt idx="82">
                  <c:v>322.05803699935797</c:v>
                </c:pt>
                <c:pt idx="83">
                  <c:v>328.26148833919052</c:v>
                </c:pt>
                <c:pt idx="84">
                  <c:v>334.46235196533502</c:v>
                </c:pt>
                <c:pt idx="85">
                  <c:v>340.66068267684119</c:v>
                </c:pt>
                <c:pt idx="86">
                  <c:v>310.05714577566249</c:v>
                </c:pt>
                <c:pt idx="87">
                  <c:v>316.67957526595023</c:v>
                </c:pt>
                <c:pt idx="88">
                  <c:v>323.29893699066059</c:v>
                </c:pt>
                <c:pt idx="89">
                  <c:v>329.91530269151457</c:v>
                </c:pt>
                <c:pt idx="90">
                  <c:v>336.5287409947552</c:v>
                </c:pt>
                <c:pt idx="91">
                  <c:v>342.31314985114523</c:v>
                </c:pt>
                <c:pt idx="92">
                  <c:v>348.09541005573732</c:v>
                </c:pt>
                <c:pt idx="93">
                  <c:v>353.87556237718678</c:v>
                </c:pt>
                <c:pt idx="94">
                  <c:v>359.65364614215167</c:v>
                </c:pt>
                <c:pt idx="95">
                  <c:v>365.42969930916388</c:v>
                </c:pt>
                <c:pt idx="96">
                  <c:v>334.46235196533502</c:v>
                </c:pt>
                <c:pt idx="97">
                  <c:v>340.66068267684119</c:v>
                </c:pt>
                <c:pt idx="98">
                  <c:v>346.8565331136702</c:v>
                </c:pt>
                <c:pt idx="99">
                  <c:v>353.04995387967392</c:v>
                </c:pt>
                <c:pt idx="100">
                  <c:v>359.24099365648948</c:v>
                </c:pt>
                <c:pt idx="101">
                  <c:v>365.01719063545926</c:v>
                </c:pt>
                <c:pt idx="102">
                  <c:v>370.79139109899671</c:v>
                </c:pt>
                <c:pt idx="103">
                  <c:v>376.56363055787483</c:v>
                </c:pt>
                <c:pt idx="104">
                  <c:v>382.33394334423559</c:v>
                </c:pt>
                <c:pt idx="105">
                  <c:v>388.10236266830731</c:v>
                </c:pt>
                <c:pt idx="106">
                  <c:v>357.17757535606319</c:v>
                </c:pt>
                <c:pt idx="107">
                  <c:v>363.3670539509107</c:v>
                </c:pt>
                <c:pt idx="108">
                  <c:v>369.55422870449638</c:v>
                </c:pt>
                <c:pt idx="109">
                  <c:v>375.73914366877972</c:v>
                </c:pt>
                <c:pt idx="110">
                  <c:v>381.92184132571992</c:v>
                </c:pt>
                <c:pt idx="111">
                  <c:v>388.10236266830731</c:v>
                </c:pt>
                <c:pt idx="112">
                  <c:v>394.28074727616132</c:v>
                </c:pt>
                <c:pt idx="113">
                  <c:v>400.45703338613862</c:v>
                </c:pt>
                <c:pt idx="114">
                  <c:v>406.63125795835577</c:v>
                </c:pt>
                <c:pt idx="115">
                  <c:v>412.80345673799087</c:v>
                </c:pt>
                <c:pt idx="116">
                  <c:v>418.97366431319239</c:v>
                </c:pt>
                <c:pt idx="117">
                  <c:v>425.14191416939951</c:v>
                </c:pt>
                <c:pt idx="118">
                  <c:v>431.30823874034081</c:v>
                </c:pt>
                <c:pt idx="119">
                  <c:v>437.47266945596539</c:v>
                </c:pt>
                <c:pt idx="120">
                  <c:v>443.63523678752927</c:v>
                </c:pt>
                <c:pt idx="121">
                  <c:v>1.6380047803526383E-12</c:v>
                </c:pt>
                <c:pt idx="122">
                  <c:v>1.6380047803526383E-12</c:v>
                </c:pt>
                <c:pt idx="123">
                  <c:v>1.6380047803526383E-12</c:v>
                </c:pt>
                <c:pt idx="124">
                  <c:v>1.6380047803526383E-12</c:v>
                </c:pt>
                <c:pt idx="125">
                  <c:v>1.6380047803526383E-12</c:v>
                </c:pt>
                <c:pt idx="126">
                  <c:v>1.6380047803526383E-12</c:v>
                </c:pt>
                <c:pt idx="127">
                  <c:v>1.6380047803526383E-12</c:v>
                </c:pt>
                <c:pt idx="128">
                  <c:v>1.6380047803526383E-12</c:v>
                </c:pt>
                <c:pt idx="129">
                  <c:v>1.6380047803526383E-12</c:v>
                </c:pt>
                <c:pt idx="130">
                  <c:v>1.6380047803526383E-12</c:v>
                </c:pt>
                <c:pt idx="131">
                  <c:v>1.6380047803526383E-12</c:v>
                </c:pt>
                <c:pt idx="132">
                  <c:v>1.6380047803526383E-12</c:v>
                </c:pt>
                <c:pt idx="133">
                  <c:v>1.6380047803526383E-12</c:v>
                </c:pt>
                <c:pt idx="134">
                  <c:v>1.6380047803526383E-12</c:v>
                </c:pt>
                <c:pt idx="135">
                  <c:v>1.6380047803526383E-12</c:v>
                </c:pt>
                <c:pt idx="136">
                  <c:v>1.6380047803526383E-12</c:v>
                </c:pt>
                <c:pt idx="137">
                  <c:v>1.6380047803526383E-12</c:v>
                </c:pt>
                <c:pt idx="138">
                  <c:v>1.6380047803526383E-12</c:v>
                </c:pt>
                <c:pt idx="139">
                  <c:v>1.6380047803526383E-12</c:v>
                </c:pt>
                <c:pt idx="140">
                  <c:v>1.6380047803526383E-12</c:v>
                </c:pt>
                <c:pt idx="141">
                  <c:v>1.6380047803526383E-12</c:v>
                </c:pt>
                <c:pt idx="142">
                  <c:v>1.6380047803526383E-12</c:v>
                </c:pt>
                <c:pt idx="143">
                  <c:v>1.6380047803526383E-12</c:v>
                </c:pt>
                <c:pt idx="144">
                  <c:v>1.6380047803526383E-12</c:v>
                </c:pt>
                <c:pt idx="145">
                  <c:v>1.6380047803526383E-12</c:v>
                </c:pt>
                <c:pt idx="146">
                  <c:v>1.6380047803526383E-12</c:v>
                </c:pt>
                <c:pt idx="147">
                  <c:v>1.6380047803526383E-12</c:v>
                </c:pt>
                <c:pt idx="148">
                  <c:v>1.6380047803526383E-12</c:v>
                </c:pt>
                <c:pt idx="149">
                  <c:v>1.6380047803526383E-12</c:v>
                </c:pt>
                <c:pt idx="150">
                  <c:v>1.6380047803526383E-12</c:v>
                </c:pt>
                <c:pt idx="151">
                  <c:v>1.6380047803526383E-12</c:v>
                </c:pt>
                <c:pt idx="152">
                  <c:v>1.6380047803526383E-12</c:v>
                </c:pt>
                <c:pt idx="153">
                  <c:v>1.6380047803526383E-12</c:v>
                </c:pt>
                <c:pt idx="154">
                  <c:v>1.6380047803526383E-12</c:v>
                </c:pt>
                <c:pt idx="155">
                  <c:v>1.6380047803526383E-12</c:v>
                </c:pt>
                <c:pt idx="156">
                  <c:v>1.6380047803526383E-12</c:v>
                </c:pt>
                <c:pt idx="157">
                  <c:v>1.6380047803526383E-12</c:v>
                </c:pt>
                <c:pt idx="158">
                  <c:v>1.6380047803526383E-12</c:v>
                </c:pt>
                <c:pt idx="159">
                  <c:v>1.6380047803526383E-12</c:v>
                </c:pt>
                <c:pt idx="160">
                  <c:v>1.6380047803526383E-12</c:v>
                </c:pt>
                <c:pt idx="161">
                  <c:v>1.6380047803526383E-12</c:v>
                </c:pt>
                <c:pt idx="162">
                  <c:v>1.6380047803526383E-12</c:v>
                </c:pt>
                <c:pt idx="163">
                  <c:v>1.6380047803526383E-12</c:v>
                </c:pt>
                <c:pt idx="164">
                  <c:v>1.6380047803526383E-12</c:v>
                </c:pt>
                <c:pt idx="165">
                  <c:v>1.6380047803526383E-12</c:v>
                </c:pt>
                <c:pt idx="166">
                  <c:v>1.6380047803526383E-12</c:v>
                </c:pt>
                <c:pt idx="167">
                  <c:v>1.6380047803526383E-12</c:v>
                </c:pt>
                <c:pt idx="168">
                  <c:v>1.6380047803526383E-12</c:v>
                </c:pt>
                <c:pt idx="169">
                  <c:v>1.6380047803526383E-12</c:v>
                </c:pt>
                <c:pt idx="170">
                  <c:v>1.6380047803526383E-12</c:v>
                </c:pt>
                <c:pt idx="171">
                  <c:v>1.6380047803526383E-12</c:v>
                </c:pt>
                <c:pt idx="172">
                  <c:v>1.6380047803526383E-12</c:v>
                </c:pt>
                <c:pt idx="173">
                  <c:v>1.6380047803526383E-12</c:v>
                </c:pt>
                <c:pt idx="174">
                  <c:v>1.6380047803526383E-12</c:v>
                </c:pt>
                <c:pt idx="175">
                  <c:v>1.6380047803526383E-12</c:v>
                </c:pt>
                <c:pt idx="176">
                  <c:v>1.6380047803526383E-12</c:v>
                </c:pt>
                <c:pt idx="177">
                  <c:v>1.6380047803526383E-12</c:v>
                </c:pt>
                <c:pt idx="178">
                  <c:v>1.6380047803526383E-12</c:v>
                </c:pt>
                <c:pt idx="179">
                  <c:v>1.6380047803526383E-12</c:v>
                </c:pt>
                <c:pt idx="180">
                  <c:v>1.6380047803526383E-12</c:v>
                </c:pt>
                <c:pt idx="181">
                  <c:v>1.6380047803526383E-12</c:v>
                </c:pt>
                <c:pt idx="182">
                  <c:v>1.6380047803526383E-12</c:v>
                </c:pt>
                <c:pt idx="183">
                  <c:v>1.6380047803526383E-12</c:v>
                </c:pt>
                <c:pt idx="184">
                  <c:v>1.6380047803526383E-12</c:v>
                </c:pt>
                <c:pt idx="185">
                  <c:v>1.6380047803526383E-12</c:v>
                </c:pt>
                <c:pt idx="186">
                  <c:v>1.6380047803526383E-12</c:v>
                </c:pt>
                <c:pt idx="187">
                  <c:v>1.6380047803526383E-12</c:v>
                </c:pt>
                <c:pt idx="188">
                  <c:v>1.6380047803526383E-12</c:v>
                </c:pt>
                <c:pt idx="189">
                  <c:v>1.6380047803526383E-12</c:v>
                </c:pt>
                <c:pt idx="190">
                  <c:v>1.6380047803526383E-12</c:v>
                </c:pt>
                <c:pt idx="191">
                  <c:v>1.6380047803526383E-12</c:v>
                </c:pt>
                <c:pt idx="192">
                  <c:v>1.6380047803526383E-12</c:v>
                </c:pt>
                <c:pt idx="193">
                  <c:v>1.6380047803526383E-12</c:v>
                </c:pt>
                <c:pt idx="194">
                  <c:v>1.6380047803526383E-12</c:v>
                </c:pt>
                <c:pt idx="195">
                  <c:v>1.6380047803526383E-12</c:v>
                </c:pt>
                <c:pt idx="196">
                  <c:v>1.6380047803526383E-12</c:v>
                </c:pt>
                <c:pt idx="197">
                  <c:v>1.6380047803526383E-12</c:v>
                </c:pt>
                <c:pt idx="198">
                  <c:v>1.6380047803526383E-12</c:v>
                </c:pt>
                <c:pt idx="199">
                  <c:v>1.6380047803526383E-12</c:v>
                </c:pt>
                <c:pt idx="200">
                  <c:v>1.6380047803526383E-12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0402640"/>
        <c:axId val="-2060413520"/>
      </c:scatterChart>
      <c:valAx>
        <c:axId val="-2060402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13520"/>
        <c:crosses val="autoZero"/>
        <c:crossBetween val="midCat"/>
      </c:valAx>
      <c:valAx>
        <c:axId val="-20604135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6040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10" zoomScaleNormal="100" workbookViewId="0">
      <selection activeCell="A19" sqref="A1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23.2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0.23</v>
      </c>
      <c r="D9" s="36">
        <f t="shared" ref="D9:D18" si="0">C9*$C$5</f>
        <v>5.3360000000000003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52</v>
      </c>
      <c r="C10" s="35">
        <v>0.03</v>
      </c>
      <c r="D10" s="36">
        <f t="shared" si="0"/>
        <v>0.69599999999999995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36</v>
      </c>
      <c r="C11" s="35">
        <v>0.28999999999999998</v>
      </c>
      <c r="D11" s="36">
        <f t="shared" si="0"/>
        <v>6.7279999999999998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164</v>
      </c>
      <c r="C12" s="35">
        <v>0.11</v>
      </c>
      <c r="D12" s="36">
        <f t="shared" si="0"/>
        <v>2.552</v>
      </c>
      <c r="E12" s="37">
        <v>109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35</v>
      </c>
      <c r="C13" s="35">
        <v>0.09</v>
      </c>
      <c r="D13" s="36">
        <f t="shared" si="0"/>
        <v>2.0880000000000001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39</v>
      </c>
      <c r="C14" s="35">
        <v>0.02</v>
      </c>
      <c r="D14" s="36">
        <f t="shared" si="0"/>
        <v>0.46399999999999997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16</v>
      </c>
      <c r="C15" s="35">
        <v>0.06</v>
      </c>
      <c r="D15" s="36">
        <f t="shared" si="0"/>
        <v>1.3919999999999999</v>
      </c>
      <c r="E15" s="37">
        <v>120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9</v>
      </c>
      <c r="C16" s="35">
        <v>0.08</v>
      </c>
      <c r="D16" s="36">
        <f t="shared" si="0"/>
        <v>1.8559999999999999</v>
      </c>
      <c r="E16" s="37">
        <v>130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1</v>
      </c>
      <c r="C17" s="35">
        <v>0.02</v>
      </c>
      <c r="D17" s="36">
        <f t="shared" si="0"/>
        <v>0.46399999999999997</v>
      </c>
      <c r="E17" s="37">
        <v>120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21</v>
      </c>
      <c r="C18" s="35">
        <v>0.03</v>
      </c>
      <c r="D18" s="36">
        <f t="shared" si="0"/>
        <v>0.69599999999999995</v>
      </c>
      <c r="E18" s="37">
        <v>80</v>
      </c>
      <c r="F18" s="38" t="str">
        <f t="array" ref="F18">IF(E18="","",IF(INDEX(A:A,MAX(IF(ISNUMBER($A$270:$A$289),ROW($A$270:$A$289),"")))&lt;&gt;E18,"Corrigez : révolution incorrecte","OK"))</f>
        <v>OK</v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0.96000000000000008</v>
      </c>
      <c r="D19" s="41">
        <f>SUM(D9:D18)</f>
        <v>22.271999999999995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</f>
        <v>116</v>
      </c>
      <c r="C39" s="63"/>
      <c r="D39" s="63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</f>
        <v>158</v>
      </c>
      <c r="C41" s="63"/>
      <c r="D41" s="63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f>176+21</f>
        <v>197</v>
      </c>
      <c r="C43" s="63"/>
      <c r="D43" s="6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3">
        <v>235</v>
      </c>
      <c r="C44" s="63">
        <v>4</v>
      </c>
      <c r="D44" s="6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3">
        <v>229</v>
      </c>
      <c r="C45" s="63"/>
      <c r="D45" s="6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3">
        <v>263</v>
      </c>
      <c r="C46" s="63">
        <v>5</v>
      </c>
      <c r="D46" s="6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3">
        <v>252</v>
      </c>
      <c r="C47" s="63"/>
      <c r="D47" s="6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63">
        <v>282</v>
      </c>
      <c r="C48" s="63">
        <v>6</v>
      </c>
      <c r="D48" s="6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63">
        <v>296</v>
      </c>
      <c r="C49" s="63">
        <v>7</v>
      </c>
      <c r="D49" s="6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63">
        <v>303</v>
      </c>
      <c r="C50" s="63">
        <v>8</v>
      </c>
      <c r="D50" s="6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63">
        <v>305</v>
      </c>
      <c r="C51" s="63">
        <v>9</v>
      </c>
      <c r="D51" s="6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63">
        <v>303</v>
      </c>
      <c r="C52" s="63">
        <v>10</v>
      </c>
      <c r="D52" s="6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63">
        <v>300</v>
      </c>
      <c r="C53" s="63">
        <v>11</v>
      </c>
      <c r="D53" s="6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63">
        <v>296</v>
      </c>
      <c r="C54" s="63">
        <v>12</v>
      </c>
      <c r="D54" s="6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63">
        <v>293</v>
      </c>
      <c r="C55" s="63">
        <v>13</v>
      </c>
      <c r="D55" s="6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Cormier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f>21+0</f>
        <v>21</v>
      </c>
      <c r="C62" s="63"/>
      <c r="D62" s="63"/>
      <c r="E62" s="54"/>
      <c r="F62" s="54"/>
      <c r="G62" s="54"/>
      <c r="H62" s="54"/>
      <c r="I62" s="56">
        <f>IFERROR(B62/A62,"")</f>
        <v>1.05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f>36+0+0</f>
        <v>36</v>
      </c>
      <c r="C63" s="63"/>
      <c r="D63" s="63"/>
      <c r="E63" s="54"/>
      <c r="F63" s="54"/>
      <c r="G63" s="54"/>
      <c r="H63" s="54"/>
      <c r="I63" s="52">
        <f t="shared" ref="I63:I78" si="2">IF(A63&lt;&gt;0,(B63-(B62-D62))/(A63-A62),"")</f>
        <v>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f>45+0+0+9</f>
        <v>54</v>
      </c>
      <c r="C64" s="63"/>
      <c r="D64" s="63"/>
      <c r="E64" s="54"/>
      <c r="F64" s="54"/>
      <c r="G64" s="54"/>
      <c r="H64" s="54"/>
      <c r="I64" s="52">
        <f t="shared" si="2"/>
        <v>3.6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f>55+9+8</f>
        <v>72</v>
      </c>
      <c r="C65" s="63">
        <v>1</v>
      </c>
      <c r="D65" s="63">
        <f>9+8</f>
        <v>17</v>
      </c>
      <c r="E65" s="54"/>
      <c r="F65" s="54"/>
      <c r="G65" s="54"/>
      <c r="H65" s="54"/>
      <c r="I65" s="52">
        <f t="shared" si="2"/>
        <v>3.6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f>66+9</f>
        <v>75</v>
      </c>
      <c r="C66" s="63"/>
      <c r="D66" s="63"/>
      <c r="E66" s="54"/>
      <c r="F66" s="54"/>
      <c r="G66" s="54"/>
      <c r="H66" s="54"/>
      <c r="I66" s="52">
        <f t="shared" si="2"/>
        <v>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f>76+9+9</f>
        <v>94</v>
      </c>
      <c r="C67" s="63">
        <v>2</v>
      </c>
      <c r="D67" s="63">
        <f>9+9</f>
        <v>18</v>
      </c>
      <c r="E67" s="54"/>
      <c r="F67" s="54"/>
      <c r="G67" s="54"/>
      <c r="H67" s="54"/>
      <c r="I67" s="52">
        <f t="shared" si="2"/>
        <v>3.8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86+9</f>
        <v>95</v>
      </c>
      <c r="C68" s="63"/>
      <c r="D68" s="63"/>
      <c r="E68" s="54"/>
      <c r="F68" s="54"/>
      <c r="G68" s="54"/>
      <c r="H68" s="54"/>
      <c r="I68" s="52">
        <f t="shared" si="2"/>
        <v>3.8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3">
        <f>96+9+10</f>
        <v>115</v>
      </c>
      <c r="C69" s="63">
        <v>3</v>
      </c>
      <c r="D69" s="63">
        <f>9+10</f>
        <v>19</v>
      </c>
      <c r="E69" s="54"/>
      <c r="F69" s="54"/>
      <c r="G69" s="54"/>
      <c r="H69" s="54"/>
      <c r="I69" s="52">
        <f t="shared" si="2"/>
        <v>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63">
        <f>105+10</f>
        <v>115</v>
      </c>
      <c r="C70" s="63"/>
      <c r="D70" s="63"/>
      <c r="E70" s="54"/>
      <c r="F70" s="54"/>
      <c r="G70" s="54"/>
      <c r="H70" s="54"/>
      <c r="I70" s="52">
        <f t="shared" si="2"/>
        <v>3.8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63">
        <f>114+10+10</f>
        <v>134</v>
      </c>
      <c r="C71" s="63">
        <v>4</v>
      </c>
      <c r="D71" s="63">
        <f>10+10</f>
        <v>20</v>
      </c>
      <c r="E71" s="54"/>
      <c r="F71" s="54"/>
      <c r="G71" s="54"/>
      <c r="H71" s="54"/>
      <c r="I71" s="52">
        <f t="shared" si="2"/>
        <v>3.8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63">
        <f>122+10</f>
        <v>132</v>
      </c>
      <c r="C72" s="63"/>
      <c r="D72" s="63"/>
      <c r="E72" s="54"/>
      <c r="F72" s="54"/>
      <c r="G72" s="54"/>
      <c r="H72" s="54"/>
      <c r="I72" s="52">
        <f t="shared" si="2"/>
        <v>3.6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63">
        <f>129+10+10</f>
        <v>149</v>
      </c>
      <c r="C73" s="63">
        <v>5</v>
      </c>
      <c r="D73" s="63">
        <f>10+10</f>
        <v>20</v>
      </c>
      <c r="E73" s="54"/>
      <c r="F73" s="54"/>
      <c r="G73" s="54"/>
      <c r="H73" s="54"/>
      <c r="I73" s="52">
        <f t="shared" si="2"/>
        <v>3.4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63">
        <f>137+9</f>
        <v>146</v>
      </c>
      <c r="C74" s="63"/>
      <c r="D74" s="63"/>
      <c r="E74" s="54"/>
      <c r="F74" s="54"/>
      <c r="G74" s="54"/>
      <c r="H74" s="54"/>
      <c r="I74" s="52">
        <f t="shared" si="2"/>
        <v>3.4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63">
        <f>143+9+9</f>
        <v>161</v>
      </c>
      <c r="C75" s="63">
        <v>6</v>
      </c>
      <c r="D75" s="63">
        <f>9+9</f>
        <v>18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63">
        <f>150+9</f>
        <v>159</v>
      </c>
      <c r="C76" s="63"/>
      <c r="D76" s="63"/>
      <c r="E76" s="54"/>
      <c r="F76" s="54"/>
      <c r="G76" s="54"/>
      <c r="H76" s="54"/>
      <c r="I76" s="52">
        <f t="shared" si="2"/>
        <v>3.2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63">
        <f>155+9+9</f>
        <v>173</v>
      </c>
      <c r="C77" s="63">
        <v>7</v>
      </c>
      <c r="D77" s="63">
        <f>9+9</f>
        <v>18</v>
      </c>
      <c r="E77" s="54"/>
      <c r="F77" s="54"/>
      <c r="G77" s="54"/>
      <c r="H77" s="54"/>
      <c r="I77" s="52">
        <f t="shared" si="2"/>
        <v>2.8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63">
        <f>161+9</f>
        <v>170</v>
      </c>
      <c r="C78" s="63"/>
      <c r="D78" s="63"/>
      <c r="E78" s="54"/>
      <c r="F78" s="54"/>
      <c r="G78" s="54"/>
      <c r="H78" s="54"/>
      <c r="I78" s="52">
        <f t="shared" si="2"/>
        <v>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63">
        <f>166+9+9</f>
        <v>184</v>
      </c>
      <c r="C79" s="63">
        <v>8</v>
      </c>
      <c r="D79" s="63">
        <f>9+9</f>
        <v>18</v>
      </c>
      <c r="E79" s="54"/>
      <c r="F79" s="54"/>
      <c r="G79" s="54"/>
      <c r="H79" s="54"/>
      <c r="I79" s="52">
        <f t="shared" ref="I79:I81" si="3">IF(A79&lt;&gt;0,(B79-(B78-D78))/(A79-A78),"")</f>
        <v>2.8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110</v>
      </c>
      <c r="B80" s="63">
        <f>171+10</f>
        <v>181</v>
      </c>
      <c r="C80" s="63"/>
      <c r="D80" s="63"/>
      <c r="E80" s="54"/>
      <c r="F80" s="54"/>
      <c r="G80" s="54"/>
      <c r="H80" s="54"/>
      <c r="I80" s="52">
        <f t="shared" si="3"/>
        <v>3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120</v>
      </c>
      <c r="B81" s="63">
        <f>181+10+10+10</f>
        <v>211</v>
      </c>
      <c r="C81" s="63">
        <v>9</v>
      </c>
      <c r="D81" s="63">
        <f>B81</f>
        <v>211</v>
      </c>
      <c r="E81" s="54"/>
      <c r="F81" s="54"/>
      <c r="G81" s="54"/>
      <c r="H81" s="54"/>
      <c r="I81" s="52">
        <f t="shared" si="3"/>
        <v>3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maritime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17</v>
      </c>
      <c r="B88" s="63">
        <f>164.23/1.3</f>
        <v>126.33076923076922</v>
      </c>
      <c r="C88" s="63">
        <v>1</v>
      </c>
      <c r="D88" s="63">
        <f>(164.23-109.52)/1.3</f>
        <v>42.084615384615375</v>
      </c>
      <c r="E88" s="54"/>
      <c r="F88" s="54">
        <v>0.5</v>
      </c>
      <c r="G88" s="54">
        <v>0.5</v>
      </c>
      <c r="H88" s="54"/>
      <c r="I88" s="56">
        <f>IFERROR(B88/A88,"")</f>
        <v>7.4312217194570129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23</v>
      </c>
      <c r="B89" s="63">
        <f>225.95/1.3</f>
        <v>173.80769230769229</v>
      </c>
      <c r="C89" s="63">
        <v>2</v>
      </c>
      <c r="D89" s="63">
        <f>(225.95-155.62)/1.3</f>
        <v>54.099999999999987</v>
      </c>
      <c r="E89" s="54"/>
      <c r="F89" s="54">
        <v>0.5</v>
      </c>
      <c r="G89" s="54">
        <v>0.5</v>
      </c>
      <c r="H89" s="54"/>
      <c r="I89" s="56">
        <f t="shared" ref="I89:I107" si="4">IF(A89&lt;&gt;0,(B89-(B88-D88))/(A89-A88),"")</f>
        <v>14.926923076923075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29</v>
      </c>
      <c r="B90" s="63">
        <f>273.19/1.3</f>
        <v>210.14615384615385</v>
      </c>
      <c r="C90" s="63">
        <v>3</v>
      </c>
      <c r="D90" s="63">
        <f>(273.19-211.23)/1.3</f>
        <v>47.661538461538463</v>
      </c>
      <c r="E90" s="54">
        <v>0.6</v>
      </c>
      <c r="F90" s="54">
        <v>0.2</v>
      </c>
      <c r="G90" s="54">
        <v>0.2</v>
      </c>
      <c r="H90" s="54"/>
      <c r="I90" s="56">
        <f t="shared" si="4"/>
        <v>15.073076923076925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36</v>
      </c>
      <c r="B91" s="63">
        <f>341.35/1.3</f>
        <v>262.57692307692309</v>
      </c>
      <c r="C91" s="63">
        <v>4</v>
      </c>
      <c r="D91" s="63">
        <f>(341.35-257.43)/1.3</f>
        <v>64.553846153846166</v>
      </c>
      <c r="E91" s="54"/>
      <c r="F91" s="54"/>
      <c r="G91" s="54"/>
      <c r="H91" s="54"/>
      <c r="I91" s="56">
        <f t="shared" si="4"/>
        <v>14.298901098901101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44</v>
      </c>
      <c r="B92" s="63">
        <f>394.1/1.3</f>
        <v>303.15384615384619</v>
      </c>
      <c r="C92" s="63">
        <v>5</v>
      </c>
      <c r="D92" s="63">
        <f>(394.1-310.28)/1.3</f>
        <v>64.476923076923114</v>
      </c>
      <c r="E92" s="54"/>
      <c r="F92" s="54"/>
      <c r="G92" s="54"/>
      <c r="H92" s="54"/>
      <c r="I92" s="56">
        <f t="shared" si="4"/>
        <v>13.141346153846158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52</v>
      </c>
      <c r="B93" s="63">
        <f>431.04/1.3</f>
        <v>331.56923076923078</v>
      </c>
      <c r="C93" s="63">
        <v>6</v>
      </c>
      <c r="D93" s="63">
        <f>(431.36-351.04)/1.3</f>
        <v>61.784615384615378</v>
      </c>
      <c r="E93" s="54"/>
      <c r="F93" s="54"/>
      <c r="G93" s="54"/>
      <c r="H93" s="54"/>
      <c r="I93" s="56">
        <f t="shared" si="4"/>
        <v>11.611538461538466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60</v>
      </c>
      <c r="B94" s="63">
        <f>459.55/1.3</f>
        <v>353.5</v>
      </c>
      <c r="C94" s="63">
        <v>7</v>
      </c>
      <c r="D94" s="63">
        <f>B94</f>
        <v>353.5</v>
      </c>
      <c r="E94" s="54"/>
      <c r="F94" s="54"/>
      <c r="G94" s="54"/>
      <c r="H94" s="54"/>
      <c r="I94" s="56">
        <f t="shared" si="4"/>
        <v>10.464423076923076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/>
      <c r="B95" s="290"/>
      <c r="C95" s="53"/>
      <c r="D95" s="53"/>
      <c r="E95" s="54"/>
      <c r="F95" s="54" t="s">
        <v>324</v>
      </c>
      <c r="G95" s="54" t="s">
        <v>324</v>
      </c>
      <c r="H95" s="54" t="s">
        <v>324</v>
      </c>
      <c r="I95" s="56" t="str">
        <f t="shared" si="4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/>
      <c r="B96" s="290"/>
      <c r="C96" s="53"/>
      <c r="D96" s="53"/>
      <c r="E96" s="54"/>
      <c r="F96" s="54" t="s">
        <v>324</v>
      </c>
      <c r="G96" s="54" t="s">
        <v>324</v>
      </c>
      <c r="H96" s="54" t="s">
        <v>324</v>
      </c>
      <c r="I96" s="56" t="str">
        <f t="shared" si="4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/>
      <c r="B97" s="290"/>
      <c r="C97" s="53"/>
      <c r="D97" s="53"/>
      <c r="E97" s="54"/>
      <c r="F97" s="54"/>
      <c r="G97" s="54"/>
      <c r="H97" s="54"/>
      <c r="I97" s="56" t="str">
        <f t="shared" si="4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/>
      <c r="B98" s="290"/>
      <c r="C98" s="53"/>
      <c r="D98" s="53"/>
      <c r="E98" s="54"/>
      <c r="F98" s="54"/>
      <c r="G98" s="54"/>
      <c r="H98" s="54"/>
      <c r="I98" s="56" t="str">
        <f t="shared" si="4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/>
      <c r="B99" s="290"/>
      <c r="C99" s="53"/>
      <c r="D99" s="53"/>
      <c r="E99" s="54"/>
      <c r="F99" s="54"/>
      <c r="G99" s="54"/>
      <c r="H99" s="54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/>
      <c r="B100" s="290"/>
      <c r="C100" s="53"/>
      <c r="D100" s="53"/>
      <c r="E100" s="54"/>
      <c r="F100" s="54"/>
      <c r="G100" s="54"/>
      <c r="H100" s="54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/>
      <c r="B101" s="290"/>
      <c r="C101" s="53"/>
      <c r="D101" s="53"/>
      <c r="E101" s="54"/>
      <c r="F101" s="54"/>
      <c r="G101" s="54"/>
      <c r="H101" s="54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290"/>
      <c r="C102" s="53"/>
      <c r="D102" s="53"/>
      <c r="E102" s="54"/>
      <c r="F102" s="54"/>
      <c r="G102" s="54"/>
      <c r="H102" s="54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290"/>
      <c r="C103" s="53"/>
      <c r="D103" s="53"/>
      <c r="E103" s="54"/>
      <c r="F103" s="54"/>
      <c r="G103" s="54"/>
      <c r="H103" s="54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290"/>
      <c r="C104" s="53"/>
      <c r="D104" s="53"/>
      <c r="E104" s="54"/>
      <c r="F104" s="54"/>
      <c r="G104" s="54"/>
      <c r="H104" s="54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290"/>
      <c r="C105" s="53"/>
      <c r="D105" s="53"/>
      <c r="E105" s="54"/>
      <c r="F105" s="54"/>
      <c r="G105" s="54"/>
      <c r="H105" s="54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290"/>
      <c r="C106" s="53"/>
      <c r="D106" s="53"/>
      <c r="E106" s="54"/>
      <c r="F106" s="54"/>
      <c r="G106" s="54"/>
      <c r="H106" s="54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4"/>
      <c r="F107" s="54"/>
      <c r="G107" s="54"/>
      <c r="H107" s="54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Cèdre de l'Atlas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30</v>
      </c>
      <c r="B114" s="63">
        <f>134.26/1.3</f>
        <v>103.27692307692307</v>
      </c>
      <c r="C114" s="53"/>
      <c r="D114" s="63"/>
      <c r="E114" s="54"/>
      <c r="F114" s="54"/>
      <c r="G114" s="54"/>
      <c r="H114" s="54"/>
      <c r="I114" s="56">
        <f>IFERROR(B114/A114,"")</f>
        <v>3.4425641025641025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51</v>
      </c>
      <c r="B115" s="63">
        <f>(418.39/1.3)</f>
        <v>321.8384615384615</v>
      </c>
      <c r="C115" s="53">
        <v>1</v>
      </c>
      <c r="D115" s="63">
        <f>(130.4/1.3)</f>
        <v>100.30769230769231</v>
      </c>
      <c r="E115" s="54"/>
      <c r="F115" s="54"/>
      <c r="G115" s="54"/>
      <c r="H115" s="54"/>
      <c r="I115" s="56">
        <f t="shared" ref="I115:I133" si="5">IF(A115&lt;&gt;0,(B115-(B114-D114))/(A115-A114),"")</f>
        <v>10.407692307692306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63</v>
      </c>
      <c r="B116" s="63">
        <f>455.9/1.3</f>
        <v>350.69230769230768</v>
      </c>
      <c r="C116" s="53">
        <v>2</v>
      </c>
      <c r="D116" s="63">
        <f>(140.51/1.3)</f>
        <v>108.08461538461538</v>
      </c>
      <c r="E116" s="54"/>
      <c r="F116" s="54"/>
      <c r="G116" s="54"/>
      <c r="H116" s="54"/>
      <c r="I116" s="56">
        <f t="shared" si="5"/>
        <v>10.763461538461542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75</v>
      </c>
      <c r="B117" s="63">
        <f>468.62/1.3</f>
        <v>360.47692307692307</v>
      </c>
      <c r="C117" s="53">
        <v>3</v>
      </c>
      <c r="D117" s="63">
        <f>(110.97/1.3)</f>
        <v>85.361538461538458</v>
      </c>
      <c r="E117" s="54"/>
      <c r="F117" s="54"/>
      <c r="G117" s="54"/>
      <c r="H117" s="54"/>
      <c r="I117" s="56">
        <f t="shared" si="5"/>
        <v>9.8224358974358967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87</v>
      </c>
      <c r="B118" s="63">
        <f>498.08/1.3</f>
        <v>383.13846153846151</v>
      </c>
      <c r="C118" s="53">
        <v>4</v>
      </c>
      <c r="D118" s="63">
        <f>(107.82/1.3)</f>
        <v>82.938461538461524</v>
      </c>
      <c r="E118" s="54"/>
      <c r="F118" s="54"/>
      <c r="G118" s="54"/>
      <c r="H118" s="54"/>
      <c r="I118" s="56">
        <f t="shared" si="5"/>
        <v>9.001923076923072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99</v>
      </c>
      <c r="B119" s="63">
        <f>517.23/1.3</f>
        <v>397.8692307692308</v>
      </c>
      <c r="C119" s="53">
        <v>5</v>
      </c>
      <c r="D119" s="63">
        <f>(257.82/1.3)</f>
        <v>198.32307692307691</v>
      </c>
      <c r="E119" s="54"/>
      <c r="F119" s="54"/>
      <c r="G119" s="54"/>
      <c r="H119" s="54"/>
      <c r="I119" s="56">
        <f t="shared" si="5"/>
        <v>8.1391025641025667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109</v>
      </c>
      <c r="B120" s="63">
        <f>332.92/1.3</f>
        <v>256.09230769230771</v>
      </c>
      <c r="C120" s="53">
        <v>6</v>
      </c>
      <c r="D120" s="63">
        <f>(332.92/1.3)</f>
        <v>256.09230769230771</v>
      </c>
      <c r="E120" s="54"/>
      <c r="F120" s="54"/>
      <c r="G120" s="54"/>
      <c r="H120" s="54"/>
      <c r="I120" s="56">
        <f t="shared" si="5"/>
        <v>5.6546153846153828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/>
      <c r="B121" s="290"/>
      <c r="C121" s="53"/>
      <c r="D121" s="53"/>
      <c r="E121" s="54"/>
      <c r="F121" s="54"/>
      <c r="G121" s="54"/>
      <c r="H121" s="54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/>
      <c r="B122" s="290"/>
      <c r="C122" s="53"/>
      <c r="D122" s="53"/>
      <c r="E122" s="54"/>
      <c r="F122" s="54"/>
      <c r="G122" s="54"/>
      <c r="H122" s="54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/>
      <c r="B123" s="290"/>
      <c r="C123" s="53"/>
      <c r="D123" s="53"/>
      <c r="E123" s="54"/>
      <c r="F123" s="54"/>
      <c r="G123" s="54"/>
      <c r="H123" s="54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/>
      <c r="B124" s="290"/>
      <c r="C124" s="53"/>
      <c r="D124" s="53"/>
      <c r="E124" s="54"/>
      <c r="F124" s="54"/>
      <c r="G124" s="54"/>
      <c r="H124" s="54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/>
      <c r="B125" s="290"/>
      <c r="C125" s="53"/>
      <c r="D125" s="53"/>
      <c r="E125" s="54"/>
      <c r="F125" s="54"/>
      <c r="G125" s="54"/>
      <c r="H125" s="54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/>
      <c r="B126" s="290"/>
      <c r="C126" s="53"/>
      <c r="D126" s="53"/>
      <c r="E126" s="54"/>
      <c r="F126" s="54"/>
      <c r="G126" s="54"/>
      <c r="H126" s="54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/>
      <c r="B127" s="290"/>
      <c r="C127" s="53"/>
      <c r="D127" s="53"/>
      <c r="E127" s="54"/>
      <c r="F127" s="54"/>
      <c r="G127" s="54"/>
      <c r="H127" s="54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290"/>
      <c r="C128" s="53"/>
      <c r="D128" s="53"/>
      <c r="E128" s="54"/>
      <c r="F128" s="54"/>
      <c r="G128" s="54"/>
      <c r="H128" s="54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290"/>
      <c r="C129" s="53"/>
      <c r="D129" s="53"/>
      <c r="E129" s="54"/>
      <c r="F129" s="54"/>
      <c r="G129" s="54"/>
      <c r="H129" s="54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290"/>
      <c r="C130" s="53"/>
      <c r="D130" s="53"/>
      <c r="E130" s="54"/>
      <c r="F130" s="54"/>
      <c r="G130" s="54"/>
      <c r="H130" s="54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290"/>
      <c r="C131" s="53"/>
      <c r="D131" s="53"/>
      <c r="E131" s="54"/>
      <c r="F131" s="54"/>
      <c r="G131" s="54"/>
      <c r="H131" s="54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290"/>
      <c r="C132" s="53"/>
      <c r="D132" s="53"/>
      <c r="E132" s="54"/>
      <c r="F132" s="54"/>
      <c r="G132" s="54"/>
      <c r="H132" s="54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4"/>
      <c r="F133" s="54"/>
      <c r="G133" s="54"/>
      <c r="H133" s="54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Pin laricio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22</v>
      </c>
      <c r="B140" s="63">
        <f>168.98/1.3</f>
        <v>129.98461538461538</v>
      </c>
      <c r="C140" s="53">
        <v>1</v>
      </c>
      <c r="D140" s="63">
        <f>68.57/1.3</f>
        <v>52.746153846153838</v>
      </c>
      <c r="E140" s="66"/>
      <c r="F140" s="66"/>
      <c r="G140" s="66">
        <v>0.5</v>
      </c>
      <c r="H140" s="66">
        <v>0.5</v>
      </c>
      <c r="I140" s="60">
        <f>IFERROR(B140/A140,"")</f>
        <v>5.9083916083916082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27</v>
      </c>
      <c r="B141" s="63">
        <f>182.93/1.3</f>
        <v>140.71538461538461</v>
      </c>
      <c r="C141" s="53">
        <v>2</v>
      </c>
      <c r="D141" s="63">
        <f>45.04/1.3</f>
        <v>34.646153846153844</v>
      </c>
      <c r="E141" s="66"/>
      <c r="F141" s="66"/>
      <c r="G141" s="66">
        <v>0.5</v>
      </c>
      <c r="H141" s="66">
        <v>0.5</v>
      </c>
      <c r="I141" s="60">
        <f t="shared" ref="I141:I159" si="6">IF(A141&lt;&gt;0,(B141-(B140-D140))/(A141-A140),"")</f>
        <v>12.695384615384615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33</v>
      </c>
      <c r="B142" s="63">
        <f>239.07/1.3</f>
        <v>183.89999999999998</v>
      </c>
      <c r="C142" s="53">
        <v>3</v>
      </c>
      <c r="D142" s="63">
        <f>55.91/1.3</f>
        <v>43.007692307692302</v>
      </c>
      <c r="E142" s="66"/>
      <c r="F142" s="66"/>
      <c r="G142" s="66"/>
      <c r="H142" s="66"/>
      <c r="I142" s="60">
        <f t="shared" si="6"/>
        <v>12.97179487179487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8">
        <v>41</v>
      </c>
      <c r="B143" s="63">
        <f>315.66/1.3</f>
        <v>242.81538461538463</v>
      </c>
      <c r="C143" s="58">
        <v>4</v>
      </c>
      <c r="D143" s="63">
        <f>76.03/1.3</f>
        <v>58.484615384615381</v>
      </c>
      <c r="E143" s="66"/>
      <c r="F143" s="66"/>
      <c r="G143" s="66"/>
      <c r="H143" s="66"/>
      <c r="I143" s="60">
        <f t="shared" si="6"/>
        <v>12.74038461538462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8">
        <v>50</v>
      </c>
      <c r="B144" s="63">
        <f>378.41/1.3</f>
        <v>291.0846153846154</v>
      </c>
      <c r="C144" s="58">
        <v>5</v>
      </c>
      <c r="D144" s="63">
        <f>71.88/1.3</f>
        <v>55.292307692307688</v>
      </c>
      <c r="E144" s="66"/>
      <c r="F144" s="66"/>
      <c r="G144" s="66"/>
      <c r="H144" s="66"/>
      <c r="I144" s="60">
        <f t="shared" si="6"/>
        <v>11.861538461538462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8">
        <v>60</v>
      </c>
      <c r="B145" s="63">
        <f>445.15/1.3</f>
        <v>342.42307692307691</v>
      </c>
      <c r="C145" s="58">
        <v>6</v>
      </c>
      <c r="D145" s="63">
        <f>70.54/1.3</f>
        <v>54.261538461538464</v>
      </c>
      <c r="E145" s="66"/>
      <c r="F145" s="66"/>
      <c r="G145" s="66"/>
      <c r="H145" s="66"/>
      <c r="I145" s="60">
        <f t="shared" si="6"/>
        <v>10.66307692307692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8">
        <v>70</v>
      </c>
      <c r="B146" s="63">
        <f>493.99/1.3</f>
        <v>379.99230769230769</v>
      </c>
      <c r="C146" s="58">
        <v>7</v>
      </c>
      <c r="D146" s="63">
        <f>68.47/1.3</f>
        <v>52.669230769230765</v>
      </c>
      <c r="E146" s="66"/>
      <c r="F146" s="66"/>
      <c r="G146" s="66"/>
      <c r="H146" s="66"/>
      <c r="I146" s="60">
        <f t="shared" si="6"/>
        <v>9.1830769230769249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8">
        <v>80</v>
      </c>
      <c r="B147" s="63">
        <f>523.78/1.3</f>
        <v>402.90769230769229</v>
      </c>
      <c r="C147" s="58">
        <v>8</v>
      </c>
      <c r="D147" s="63">
        <f>523.78/1.3</f>
        <v>402.90769230769229</v>
      </c>
      <c r="E147" s="66"/>
      <c r="F147" s="66"/>
      <c r="G147" s="66"/>
      <c r="H147" s="66"/>
      <c r="I147" s="60">
        <f>IF(A147&lt;&gt;0,(B147-(B146-D146))/(A147-A146),"")</f>
        <v>7.5584615384615343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8"/>
      <c r="B148" s="63"/>
      <c r="C148" s="58"/>
      <c r="D148" s="58"/>
      <c r="E148" s="66"/>
      <c r="F148" s="66"/>
      <c r="G148" s="66"/>
      <c r="H148" s="66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66"/>
      <c r="F149" s="66"/>
      <c r="G149" s="66"/>
      <c r="H149" s="66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66"/>
      <c r="F150" s="66"/>
      <c r="G150" s="66"/>
      <c r="H150" s="66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66"/>
      <c r="F151" s="66"/>
      <c r="G151" s="66"/>
      <c r="H151" s="66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66"/>
      <c r="F152" s="66"/>
      <c r="G152" s="66"/>
      <c r="H152" s="66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66"/>
      <c r="F153" s="66"/>
      <c r="G153" s="66"/>
      <c r="H153" s="66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/>
      <c r="B154" s="63"/>
      <c r="C154" s="53"/>
      <c r="D154" s="63"/>
      <c r="E154" s="66"/>
      <c r="F154" s="66"/>
      <c r="G154" s="66"/>
      <c r="H154" s="66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63"/>
      <c r="C155" s="53"/>
      <c r="D155" s="63"/>
      <c r="E155" s="66"/>
      <c r="F155" s="66"/>
      <c r="G155" s="66"/>
      <c r="H155" s="66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53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53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53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Pin pignon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10</v>
      </c>
      <c r="B166" s="290">
        <v>36.82</v>
      </c>
      <c r="C166" s="53">
        <v>1</v>
      </c>
      <c r="D166" s="53">
        <v>4.5999999999999996</v>
      </c>
      <c r="E166" s="54"/>
      <c r="F166" s="54"/>
      <c r="G166" s="54">
        <v>1</v>
      </c>
      <c r="H166" s="54"/>
      <c r="I166" s="52">
        <f>IFERROR(B166/A166,"")</f>
        <v>3.6819999999999999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290">
        <v>79.16</v>
      </c>
      <c r="C167" s="53">
        <v>2</v>
      </c>
      <c r="D167" s="53">
        <v>9.5</v>
      </c>
      <c r="E167" s="54"/>
      <c r="F167" s="54"/>
      <c r="G167" s="54">
        <v>0.5</v>
      </c>
      <c r="H167" s="54">
        <v>0.5</v>
      </c>
      <c r="I167" s="52">
        <f t="shared" ref="I167:I185" si="7">IF(A167&lt;&gt;0,(B167-(B166-D166))/(A167-A166),"")</f>
        <v>4.694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290">
        <v>117.39</v>
      </c>
      <c r="C168" s="53">
        <v>3</v>
      </c>
      <c r="D168" s="53">
        <v>13.2</v>
      </c>
      <c r="E168" s="54"/>
      <c r="F168" s="54">
        <v>0.2</v>
      </c>
      <c r="G168" s="54">
        <v>0.4</v>
      </c>
      <c r="H168" s="54">
        <v>0.4</v>
      </c>
      <c r="I168" s="52">
        <f t="shared" si="7"/>
        <v>4.7730000000000006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40</v>
      </c>
      <c r="B169" s="290">
        <v>150.4</v>
      </c>
      <c r="C169" s="53">
        <v>4</v>
      </c>
      <c r="D169" s="53">
        <v>16.8</v>
      </c>
      <c r="E169" s="54"/>
      <c r="F169" s="54"/>
      <c r="G169" s="54"/>
      <c r="H169" s="54"/>
      <c r="I169" s="52">
        <f t="shared" si="7"/>
        <v>4.6210000000000004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50</v>
      </c>
      <c r="B170" s="290">
        <v>178.53</v>
      </c>
      <c r="C170" s="53">
        <v>5</v>
      </c>
      <c r="D170" s="53">
        <v>18.600000000000001</v>
      </c>
      <c r="E170" s="54"/>
      <c r="F170" s="54"/>
      <c r="G170" s="54"/>
      <c r="H170" s="54"/>
      <c r="I170" s="52">
        <f t="shared" si="7"/>
        <v>4.4930000000000003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60</v>
      </c>
      <c r="B171" s="290">
        <v>202.47</v>
      </c>
      <c r="C171" s="53">
        <v>6</v>
      </c>
      <c r="D171" s="53">
        <v>19.8</v>
      </c>
      <c r="E171" s="54"/>
      <c r="F171" s="54"/>
      <c r="G171" s="54"/>
      <c r="H171" s="54"/>
      <c r="I171" s="52">
        <f t="shared" si="7"/>
        <v>4.2539999999999996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70</v>
      </c>
      <c r="B172" s="290">
        <v>222.87</v>
      </c>
      <c r="C172" s="53">
        <v>7</v>
      </c>
      <c r="D172" s="53">
        <v>20.399999999999999</v>
      </c>
      <c r="E172" s="54"/>
      <c r="F172" s="54"/>
      <c r="G172" s="54"/>
      <c r="H172" s="54"/>
      <c r="I172" s="52">
        <f t="shared" si="7"/>
        <v>4.0200000000000014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80</v>
      </c>
      <c r="B173" s="290">
        <v>240.35</v>
      </c>
      <c r="C173" s="53">
        <v>8</v>
      </c>
      <c r="D173" s="53">
        <v>22</v>
      </c>
      <c r="E173" s="54"/>
      <c r="F173" s="54"/>
      <c r="G173" s="54"/>
      <c r="H173" s="54"/>
      <c r="I173" s="52">
        <f t="shared" si="7"/>
        <v>3.7879999999999994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90</v>
      </c>
      <c r="B174" s="290">
        <v>255.38</v>
      </c>
      <c r="C174" s="53">
        <v>9</v>
      </c>
      <c r="D174" s="53">
        <v>22</v>
      </c>
      <c r="E174" s="54"/>
      <c r="F174" s="54"/>
      <c r="G174" s="54"/>
      <c r="H174" s="54"/>
      <c r="I174" s="52">
        <f t="shared" si="7"/>
        <v>3.7030000000000003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100</v>
      </c>
      <c r="B175" s="290">
        <v>268.38</v>
      </c>
      <c r="C175" s="53">
        <v>10</v>
      </c>
      <c r="D175" s="53">
        <v>21.9</v>
      </c>
      <c r="E175" s="54"/>
      <c r="F175" s="54"/>
      <c r="G175" s="54"/>
      <c r="H175" s="54"/>
      <c r="I175" s="52">
        <f t="shared" si="7"/>
        <v>3.5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110</v>
      </c>
      <c r="B176" s="290">
        <v>279.68</v>
      </c>
      <c r="C176" s="53">
        <v>11</v>
      </c>
      <c r="D176" s="53">
        <v>21.7</v>
      </c>
      <c r="E176" s="54"/>
      <c r="F176" s="54"/>
      <c r="G176" s="54"/>
      <c r="H176" s="54"/>
      <c r="I176" s="52">
        <f t="shared" si="7"/>
        <v>3.3200000000000016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120</v>
      </c>
      <c r="B177" s="290">
        <v>289.54000000000002</v>
      </c>
      <c r="C177" s="53">
        <v>12</v>
      </c>
      <c r="D177" s="53">
        <v>21.3</v>
      </c>
      <c r="E177" s="54"/>
      <c r="F177" s="54"/>
      <c r="G177" s="54"/>
      <c r="H177" s="54"/>
      <c r="I177" s="52">
        <f t="shared" si="7"/>
        <v>3.1560000000000001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130</v>
      </c>
      <c r="B178" s="290">
        <v>298.18</v>
      </c>
      <c r="C178" s="53">
        <v>13</v>
      </c>
      <c r="D178" s="53">
        <v>20.9</v>
      </c>
      <c r="E178" s="54"/>
      <c r="F178" s="54"/>
      <c r="G178" s="54"/>
      <c r="H178" s="54"/>
      <c r="I178" s="52">
        <f t="shared" si="7"/>
        <v>2.9939999999999998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140</v>
      </c>
      <c r="B179" s="290">
        <v>305.79000000000002</v>
      </c>
      <c r="C179" s="53">
        <v>14</v>
      </c>
      <c r="D179" s="53">
        <v>20.5</v>
      </c>
      <c r="E179" s="54"/>
      <c r="F179" s="54"/>
      <c r="G179" s="54"/>
      <c r="H179" s="54"/>
      <c r="I179" s="52">
        <f t="shared" si="7"/>
        <v>2.8509999999999991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150</v>
      </c>
      <c r="B180" s="290">
        <v>312.51</v>
      </c>
      <c r="C180" s="53">
        <v>15</v>
      </c>
      <c r="D180" s="53">
        <v>312.51</v>
      </c>
      <c r="E180" s="54"/>
      <c r="F180" s="54"/>
      <c r="G180" s="54"/>
      <c r="H180" s="54"/>
      <c r="I180" s="52">
        <f t="shared" si="7"/>
        <v>2.7219999999999969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81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81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81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81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81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Chêne vert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3">
        <f>21+0</f>
        <v>21</v>
      </c>
      <c r="C192" s="63"/>
      <c r="D192" s="63"/>
      <c r="E192" s="54"/>
      <c r="F192" s="54"/>
      <c r="G192" s="54"/>
      <c r="H192" s="54"/>
      <c r="I192" s="52">
        <f>IFERROR(B192/A192,"")</f>
        <v>1.05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3">
        <f>36+0+0</f>
        <v>36</v>
      </c>
      <c r="C193" s="63"/>
      <c r="D193" s="63"/>
      <c r="E193" s="54"/>
      <c r="F193" s="54"/>
      <c r="G193" s="54"/>
      <c r="H193" s="54"/>
      <c r="I193" s="52">
        <f t="shared" ref="I193:I211" si="8">IF(A193&lt;&gt;0,(B193-(B192-D192))/(A193-A192),"")</f>
        <v>3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3">
        <f>45+0+0+9</f>
        <v>54</v>
      </c>
      <c r="C194" s="63"/>
      <c r="D194" s="63"/>
      <c r="E194" s="54"/>
      <c r="F194" s="54"/>
      <c r="G194" s="54"/>
      <c r="H194" s="54"/>
      <c r="I194" s="52">
        <f t="shared" si="8"/>
        <v>3.6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3">
        <f>55+9+8</f>
        <v>72</v>
      </c>
      <c r="C195" s="63">
        <v>1</v>
      </c>
      <c r="D195" s="63">
        <f>9+8</f>
        <v>17</v>
      </c>
      <c r="E195" s="54"/>
      <c r="F195" s="54"/>
      <c r="G195" s="54"/>
      <c r="H195" s="54"/>
      <c r="I195" s="52">
        <f t="shared" si="8"/>
        <v>3.6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3">
        <f>66+9</f>
        <v>75</v>
      </c>
      <c r="C196" s="63"/>
      <c r="D196" s="63"/>
      <c r="E196" s="54"/>
      <c r="F196" s="54"/>
      <c r="G196" s="54"/>
      <c r="H196" s="54"/>
      <c r="I196" s="52">
        <f t="shared" si="8"/>
        <v>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3">
        <f>76+9+9</f>
        <v>94</v>
      </c>
      <c r="C197" s="63">
        <v>2</v>
      </c>
      <c r="D197" s="63">
        <f>9+9</f>
        <v>18</v>
      </c>
      <c r="E197" s="54"/>
      <c r="F197" s="54"/>
      <c r="G197" s="54"/>
      <c r="H197" s="54"/>
      <c r="I197" s="52">
        <f t="shared" si="8"/>
        <v>3.8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3">
        <f>86+9</f>
        <v>95</v>
      </c>
      <c r="C198" s="63"/>
      <c r="D198" s="63"/>
      <c r="E198" s="54"/>
      <c r="F198" s="54"/>
      <c r="G198" s="54"/>
      <c r="H198" s="54"/>
      <c r="I198" s="52">
        <f t="shared" si="8"/>
        <v>3.8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63">
        <f>96+9+10</f>
        <v>115</v>
      </c>
      <c r="C199" s="63">
        <v>3</v>
      </c>
      <c r="D199" s="63">
        <f>9+10</f>
        <v>19</v>
      </c>
      <c r="E199" s="54"/>
      <c r="F199" s="54"/>
      <c r="G199" s="54"/>
      <c r="H199" s="54"/>
      <c r="I199" s="52">
        <f t="shared" si="8"/>
        <v>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63">
        <f>105+10</f>
        <v>115</v>
      </c>
      <c r="C200" s="63"/>
      <c r="D200" s="63"/>
      <c r="E200" s="54"/>
      <c r="F200" s="54"/>
      <c r="G200" s="54"/>
      <c r="H200" s="54"/>
      <c r="I200" s="52">
        <f t="shared" si="8"/>
        <v>3.8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63">
        <f>114+10+10</f>
        <v>134</v>
      </c>
      <c r="C201" s="63">
        <v>4</v>
      </c>
      <c r="D201" s="63">
        <f>10+10</f>
        <v>20</v>
      </c>
      <c r="E201" s="54"/>
      <c r="F201" s="54"/>
      <c r="G201" s="54"/>
      <c r="H201" s="54"/>
      <c r="I201" s="52">
        <f t="shared" si="8"/>
        <v>3.8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63">
        <f>122+10</f>
        <v>132</v>
      </c>
      <c r="C202" s="63"/>
      <c r="D202" s="63"/>
      <c r="E202" s="54"/>
      <c r="F202" s="54"/>
      <c r="G202" s="54"/>
      <c r="H202" s="54"/>
      <c r="I202" s="52">
        <f t="shared" si="8"/>
        <v>3.6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63">
        <f>129+10+10</f>
        <v>149</v>
      </c>
      <c r="C203" s="63">
        <v>5</v>
      </c>
      <c r="D203" s="63">
        <f>10+10</f>
        <v>20</v>
      </c>
      <c r="E203" s="54"/>
      <c r="F203" s="54"/>
      <c r="G203" s="54"/>
      <c r="H203" s="54"/>
      <c r="I203" s="52">
        <f t="shared" si="8"/>
        <v>3.4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63">
        <f>137+9</f>
        <v>146</v>
      </c>
      <c r="C204" s="63"/>
      <c r="D204" s="63"/>
      <c r="E204" s="54"/>
      <c r="F204" s="54"/>
      <c r="G204" s="54"/>
      <c r="H204" s="54"/>
      <c r="I204" s="52">
        <f t="shared" si="8"/>
        <v>3.4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85</v>
      </c>
      <c r="B205" s="63">
        <f>143+9+9</f>
        <v>161</v>
      </c>
      <c r="C205" s="63">
        <v>6</v>
      </c>
      <c r="D205" s="63">
        <f>9+9</f>
        <v>18</v>
      </c>
      <c r="E205" s="54"/>
      <c r="F205" s="54"/>
      <c r="G205" s="54"/>
      <c r="H205" s="54"/>
      <c r="I205" s="52">
        <f t="shared" si="8"/>
        <v>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90</v>
      </c>
      <c r="B206" s="63">
        <f>150+9</f>
        <v>159</v>
      </c>
      <c r="C206" s="63"/>
      <c r="D206" s="63"/>
      <c r="E206" s="54"/>
      <c r="F206" s="54"/>
      <c r="G206" s="54"/>
      <c r="H206" s="54"/>
      <c r="I206" s="52">
        <f t="shared" si="8"/>
        <v>3.2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95</v>
      </c>
      <c r="B207" s="63">
        <f>155+9+9</f>
        <v>173</v>
      </c>
      <c r="C207" s="63">
        <v>7</v>
      </c>
      <c r="D207" s="63">
        <f>9+9</f>
        <v>18</v>
      </c>
      <c r="E207" s="54"/>
      <c r="F207" s="54"/>
      <c r="G207" s="54"/>
      <c r="H207" s="54"/>
      <c r="I207" s="52">
        <f t="shared" si="8"/>
        <v>2.8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100</v>
      </c>
      <c r="B208" s="63">
        <f>161+9</f>
        <v>170</v>
      </c>
      <c r="C208" s="63"/>
      <c r="D208" s="63"/>
      <c r="E208" s="54"/>
      <c r="F208" s="54"/>
      <c r="G208" s="54"/>
      <c r="H208" s="54"/>
      <c r="I208" s="52">
        <f t="shared" si="8"/>
        <v>3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105</v>
      </c>
      <c r="B209" s="63">
        <f>166+9+9</f>
        <v>184</v>
      </c>
      <c r="C209" s="63">
        <v>8</v>
      </c>
      <c r="D209" s="63">
        <f>9+9</f>
        <v>18</v>
      </c>
      <c r="E209" s="54"/>
      <c r="F209" s="54"/>
      <c r="G209" s="54"/>
      <c r="H209" s="54"/>
      <c r="I209" s="52">
        <f t="shared" si="8"/>
        <v>2.8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110</v>
      </c>
      <c r="B210" s="63">
        <f>171+10</f>
        <v>181</v>
      </c>
      <c r="C210" s="63"/>
      <c r="D210" s="63"/>
      <c r="E210" s="54"/>
      <c r="F210" s="54"/>
      <c r="G210" s="54"/>
      <c r="H210" s="54"/>
      <c r="I210" s="52">
        <f t="shared" si="8"/>
        <v>3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120</v>
      </c>
      <c r="B211" s="63">
        <f>181+10+10+10</f>
        <v>211</v>
      </c>
      <c r="C211" s="63">
        <v>9</v>
      </c>
      <c r="D211" s="63">
        <f>B211</f>
        <v>211</v>
      </c>
      <c r="E211" s="54"/>
      <c r="F211" s="54"/>
      <c r="G211" s="54"/>
      <c r="H211" s="54"/>
      <c r="I211" s="52">
        <f t="shared" si="8"/>
        <v>3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Chêne chevelu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63">
        <v>15</v>
      </c>
      <c r="B218" s="63">
        <f>47</f>
        <v>47</v>
      </c>
      <c r="C218" s="63"/>
      <c r="D218" s="63"/>
      <c r="E218" s="66"/>
      <c r="F218" s="66"/>
      <c r="G218" s="66"/>
      <c r="H218" s="66"/>
      <c r="I218" s="56">
        <f>IFERROR(B218/A218,"")</f>
        <v>3.1333333333333333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63">
        <v>20</v>
      </c>
      <c r="B219" s="63">
        <v>86</v>
      </c>
      <c r="C219" s="63"/>
      <c r="D219" s="63"/>
      <c r="E219" s="66"/>
      <c r="F219" s="66"/>
      <c r="G219" s="66"/>
      <c r="H219" s="66"/>
      <c r="I219" s="56">
        <f t="shared" ref="I219:I237" si="9">IF(A219&lt;&gt;0,(B219-(B218-D218))/(A219-A218),"")</f>
        <v>7.8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63">
        <v>25</v>
      </c>
      <c r="B220" s="63">
        <v>127</v>
      </c>
      <c r="C220" s="63"/>
      <c r="D220" s="63"/>
      <c r="E220" s="66"/>
      <c r="F220" s="66"/>
      <c r="G220" s="66"/>
      <c r="H220" s="66"/>
      <c r="I220" s="56">
        <f t="shared" si="9"/>
        <v>8.1999999999999993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63">
        <v>30</v>
      </c>
      <c r="B221" s="63">
        <v>167</v>
      </c>
      <c r="C221" s="63">
        <v>1</v>
      </c>
      <c r="D221" s="63">
        <f>6+10+13+15</f>
        <v>44</v>
      </c>
      <c r="E221" s="66"/>
      <c r="F221" s="66"/>
      <c r="G221" s="66">
        <v>0.5</v>
      </c>
      <c r="H221" s="66">
        <v>0.5</v>
      </c>
      <c r="I221" s="56">
        <f t="shared" si="9"/>
        <v>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63">
        <v>35</v>
      </c>
      <c r="B222" s="63">
        <v>205</v>
      </c>
      <c r="C222" s="63"/>
      <c r="D222" s="63"/>
      <c r="E222" s="66"/>
      <c r="F222" s="66"/>
      <c r="G222" s="66"/>
      <c r="H222" s="66"/>
      <c r="I222" s="56">
        <f t="shared" si="9"/>
        <v>16.399999999999999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63">
        <v>40</v>
      </c>
      <c r="B223" s="63">
        <v>239</v>
      </c>
      <c r="C223" s="63">
        <v>2</v>
      </c>
      <c r="D223" s="63">
        <f>18+17</f>
        <v>35</v>
      </c>
      <c r="E223" s="66"/>
      <c r="F223" s="66"/>
      <c r="G223" s="66"/>
      <c r="H223" s="66"/>
      <c r="I223" s="56">
        <f t="shared" si="9"/>
        <v>6.8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63">
        <v>45</v>
      </c>
      <c r="B224" s="63">
        <v>270</v>
      </c>
      <c r="C224" s="63"/>
      <c r="D224" s="63"/>
      <c r="E224" s="66"/>
      <c r="F224" s="66"/>
      <c r="G224" s="66"/>
      <c r="H224" s="66"/>
      <c r="I224" s="56">
        <f t="shared" si="9"/>
        <v>13.2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63">
        <v>50</v>
      </c>
      <c r="B225" s="63">
        <v>298</v>
      </c>
      <c r="C225" s="63">
        <v>3</v>
      </c>
      <c r="D225" s="63">
        <f>19+19</f>
        <v>38</v>
      </c>
      <c r="E225" s="66"/>
      <c r="F225" s="66"/>
      <c r="G225" s="66"/>
      <c r="H225" s="66"/>
      <c r="I225" s="56">
        <f t="shared" si="9"/>
        <v>5.6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63">
        <v>55</v>
      </c>
      <c r="B226" s="63">
        <v>323</v>
      </c>
      <c r="C226" s="63"/>
      <c r="D226" s="63"/>
      <c r="E226" s="66"/>
      <c r="F226" s="66"/>
      <c r="G226" s="66"/>
      <c r="H226" s="66"/>
      <c r="I226" s="56">
        <f t="shared" si="9"/>
        <v>12.6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63">
        <v>60</v>
      </c>
      <c r="B227" s="63">
        <v>345</v>
      </c>
      <c r="C227" s="63">
        <v>4</v>
      </c>
      <c r="D227" s="63">
        <f>19+19</f>
        <v>38</v>
      </c>
      <c r="E227" s="66"/>
      <c r="F227" s="66"/>
      <c r="G227" s="66"/>
      <c r="H227" s="66"/>
      <c r="I227" s="56">
        <f t="shared" si="9"/>
        <v>4.4000000000000004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63">
        <v>65</v>
      </c>
      <c r="B228" s="63">
        <v>365</v>
      </c>
      <c r="C228" s="63"/>
      <c r="D228" s="63"/>
      <c r="E228" s="66"/>
      <c r="F228" s="66"/>
      <c r="G228" s="66"/>
      <c r="H228" s="66"/>
      <c r="I228" s="56">
        <f t="shared" si="9"/>
        <v>11.6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63">
        <v>70</v>
      </c>
      <c r="B229" s="63">
        <v>385</v>
      </c>
      <c r="C229" s="63">
        <v>5</v>
      </c>
      <c r="D229" s="63">
        <f>18+18</f>
        <v>36</v>
      </c>
      <c r="E229" s="66"/>
      <c r="F229" s="66"/>
      <c r="G229" s="66"/>
      <c r="H229" s="66"/>
      <c r="I229" s="56">
        <f t="shared" si="9"/>
        <v>4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63">
        <v>75</v>
      </c>
      <c r="B230" s="63">
        <v>402</v>
      </c>
      <c r="C230" s="63"/>
      <c r="D230" s="63"/>
      <c r="E230" s="67"/>
      <c r="F230" s="67"/>
      <c r="G230" s="67"/>
      <c r="H230" s="67"/>
      <c r="I230" s="56">
        <f t="shared" si="9"/>
        <v>10.6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63">
        <v>80</v>
      </c>
      <c r="B231" s="63">
        <v>418</v>
      </c>
      <c r="C231" s="63">
        <v>6</v>
      </c>
      <c r="D231" s="63">
        <f>17+18</f>
        <v>35</v>
      </c>
      <c r="E231" s="57"/>
      <c r="F231" s="57"/>
      <c r="G231" s="57"/>
      <c r="H231" s="57"/>
      <c r="I231" s="56">
        <f t="shared" si="9"/>
        <v>3.2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63">
        <v>85</v>
      </c>
      <c r="B232" s="63">
        <v>432</v>
      </c>
      <c r="C232" s="63"/>
      <c r="D232" s="63"/>
      <c r="E232" s="57"/>
      <c r="F232" s="57"/>
      <c r="G232" s="57"/>
      <c r="H232" s="57"/>
      <c r="I232" s="56">
        <f t="shared" si="9"/>
        <v>9.8000000000000007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63">
        <v>90</v>
      </c>
      <c r="B233" s="63">
        <v>445</v>
      </c>
      <c r="C233" s="63">
        <v>7</v>
      </c>
      <c r="D233" s="63">
        <f>16+17</f>
        <v>33</v>
      </c>
      <c r="E233" s="57"/>
      <c r="F233" s="57"/>
      <c r="G233" s="57"/>
      <c r="H233" s="57"/>
      <c r="I233" s="56">
        <f t="shared" si="9"/>
        <v>2.6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63">
        <v>100</v>
      </c>
      <c r="B234" s="63">
        <v>467</v>
      </c>
      <c r="C234" s="63">
        <v>8</v>
      </c>
      <c r="D234" s="63">
        <f>16+16</f>
        <v>32</v>
      </c>
      <c r="E234" s="57"/>
      <c r="F234" s="57"/>
      <c r="G234" s="57"/>
      <c r="H234" s="57"/>
      <c r="I234" s="56">
        <f t="shared" si="9"/>
        <v>5.5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63">
        <v>110</v>
      </c>
      <c r="B235" s="63">
        <v>486</v>
      </c>
      <c r="C235" s="63">
        <v>9</v>
      </c>
      <c r="D235" s="63">
        <f>15+15</f>
        <v>30</v>
      </c>
      <c r="E235" s="57"/>
      <c r="F235" s="57"/>
      <c r="G235" s="57"/>
      <c r="H235" s="57"/>
      <c r="I235" s="56">
        <f t="shared" si="9"/>
        <v>5.0999999999999996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63">
        <v>120</v>
      </c>
      <c r="B236" s="63">
        <v>502</v>
      </c>
      <c r="C236" s="63">
        <v>10</v>
      </c>
      <c r="D236" s="63">
        <f>14+14</f>
        <v>28</v>
      </c>
      <c r="E236" s="57"/>
      <c r="F236" s="57"/>
      <c r="G236" s="57"/>
      <c r="H236" s="57"/>
      <c r="I236" s="56">
        <f t="shared" si="9"/>
        <v>4.5999999999999996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63">
        <v>130</v>
      </c>
      <c r="B237" s="63">
        <v>516</v>
      </c>
      <c r="C237" s="63">
        <v>11</v>
      </c>
      <c r="D237" s="63">
        <f>13+13</f>
        <v>26</v>
      </c>
      <c r="E237" s="57"/>
      <c r="F237" s="57"/>
      <c r="G237" s="57"/>
      <c r="H237" s="57"/>
      <c r="I237" s="56">
        <f t="shared" si="9"/>
        <v>4.2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Alisier torminal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20</v>
      </c>
      <c r="B244" s="63">
        <f>21+0</f>
        <v>21</v>
      </c>
      <c r="C244" s="63"/>
      <c r="D244" s="63"/>
      <c r="E244" s="54"/>
      <c r="F244" s="54"/>
      <c r="G244" s="54"/>
      <c r="H244" s="54"/>
      <c r="I244" s="56">
        <f>IFERROR(B244/A244,"")</f>
        <v>1.05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25</v>
      </c>
      <c r="B245" s="63">
        <f>36+0+0</f>
        <v>36</v>
      </c>
      <c r="C245" s="63"/>
      <c r="D245" s="63"/>
      <c r="E245" s="54"/>
      <c r="F245" s="54"/>
      <c r="G245" s="54"/>
      <c r="H245" s="54"/>
      <c r="I245" s="56">
        <f>IF(A245&lt;&gt;0,(B245-(B244-D244))/(A245-A244),"")</f>
        <v>3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30</v>
      </c>
      <c r="B246" s="63">
        <f>45+0+0+9</f>
        <v>54</v>
      </c>
      <c r="C246" s="63"/>
      <c r="D246" s="63"/>
      <c r="E246" s="54"/>
      <c r="F246" s="54"/>
      <c r="G246" s="54"/>
      <c r="H246" s="54"/>
      <c r="I246" s="56">
        <f>IF(A246&lt;&gt;0,(B246-(B245-D245))/(A246-A245),"")</f>
        <v>3.6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35</v>
      </c>
      <c r="B247" s="63">
        <f>55+9+8</f>
        <v>72</v>
      </c>
      <c r="C247" s="63">
        <v>1</v>
      </c>
      <c r="D247" s="63">
        <f>9+8</f>
        <v>17</v>
      </c>
      <c r="E247" s="54"/>
      <c r="F247" s="54"/>
      <c r="G247" s="54"/>
      <c r="H247" s="54"/>
      <c r="I247" s="56">
        <f t="shared" ref="I247:I263" si="10">IF(A247&lt;&gt;0,(B247-(B246-D246))/(A247-A246),"")</f>
        <v>3.6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40</v>
      </c>
      <c r="B248" s="63">
        <f>66+9</f>
        <v>75</v>
      </c>
      <c r="C248" s="63"/>
      <c r="D248" s="63"/>
      <c r="E248" s="54"/>
      <c r="F248" s="54"/>
      <c r="G248" s="54"/>
      <c r="H248" s="54"/>
      <c r="I248" s="56">
        <f t="shared" si="10"/>
        <v>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45</v>
      </c>
      <c r="B249" s="63">
        <f>76+9+9</f>
        <v>94</v>
      </c>
      <c r="C249" s="63">
        <v>2</v>
      </c>
      <c r="D249" s="63">
        <f>9+9</f>
        <v>18</v>
      </c>
      <c r="E249" s="54"/>
      <c r="F249" s="54"/>
      <c r="G249" s="54"/>
      <c r="H249" s="54"/>
      <c r="I249" s="56">
        <f t="shared" si="10"/>
        <v>3.8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50</v>
      </c>
      <c r="B250" s="63">
        <f>86+9</f>
        <v>95</v>
      </c>
      <c r="C250" s="63"/>
      <c r="D250" s="63"/>
      <c r="E250" s="54"/>
      <c r="F250" s="54"/>
      <c r="G250" s="54"/>
      <c r="H250" s="54"/>
      <c r="I250" s="56">
        <f t="shared" si="10"/>
        <v>3.8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>
        <v>55</v>
      </c>
      <c r="B251" s="63">
        <f>96+9+10</f>
        <v>115</v>
      </c>
      <c r="C251" s="63">
        <v>3</v>
      </c>
      <c r="D251" s="63">
        <f>9+10</f>
        <v>19</v>
      </c>
      <c r="E251" s="54"/>
      <c r="F251" s="54"/>
      <c r="G251" s="54"/>
      <c r="H251" s="54"/>
      <c r="I251" s="56">
        <f t="shared" si="10"/>
        <v>4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>
        <v>60</v>
      </c>
      <c r="B252" s="63">
        <f>105+10</f>
        <v>115</v>
      </c>
      <c r="C252" s="63"/>
      <c r="D252" s="63"/>
      <c r="E252" s="54"/>
      <c r="F252" s="54"/>
      <c r="G252" s="54"/>
      <c r="H252" s="54"/>
      <c r="I252" s="56">
        <f t="shared" si="10"/>
        <v>3.8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3">
        <v>65</v>
      </c>
      <c r="B253" s="63">
        <f>114+10+10</f>
        <v>134</v>
      </c>
      <c r="C253" s="63">
        <v>4</v>
      </c>
      <c r="D253" s="63">
        <f>10+10</f>
        <v>20</v>
      </c>
      <c r="E253" s="54"/>
      <c r="F253" s="54"/>
      <c r="G253" s="54"/>
      <c r="H253" s="54"/>
      <c r="I253" s="56">
        <f t="shared" si="10"/>
        <v>3.8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>
        <v>70</v>
      </c>
      <c r="B254" s="63">
        <f>122+10</f>
        <v>132</v>
      </c>
      <c r="C254" s="63"/>
      <c r="D254" s="63"/>
      <c r="E254" s="54"/>
      <c r="F254" s="54"/>
      <c r="G254" s="54"/>
      <c r="H254" s="54"/>
      <c r="I254" s="56">
        <f t="shared" si="10"/>
        <v>3.6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3">
        <v>75</v>
      </c>
      <c r="B255" s="63">
        <f>129+10+10</f>
        <v>149</v>
      </c>
      <c r="C255" s="63">
        <v>5</v>
      </c>
      <c r="D255" s="63">
        <f>10+10</f>
        <v>20</v>
      </c>
      <c r="E255" s="54"/>
      <c r="F255" s="54"/>
      <c r="G255" s="54"/>
      <c r="H255" s="54"/>
      <c r="I255" s="56">
        <f t="shared" si="10"/>
        <v>3.4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3">
        <v>80</v>
      </c>
      <c r="B256" s="63">
        <f>137+9</f>
        <v>146</v>
      </c>
      <c r="C256" s="63"/>
      <c r="D256" s="63"/>
      <c r="E256" s="54"/>
      <c r="F256" s="54"/>
      <c r="G256" s="54"/>
      <c r="H256" s="54"/>
      <c r="I256" s="56">
        <f t="shared" si="10"/>
        <v>3.4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53">
        <v>85</v>
      </c>
      <c r="B257" s="63">
        <f>143+9+9</f>
        <v>161</v>
      </c>
      <c r="C257" s="63">
        <v>6</v>
      </c>
      <c r="D257" s="63">
        <f>9+9</f>
        <v>18</v>
      </c>
      <c r="E257" s="54"/>
      <c r="F257" s="54"/>
      <c r="G257" s="54"/>
      <c r="H257" s="54"/>
      <c r="I257" s="56">
        <f t="shared" si="10"/>
        <v>3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90</v>
      </c>
      <c r="B258" s="63">
        <f>150+9</f>
        <v>159</v>
      </c>
      <c r="C258" s="63"/>
      <c r="D258" s="63"/>
      <c r="E258" s="54"/>
      <c r="F258" s="54"/>
      <c r="G258" s="54"/>
      <c r="H258" s="54"/>
      <c r="I258" s="56">
        <f t="shared" si="10"/>
        <v>3.2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>
        <v>95</v>
      </c>
      <c r="B259" s="63">
        <f>155+9+9</f>
        <v>173</v>
      </c>
      <c r="C259" s="63">
        <v>7</v>
      </c>
      <c r="D259" s="63">
        <f>9+9</f>
        <v>18</v>
      </c>
      <c r="E259" s="54"/>
      <c r="F259" s="54"/>
      <c r="G259" s="54"/>
      <c r="H259" s="54"/>
      <c r="I259" s="56">
        <f t="shared" si="10"/>
        <v>2.8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>
        <v>100</v>
      </c>
      <c r="B260" s="63">
        <f>161+9</f>
        <v>170</v>
      </c>
      <c r="C260" s="63"/>
      <c r="D260" s="63"/>
      <c r="E260" s="54"/>
      <c r="F260" s="54"/>
      <c r="G260" s="54"/>
      <c r="H260" s="54"/>
      <c r="I260" s="56">
        <f t="shared" si="10"/>
        <v>3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>
        <v>105</v>
      </c>
      <c r="B261" s="63">
        <f>166+9+9</f>
        <v>184</v>
      </c>
      <c r="C261" s="63">
        <v>8</v>
      </c>
      <c r="D261" s="63">
        <f>9+9</f>
        <v>18</v>
      </c>
      <c r="E261" s="54"/>
      <c r="F261" s="54"/>
      <c r="G261" s="54"/>
      <c r="H261" s="54"/>
      <c r="I261" s="56">
        <f t="shared" si="10"/>
        <v>2.8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>
        <v>110</v>
      </c>
      <c r="B262" s="63">
        <f>171+10</f>
        <v>181</v>
      </c>
      <c r="C262" s="63"/>
      <c r="D262" s="63"/>
      <c r="E262" s="54"/>
      <c r="F262" s="54"/>
      <c r="G262" s="54"/>
      <c r="H262" s="54"/>
      <c r="I262" s="56">
        <f t="shared" si="10"/>
        <v>3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>
        <v>120</v>
      </c>
      <c r="B263" s="63">
        <f>181+10+10+10</f>
        <v>211</v>
      </c>
      <c r="C263" s="63">
        <v>9</v>
      </c>
      <c r="D263" s="63">
        <f>B263</f>
        <v>211</v>
      </c>
      <c r="E263" s="54"/>
      <c r="F263" s="54"/>
      <c r="G263" s="54"/>
      <c r="H263" s="54"/>
      <c r="I263" s="56">
        <f t="shared" si="10"/>
        <v>3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Erable champêtre</v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20</v>
      </c>
      <c r="B270" s="63">
        <f>18</f>
        <v>18</v>
      </c>
      <c r="C270" s="63"/>
      <c r="D270" s="63"/>
      <c r="E270" s="54"/>
      <c r="F270" s="54"/>
      <c r="G270" s="54"/>
      <c r="H270" s="54"/>
      <c r="I270" s="56">
        <f>IFERROR(B270/A270,"")</f>
        <v>0.9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25</v>
      </c>
      <c r="B271" s="63">
        <f>53+3</f>
        <v>56</v>
      </c>
      <c r="C271" s="63"/>
      <c r="D271" s="63"/>
      <c r="E271" s="54"/>
      <c r="F271" s="54"/>
      <c r="G271" s="54"/>
      <c r="H271" s="54"/>
      <c r="I271" s="56">
        <f>IF(A271&lt;&gt;0,(B271-(B270-D270))/(A271-A270),"")</f>
        <v>7.6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30</v>
      </c>
      <c r="B272" s="63">
        <f>76+3+14</f>
        <v>93</v>
      </c>
      <c r="C272" s="63">
        <v>1</v>
      </c>
      <c r="D272" s="63">
        <f>3+14+14</f>
        <v>31</v>
      </c>
      <c r="E272" s="54"/>
      <c r="F272" s="54"/>
      <c r="G272" s="54"/>
      <c r="H272" s="54">
        <v>1</v>
      </c>
      <c r="I272" s="56">
        <f t="shared" ref="I272:I289" si="11">IF(A272&lt;&gt;0,(B272-(B271-D271))/(A272-A271),"")</f>
        <v>7.4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35</v>
      </c>
      <c r="B273" s="63">
        <f>95</f>
        <v>95</v>
      </c>
      <c r="C273" s="63"/>
      <c r="D273" s="63"/>
      <c r="E273" s="54"/>
      <c r="F273" s="54"/>
      <c r="G273" s="54"/>
      <c r="H273" s="54"/>
      <c r="I273" s="56">
        <f t="shared" si="11"/>
        <v>6.6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40</v>
      </c>
      <c r="B274" s="63">
        <f>109+14</f>
        <v>123</v>
      </c>
      <c r="C274" s="63">
        <v>2</v>
      </c>
      <c r="D274" s="63">
        <f>14+14</f>
        <v>28</v>
      </c>
      <c r="E274" s="54"/>
      <c r="F274" s="54"/>
      <c r="G274" s="54"/>
      <c r="H274" s="54"/>
      <c r="I274" s="56">
        <f t="shared" si="11"/>
        <v>5.6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45</v>
      </c>
      <c r="B275" s="63">
        <f>120</f>
        <v>120</v>
      </c>
      <c r="C275" s="63"/>
      <c r="D275" s="63"/>
      <c r="E275" s="54"/>
      <c r="F275" s="54"/>
      <c r="G275" s="54"/>
      <c r="H275" s="54"/>
      <c r="I275" s="56">
        <f t="shared" si="11"/>
        <v>5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>
        <v>50</v>
      </c>
      <c r="B276" s="63">
        <f>127+14</f>
        <v>141</v>
      </c>
      <c r="C276" s="63">
        <v>3</v>
      </c>
      <c r="D276" s="63">
        <f>14+11</f>
        <v>25</v>
      </c>
      <c r="E276" s="54"/>
      <c r="F276" s="54"/>
      <c r="G276" s="54"/>
      <c r="H276" s="54"/>
      <c r="I276" s="56">
        <f t="shared" si="11"/>
        <v>4.2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3">
        <v>55</v>
      </c>
      <c r="B277" s="63">
        <f>133</f>
        <v>133</v>
      </c>
      <c r="C277" s="63"/>
      <c r="D277" s="63"/>
      <c r="E277" s="54"/>
      <c r="F277" s="54"/>
      <c r="G277" s="54"/>
      <c r="H277" s="54"/>
      <c r="I277" s="56">
        <f t="shared" si="11"/>
        <v>3.4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3">
        <v>60</v>
      </c>
      <c r="B278" s="63">
        <f>140+9</f>
        <v>149</v>
      </c>
      <c r="C278" s="63">
        <v>4</v>
      </c>
      <c r="D278" s="63">
        <f>9+7</f>
        <v>16</v>
      </c>
      <c r="E278" s="54"/>
      <c r="F278" s="54"/>
      <c r="G278" s="54"/>
      <c r="H278" s="54"/>
      <c r="I278" s="56">
        <f t="shared" si="11"/>
        <v>3.2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3">
        <v>65</v>
      </c>
      <c r="B279" s="63">
        <f>146</f>
        <v>146</v>
      </c>
      <c r="C279" s="63"/>
      <c r="D279" s="63"/>
      <c r="E279" s="54"/>
      <c r="F279" s="54"/>
      <c r="G279" s="54"/>
      <c r="H279" s="54"/>
      <c r="I279" s="56">
        <f t="shared" si="11"/>
        <v>2.6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3">
        <v>70</v>
      </c>
      <c r="B280" s="63">
        <f>151+6</f>
        <v>157</v>
      </c>
      <c r="C280" s="63">
        <v>5</v>
      </c>
      <c r="D280" s="63">
        <f>7+6</f>
        <v>13</v>
      </c>
      <c r="E280" s="54"/>
      <c r="F280" s="54"/>
      <c r="G280" s="54"/>
      <c r="H280" s="54"/>
      <c r="I280" s="56">
        <f t="shared" si="11"/>
        <v>2.2000000000000002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3">
        <v>75</v>
      </c>
      <c r="B281" s="63">
        <f>155</f>
        <v>155</v>
      </c>
      <c r="C281" s="63"/>
      <c r="D281" s="63"/>
      <c r="E281" s="54"/>
      <c r="F281" s="54"/>
      <c r="G281" s="54"/>
      <c r="H281" s="54"/>
      <c r="I281" s="56">
        <f t="shared" si="11"/>
        <v>2.2000000000000002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3">
        <v>80</v>
      </c>
      <c r="B282" s="63">
        <f>160+4</f>
        <v>164</v>
      </c>
      <c r="C282" s="63">
        <v>6</v>
      </c>
      <c r="D282" s="63">
        <f>B282</f>
        <v>164</v>
      </c>
      <c r="E282" s="54"/>
      <c r="F282" s="54"/>
      <c r="G282" s="54"/>
      <c r="H282" s="54"/>
      <c r="I282" s="56">
        <f t="shared" si="11"/>
        <v>1.8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0" sqref="B1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4">
        <v>0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4">
        <v>1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pubescent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Cormier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Pin maritime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Cèdre de l'Atlas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Pin laricio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Pin pignon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Chêne vert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Chêne chevelu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Alisier torminal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>Erable champêtre</v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383.26814640166805</v>
      </c>
      <c r="T3" s="62">
        <f>IF('Données projet'!E9&gt;30,$R$33-$H$33,LOOKUP('Données projet'!$E$9,$A$3:$A$203,R3:R203)-LOOKUP('Données projet'!$E$9,$A$3:$A$203,$H$3:$H$203))</f>
        <v>233.71216103405249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205.99910063756408</v>
      </c>
      <c r="AO3" s="62">
        <f>IF('Données projet'!E10&gt;30,$AM$33-$H$33,LOOKUP('Données projet'!$E$10,$A$3:$A$203,AM3:AM203)-LOOKUP('Données projet'!$E$10,$A$3:$A$203,$H$3:$H$203))</f>
        <v>128.95330275493671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222.20580087523689</v>
      </c>
      <c r="BJ3" s="62">
        <f>IF('Données projet'!E11&gt;30,$BH$33-$H$33,LOOKUP('Données projet'!$E$11,$A$3:$A$203,BH3:BH203)-LOOKUP('Données projet'!$E$11,$A$3:$A$203,$H$3:$H$203))</f>
        <v>232.08940427392253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179.14256291235466</v>
      </c>
      <c r="CE3" s="62">
        <f>IF('Données projet'!E12&gt;30,$CC$33-$H$33,LOOKUP('Données projet'!$E$12,$A$3:$A$203,CC3:CC203)-LOOKUP('Données projet'!$E$12,$A$3:$A$203,$H$3:$H$203))</f>
        <v>107.5256983607585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237.03649693529445</v>
      </c>
      <c r="CZ3" s="62">
        <f>IF('Données projet'!E13&gt;30,$CX$33-$H$33,LOOKUP('Données projet'!$E$13,$A$3:$A$203,CX3:CX203)-LOOKUP('Données projet'!$E$13,$A$3:$A$203,$H$3:$H$203))</f>
        <v>191.04289411674887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431.38469096974364</v>
      </c>
      <c r="DU3" s="62">
        <f>IF('Données projet'!E14&gt;30,$DS$33-$H$33,LOOKUP('Données projet'!$E$14,$A$3:$A$203,DS3:DS203)-LOOKUP('Données projet'!$E$14,$A$3:$A$203,$H$3:$H$203))</f>
        <v>295.48627059086647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220.03635832253951</v>
      </c>
      <c r="EP3" s="62">
        <f>IF('Données projet'!E15&gt;30,$EN$33-$H$33,LOOKUP('Données projet'!$E$15,$A$3:$A$203,EN3:EN203)-LOOKUP('Données projet'!$E$15,$A$3:$A$203,$H$3:$H$203))</f>
        <v>136.30639155882233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641.62708445664862</v>
      </c>
      <c r="FK3" s="62">
        <f>IF('Données projet'!E16&gt;30,$FI$33-$H$33,LOOKUP('Données projet'!$E$16,$A$3:$A$203,FI3:FI203)-LOOKUP('Données projet'!$E$16,$A$3:$A$203,$H$3:$H$203))</f>
        <v>379.46845863546929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181.39066880931728</v>
      </c>
      <c r="GF3" s="62">
        <f>IF('Données projet'!E17&gt;30,$GD$33-$H$33,LOOKUP('Données projet'!$E$17,$A$3:$A$203,GD3:GD203)-LOOKUP('Données projet'!$E$17,$A$3:$A$203,$H$3:$H$203))</f>
        <v>116.06078566855524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152.84277478695606</v>
      </c>
      <c r="HA3" s="62">
        <f>IF('Données projet'!E18&gt;30,$GY$33-$H$33,LOOKUP('Données projet'!$E$18,$A$3:$A$203,GY3:GY203)-LOOKUP('Données projet'!$E$18,$A$3:$A$203,$H$3:$H$203))</f>
        <v>179.22995976651015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9">
        <f t="shared" ref="H4:H67" si="1">(B4+E4+F4)*44/12+(C4+D4)*0.475*44/12</f>
        <v>258.08783604613262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2">
        <f t="shared" si="0"/>
        <v>260.97628431819578</v>
      </c>
      <c r="S4" s="62">
        <f ca="1">AVERAGE(OFFSET($R$3,0,0,'Données projet'!$E$9+1,1))-AVERAGE(OFFSET($H$3,0,0,'Données projet'!$E$9+1,1))</f>
        <v>383.26814640166805</v>
      </c>
      <c r="T4" s="62">
        <f>$T$3</f>
        <v>233.71216103405249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1.05</v>
      </c>
      <c r="AI4" s="14">
        <f>IF('Données projet'!$A$62&gt;35,AI3+AH4-AQ3,IF(A4&lt;'Données projet'!$A$62,$AF$205^A4,IF(A4='Données projet'!$A$62,'Données projet'!$B$62,AI3+AH4-AQ3)))</f>
        <v>1.1644235083052243</v>
      </c>
      <c r="AJ4" s="14">
        <f>AI4*VLOOKUP('Données projet'!$B$10,Paramètres!$A$1:$I$89,3,0)*VLOOKUP('Données projet'!$B$10,Paramètres!$A$1:$I$89,5,0)</f>
        <v>1.2533854643397435</v>
      </c>
      <c r="AK4" s="14">
        <f>EXP(-1.0587+0.8836*LN(AJ4)+0.284)</f>
        <v>0.56262582787929238</v>
      </c>
      <c r="AL4" s="22">
        <f t="shared" ref="AL4:AL67" si="4">(AJ4+AK4)*0.475*44/12</f>
        <v>3.1628863339481534</v>
      </c>
      <c r="AM4" s="62">
        <f t="shared" ref="AM4:AM67" si="5">AL4+(AD4+AE4)*44/12</f>
        <v>261.05177522283702</v>
      </c>
      <c r="AN4" s="62">
        <f ca="1">AVERAGE(OFFSET($AM$3,0,0,'Données projet'!$E$10+1,1))-AVERAGE(OFFSET($H$3,0,0,'Données projet'!$E$10+1,1))</f>
        <v>205.99910063756408</v>
      </c>
      <c r="AO4" s="62">
        <f>$AO$3</f>
        <v>128.95330275493671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7.4312217194570129</v>
      </c>
      <c r="BD4" s="13">
        <f>IF('Données projet'!$A$88&gt;35,BD3+BC4-BL3,IF(A4&lt;'Données projet'!$A$88,$BA$205^A4,IF(A4='Données projet'!$A$88,'Données projet'!$B$88,BD3+BC4-BL3)))</f>
        <v>1.3292852468636394</v>
      </c>
      <c r="BE4" s="14">
        <f>BD4*VLOOKUP('Données projet'!$B$11,Paramètres!$A$1:$I$89,3,0)*VLOOKUP('Données projet'!$B$11,Paramètres!$A$1:$I$89,5,0)</f>
        <v>0.79491257762445644</v>
      </c>
      <c r="BF4" s="14">
        <f>EXP(-1.0587+0.8836*LN(BE4)+0.284)</f>
        <v>0.37624805113513943</v>
      </c>
      <c r="BG4" s="22">
        <f t="shared" ref="BG4:BG67" si="7">(BE4+BF4)*0.475*44/12</f>
        <v>2.0397714284229629</v>
      </c>
      <c r="BH4" s="62">
        <f t="shared" ref="BH4:BH67" si="8">BG4+(AY4+AZ4)*44/12</f>
        <v>259.92866031731182</v>
      </c>
      <c r="BI4" s="62">
        <f ca="1">AVERAGE(OFFSET($BH$3,0,0,'Données projet'!$E$11+1,1))-AVERAGE(OFFSET($H$3,0,0,'Données projet'!$E$11+1,1))</f>
        <v>222.20580087523689</v>
      </c>
      <c r="BJ4" s="62">
        <f>$BJ$3</f>
        <v>232.08940427392253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3.4425641025641025</v>
      </c>
      <c r="BY4" s="13">
        <f>IF('Données projet'!$A$114&gt;35,BY3+BX4-CG3,IF(A4&lt;'Données projet'!$A$114,$BV$205^A4,IF(A4='Données projet'!$A$114,'Données projet'!$B$114,BY3+BX4-CG3)))</f>
        <v>1.1671681906248585</v>
      </c>
      <c r="BZ4" s="14">
        <f>BY4*VLOOKUP('Données projet'!$B$12,Paramètres!$A$1:$I$89,3,0)*VLOOKUP('Données projet'!$B$12,Paramètres!$A$1:$I$89,5,0)</f>
        <v>0.54623471321243378</v>
      </c>
      <c r="CA4" s="14">
        <f>EXP(-1.0587+0.8836*LN(BZ4)+0.284)</f>
        <v>0.27008496636632595</v>
      </c>
      <c r="CB4" s="22">
        <f t="shared" ref="CB4:CB67" si="10">(BZ4+CA4)*0.475*44/12</f>
        <v>1.4217567752663396</v>
      </c>
      <c r="CC4" s="62">
        <f t="shared" ref="CC4:CC67" si="11">CB4+(BT4+BU4)*44/12</f>
        <v>259.31064566415517</v>
      </c>
      <c r="CD4" s="62">
        <f ca="1">AVERAGE(OFFSET($CC$3,0,0,'Données projet'!$E$12+1,1))-AVERAGE(OFFSET($H$3,0,0,'Données projet'!$E$12+1,1))</f>
        <v>179.14256291235466</v>
      </c>
      <c r="CE4" s="62">
        <f>$CE$3</f>
        <v>107.5256983607585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5.9083916083916082</v>
      </c>
      <c r="CT4" s="13">
        <f>IF('Données projet'!$A$140&gt;35,CT3+CS4-DB3,IF(A4&lt;'Données projet'!$A$140,$CQ$205^A4,IF(A4='Données projet'!$A$140,'Données projet'!$B$140,CT3+CS4-DB3)))</f>
        <v>1.2476305424001204</v>
      </c>
      <c r="CU4" s="18">
        <f>CT4*VLOOKUP('Données projet'!$B$13,Paramètres!$A$1:$I$89,3,0)*VLOOKUP('Données projet'!$B$13,Paramètres!$A$1:$I$89,5,0)</f>
        <v>0.74608306435527205</v>
      </c>
      <c r="CV4" s="14">
        <f>EXP(-1.0587+0.8836*LN(CU4)+0.284)</f>
        <v>0.35575156458325191</v>
      </c>
      <c r="CW4" s="22">
        <f t="shared" ref="CW4:CW67" si="13">(CU4+CV4)*0.475*44/12</f>
        <v>1.9190286454012624</v>
      </c>
      <c r="CX4" s="62">
        <f t="shared" ref="CX4:CX67" si="14">CW4+(CO4+CP4)*44/12</f>
        <v>259.80791753429014</v>
      </c>
      <c r="CY4" s="62">
        <f ca="1">AVERAGE(OFFSET($CX$3,0,0,'Données projet'!$E$13+1,1))-AVERAGE(OFFSET($H$3,0,0,'Données projet'!$E$13+1,1))</f>
        <v>237.03649693529445</v>
      </c>
      <c r="CZ4" s="62">
        <f>$CZ$3</f>
        <v>191.04289411674887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3.6819999999999999</v>
      </c>
      <c r="DO4" s="13">
        <f>IF('Données projet'!$A$166&gt;35,DO3+DN4-DW3,IF(A4&lt;'Données projet'!$A$166,$DL$205^A4,IF(A4='Données projet'!$A$166,'Données projet'!$B$166,DO3+DN4-DW3)))</f>
        <v>1.4341955756635465</v>
      </c>
      <c r="DP4" s="18">
        <f>DO4*VLOOKUP('Données projet'!$B$14,Paramètres!$A$1:$I$89,3,0)*VLOOKUP('Données projet'!$B$14,Paramètres!$A$1:$I$89,5,0)</f>
        <v>1.6521933031644054</v>
      </c>
      <c r="DQ4" s="14">
        <f>EXP(-1.0587+0.8836*LN(DP4)+0.284)</f>
        <v>0.71817558786993529</v>
      </c>
      <c r="DR4" s="22">
        <f t="shared" ref="DR4:DR67" si="16">(DP4+DQ4)*0.475*44/12</f>
        <v>4.1283924852181428</v>
      </c>
      <c r="DS4" s="62">
        <f t="shared" ref="DS4:DS67" si="17">DR4+(DJ4+DK4)*44/12</f>
        <v>262.01728137410703</v>
      </c>
      <c r="DT4" s="62">
        <f ca="1">AVERAGE(OFFSET($DS$3,0,0,'Données projet'!$E$14+1,1))-AVERAGE(OFFSET($H$3,0,0,'Données projet'!$E$14+1,1))</f>
        <v>431.38469096974364</v>
      </c>
      <c r="DU4" s="62">
        <f>$DU$3</f>
        <v>295.48627059086647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1.05</v>
      </c>
      <c r="EJ4" s="13">
        <f>IF('Données projet'!$A$192&gt;35,EJ3+EI4-ER3,IF(A4&lt;'Données projet'!$A$192,$EG$205^A4,IF(A4='Données projet'!$A$192,'Données projet'!$B$192,EJ3+EI4-ER3)))</f>
        <v>1.1644235083052243</v>
      </c>
      <c r="EK4" s="18">
        <f>EJ4*VLOOKUP('Données projet'!$B$15,Paramètres!$A$1:$I$89,3,0)*VLOOKUP('Données projet'!$B$15,Paramètres!$A$1:$I$89,5,0)</f>
        <v>1.3260454912579895</v>
      </c>
      <c r="EL4" s="14">
        <f>EXP(-1.0587+0.8836*LN(EK4)+0.284)</f>
        <v>0.59135011774364299</v>
      </c>
      <c r="EM4" s="22">
        <f t="shared" ref="EM4:EM67" si="19">(EK4+EL4)*0.475*44/12</f>
        <v>3.3394640190111766</v>
      </c>
      <c r="EN4" s="62">
        <f t="shared" ref="EN4:EN67" si="20">EM4+(EE4+EF4)*44/12</f>
        <v>261.22835290790005</v>
      </c>
      <c r="EO4" s="62">
        <f ca="1">AVERAGE(OFFSET($EN$3,0,0,'Données projet'!$E$15+1,1))-AVERAGE(OFFSET($H$3,0,0,'Données projet'!$E$15+1,1))</f>
        <v>220.03635832253951</v>
      </c>
      <c r="EP4" s="62">
        <f>$EP$3</f>
        <v>136.30639155882233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3.1333333333333333</v>
      </c>
      <c r="FE4" s="13">
        <f>IF('Données projet'!$A$218&gt;35,FE3+FD4-FM3,IF(A4&lt;'Données projet'!$A$218,$FB$205^A4,IF(A4='Données projet'!$A$218,'Données projet'!$B$218,FE3+FD4-FM3)))</f>
        <v>1.2926269030784696</v>
      </c>
      <c r="FF4" s="18">
        <f>FE4*VLOOKUP('Données projet'!$B$16,Paramètres!$A$1:$I$89,3,0)*VLOOKUP('Données projet'!$B$16,Paramètres!$A$1:$I$89,5,0)</f>
        <v>1.3510536390976167</v>
      </c>
      <c r="FG4" s="14">
        <f>EXP(-1.0587+0.8836*LN(FF4)+0.284)</f>
        <v>0.60119362509904517</v>
      </c>
      <c r="FH4" s="22">
        <f t="shared" ref="FH4:FH67" si="22">(FF4+FG4)*0.475*44/12</f>
        <v>3.4001639851425192</v>
      </c>
      <c r="FI4" s="62">
        <f t="shared" ref="FI4:FI67" si="23">FH4+(EZ4+FA4)*44/12</f>
        <v>261.28905287403137</v>
      </c>
      <c r="FJ4" s="62">
        <f ca="1">AVERAGE(OFFSET($FI$3,0,0,'Données projet'!$E$16+1,1))-AVERAGE(OFFSET($H$3,0,0,'Données projet'!$E$16+1,1))</f>
        <v>641.62708445664862</v>
      </c>
      <c r="FK4" s="62">
        <f>$FK$3</f>
        <v>379.46845863546929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1.05</v>
      </c>
      <c r="FZ4" s="13">
        <f>IF('Données projet'!$A$244&gt;35,FZ3+FY4-GH3,IF(A4&lt;'Données projet'!$A$244,$FW$205^A4,IF(A4='Données projet'!$A$244,'Données projet'!$B$244,FZ3+FY4-GH3)))</f>
        <v>1.1644235083052243</v>
      </c>
      <c r="GA4" s="18">
        <f>FZ4*VLOOKUP('Données projet'!$B$17,Paramètres!$A$1:$I$89,3,0)*VLOOKUP('Données projet'!$B$17,Paramètres!$A$1:$I$89,5,0)</f>
        <v>1.126230417232813</v>
      </c>
      <c r="GB4" s="14">
        <f>EXP(-1.0587+0.8836*LN(GA4)+0.284)</f>
        <v>0.51188205554259503</v>
      </c>
      <c r="GC4" s="22">
        <f t="shared" ref="GC4:GC67" si="25">(GA4+GB4)*0.475*44/12</f>
        <v>2.8530458900838358</v>
      </c>
      <c r="GD4" s="62">
        <f t="shared" ref="GD4:GD67" si="26">GC4+(FU4+FV4)*44/12</f>
        <v>260.74193477897268</v>
      </c>
      <c r="GE4" s="62">
        <f ca="1">AVERAGE(OFFSET($GD$3,0,0,'Données projet'!$E$17+1,1))-AVERAGE(OFFSET($H$3,0,0,'Données projet'!$E$17+1,1))</f>
        <v>181.39066880931728</v>
      </c>
      <c r="GF4" s="62">
        <f>$GF$3</f>
        <v>116.06078566855524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0.9</v>
      </c>
      <c r="GU4" s="13">
        <f>IF('Données projet'!$A$270&gt;35,GU3+GT4-HC3,IF(A4&lt;'Données projet'!$A$270,$GR$205^A4,IF(A4='Données projet'!$A$270,'Données projet'!$B$270,GU3+GT4-HC3)))</f>
        <v>1.1554831727638066</v>
      </c>
      <c r="GV4" s="18">
        <f>GU4*VLOOKUP('Données projet'!$B$18,Paramètres!$A$1:$I$89,3,0)*VLOOKUP('Données projet'!$B$18,Paramètres!$A$1:$I$89,5,0)</f>
        <v>1.0094300997264616</v>
      </c>
      <c r="GW4" s="14">
        <f>EXP(-1.0587+0.8836*LN(GV4)+0.284)</f>
        <v>0.46467984937949935</v>
      </c>
      <c r="GX4" s="22">
        <f t="shared" ref="GX4:GX67" si="28">(GV4+GW4)*0.475*44/12</f>
        <v>2.5674081613595483</v>
      </c>
      <c r="GY4" s="62">
        <f t="shared" ref="GY4:GY67" si="29">GX4+(GP4+GQ4)*44/12</f>
        <v>260.45629705024839</v>
      </c>
      <c r="GZ4" s="62">
        <f ca="1">AVERAGE(OFFSET($GY$3,0,0,'Données projet'!$E$18+1,1))-AVERAGE(OFFSET($H$3,0,0,'Données projet'!$E$18+1,1))</f>
        <v>152.84277478695606</v>
      </c>
      <c r="HA4" s="62">
        <f>$HA$3</f>
        <v>179.22995976651015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9">
        <f t="shared" si="1"/>
        <v>259.43610890414124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2">
        <f t="shared" si="0"/>
        <v>262.80806344386446</v>
      </c>
      <c r="S5" s="62">
        <f ca="1">AVERAGE(OFFSET($R$3,0,0,'Données projet'!$E$9+1,1))-AVERAGE(OFFSET($H$3,0,0,'Données projet'!$E$9+1,1))</f>
        <v>383.26814640166805</v>
      </c>
      <c r="T5" s="62">
        <f t="shared" ref="T5:T68" si="34">$T$3</f>
        <v>233.71216103405249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1.05</v>
      </c>
      <c r="AI5" s="14">
        <f>IF('Données projet'!$A$62&gt;35,AI4+AH5-AQ4,IF(A5&lt;'Données projet'!$A$62,$AF$205^A5,IF(A5='Données projet'!$A$62,'Données projet'!$B$62,AI4+AH5-AQ4)))</f>
        <v>1.3558821066938469</v>
      </c>
      <c r="AJ5" s="14">
        <f>AI5*VLOOKUP('Données projet'!$B$10,Paramètres!$A$1:$I$89,3,0)*VLOOKUP('Données projet'!$B$10,Paramètres!$A$1:$I$89,5,0)</f>
        <v>1.4594714996452569</v>
      </c>
      <c r="AK5" s="14">
        <f t="shared" ref="AK5:AK68" si="35">EXP(-1.0587+0.8836*LN(AJ5)+0.284)</f>
        <v>0.64362856955591685</v>
      </c>
      <c r="AL5" s="22">
        <f t="shared" si="4"/>
        <v>3.6628992871920438</v>
      </c>
      <c r="AM5" s="62">
        <f t="shared" si="5"/>
        <v>262.77401039830318</v>
      </c>
      <c r="AN5" s="62">
        <f ca="1">AVERAGE(OFFSET($AM$3,0,0,'Données projet'!$E$10+1,1))-AVERAGE(OFFSET($H$3,0,0,'Données projet'!$E$10+1,1))</f>
        <v>205.99910063756408</v>
      </c>
      <c r="AO5" s="62">
        <f t="shared" ref="AO5:AO68" si="36">$AO$3</f>
        <v>128.95330275493671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7.4312217194570129</v>
      </c>
      <c r="BD5" s="13">
        <f>IF('Données projet'!$A$88&gt;35,BD4+BC5-BL4,IF(A5&lt;'Données projet'!$A$88,$BA$205^A5,IF(A5='Données projet'!$A$88,'Données projet'!$B$88,BD4+BC5-BL4)))</f>
        <v>1.7669992675293267</v>
      </c>
      <c r="BE5" s="14">
        <f>BD5*VLOOKUP('Données projet'!$B$11,Paramètres!$A$1:$I$89,3,0)*VLOOKUP('Données projet'!$B$11,Paramètres!$A$1:$I$89,5,0)</f>
        <v>1.0566655619825374</v>
      </c>
      <c r="BF5" s="14">
        <f t="shared" ref="BF5:BF68" si="37">EXP(-1.0587+0.8836*LN(BE5)+0.284)</f>
        <v>0.48384169076702271</v>
      </c>
      <c r="BG5" s="22">
        <f t="shared" si="7"/>
        <v>2.6830501318721502</v>
      </c>
      <c r="BH5" s="62">
        <f t="shared" si="8"/>
        <v>261.79416124298331</v>
      </c>
      <c r="BI5" s="62">
        <f ca="1">AVERAGE(OFFSET($BH$3,0,0,'Données projet'!$E$11+1,1))-AVERAGE(OFFSET($H$3,0,0,'Données projet'!$E$11+1,1))</f>
        <v>222.20580087523689</v>
      </c>
      <c r="BJ5" s="62">
        <f t="shared" ref="BJ5:BJ68" si="38">$BJ$3</f>
        <v>232.08940427392253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3.4425641025641025</v>
      </c>
      <c r="BY5" s="13">
        <f>IF('Données projet'!$A$114&gt;35,BY4+BX5-CG4,IF(A5&lt;'Données projet'!$A$114,$BV$205^A5,IF(A5='Données projet'!$A$114,'Données projet'!$B$114,BY4+BX5-CG4)))</f>
        <v>1.3622815852065062</v>
      </c>
      <c r="BZ5" s="14">
        <f>BY5*VLOOKUP('Données projet'!$B$12,Paramètres!$A$1:$I$89,3,0)*VLOOKUP('Données projet'!$B$12,Paramètres!$A$1:$I$89,5,0)</f>
        <v>0.63754778187664485</v>
      </c>
      <c r="CA5" s="14">
        <f t="shared" ref="CA5:CA68" si="39">EXP(-1.0587+0.8836*LN(BZ5)+0.284)</f>
        <v>0.30961323785545058</v>
      </c>
      <c r="CB5" s="22">
        <f t="shared" si="10"/>
        <v>1.6496387760333995</v>
      </c>
      <c r="CC5" s="62">
        <f t="shared" si="11"/>
        <v>260.76074988714453</v>
      </c>
      <c r="CD5" s="62">
        <f ca="1">AVERAGE(OFFSET($CC$3,0,0,'Données projet'!$E$12+1,1))-AVERAGE(OFFSET($H$3,0,0,'Données projet'!$E$12+1,1))</f>
        <v>179.14256291235466</v>
      </c>
      <c r="CE5" s="62">
        <f t="shared" ref="CE5:CE68" si="40">$CE$3</f>
        <v>107.5256983607585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5.9083916083916082</v>
      </c>
      <c r="CT5" s="13">
        <f>IF('Données projet'!$A$140&gt;35,CT4+CS5-DB4,IF(A5&lt;'Données projet'!$A$140,$CQ$205^A5,IF(A5='Données projet'!$A$140,'Données projet'!$B$140,CT4+CS5-DB4)))</f>
        <v>1.5565819703296186</v>
      </c>
      <c r="CU5" s="18">
        <f>CT5*VLOOKUP('Données projet'!$B$13,Paramètres!$A$1:$I$89,3,0)*VLOOKUP('Données projet'!$B$13,Paramètres!$A$1:$I$89,5,0)</f>
        <v>0.93083601825711204</v>
      </c>
      <c r="CV5" s="14">
        <f t="shared" ref="CV5:CV68" si="41">EXP(-1.0587+0.8836*LN(CU5)+0.284)</f>
        <v>0.43256204175421276</v>
      </c>
      <c r="CW5" s="22">
        <f t="shared" si="13"/>
        <v>2.3745849545197242</v>
      </c>
      <c r="CX5" s="62">
        <f t="shared" si="14"/>
        <v>261.48569606563086</v>
      </c>
      <c r="CY5" s="62">
        <f ca="1">AVERAGE(OFFSET($CX$3,0,0,'Données projet'!$E$13+1,1))-AVERAGE(OFFSET($H$3,0,0,'Données projet'!$E$13+1,1))</f>
        <v>237.03649693529445</v>
      </c>
      <c r="CZ5" s="62">
        <f t="shared" ref="CZ5:CZ68" si="42">$CZ$3</f>
        <v>191.04289411674887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3.6819999999999999</v>
      </c>
      <c r="DO5" s="13">
        <f>IF('Données projet'!$A$166&gt;35,DO4+DN5-DW4,IF(A5&lt;'Données projet'!$A$166,$DL$205^A5,IF(A5='Données projet'!$A$166,'Données projet'!$B$166,DO4+DN5-DW4)))</f>
        <v>2.0569169492528916</v>
      </c>
      <c r="DP5" s="18">
        <f>DO5*VLOOKUP('Données projet'!$B$14,Paramètres!$A$1:$I$89,3,0)*VLOOKUP('Données projet'!$B$14,Paramètres!$A$1:$I$89,5,0)</f>
        <v>2.3695683255393307</v>
      </c>
      <c r="DQ5" s="14">
        <f t="shared" ref="DQ5:DQ68" si="43">EXP(-1.0587+0.8836*LN(DP5)+0.284)</f>
        <v>0.98766531345558739</v>
      </c>
      <c r="DR5" s="22">
        <f t="shared" si="16"/>
        <v>5.847181921249482</v>
      </c>
      <c r="DS5" s="62">
        <f t="shared" si="17"/>
        <v>264.95829303236064</v>
      </c>
      <c r="DT5" s="62">
        <f ca="1">AVERAGE(OFFSET($DS$3,0,0,'Données projet'!$E$14+1,1))-AVERAGE(OFFSET($H$3,0,0,'Données projet'!$E$14+1,1))</f>
        <v>431.38469096974364</v>
      </c>
      <c r="DU5" s="62">
        <f t="shared" ref="DU5:DU68" si="44">$DU$3</f>
        <v>295.48627059086647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1.05</v>
      </c>
      <c r="EJ5" s="13">
        <f>IF('Données projet'!$A$192&gt;35,EJ4+EI5-ER4,IF(A5&lt;'Données projet'!$A$192,$EG$205^A5,IF(A5='Données projet'!$A$192,'Données projet'!$B$192,EJ4+EI5-ER4)))</f>
        <v>1.3558821066938469</v>
      </c>
      <c r="EK5" s="18">
        <f>EJ5*VLOOKUP('Données projet'!$B$15,Paramètres!$A$1:$I$89,3,0)*VLOOKUP('Données projet'!$B$15,Paramètres!$A$1:$I$89,5,0)</f>
        <v>1.5440785431029529</v>
      </c>
      <c r="EL5" s="14">
        <f t="shared" ref="EL5:EL68" si="45">EXP(-1.0587+0.8836*LN(EK5)+0.284)</f>
        <v>0.67648837207615931</v>
      </c>
      <c r="EM5" s="22">
        <f t="shared" si="19"/>
        <v>3.8674873772702867</v>
      </c>
      <c r="EN5" s="62">
        <f t="shared" si="20"/>
        <v>262.97859848838141</v>
      </c>
      <c r="EO5" s="62">
        <f ca="1">AVERAGE(OFFSET($EN$3,0,0,'Données projet'!$E$15+1,1))-AVERAGE(OFFSET($H$3,0,0,'Données projet'!$E$15+1,1))</f>
        <v>220.03635832253951</v>
      </c>
      <c r="EP5" s="62">
        <f t="shared" ref="EP5:EP68" si="46">$EP$3</f>
        <v>136.30639155882233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3.1333333333333333</v>
      </c>
      <c r="FE5" s="13">
        <f>IF('Données projet'!$A$218&gt;35,FE4+FD5-FM4,IF(A5&lt;'Données projet'!$A$218,$FB$205^A5,IF(A5='Données projet'!$A$218,'Données projet'!$B$218,FE4+FD5-FM4)))</f>
        <v>1.6708843105622353</v>
      </c>
      <c r="FF5" s="18">
        <f>FE5*VLOOKUP('Données projet'!$B$16,Paramètres!$A$1:$I$89,3,0)*VLOOKUP('Données projet'!$B$16,Paramètres!$A$1:$I$89,5,0)</f>
        <v>1.7464082813996484</v>
      </c>
      <c r="FG5" s="14">
        <f t="shared" ref="FG5:FG68" si="47">EXP(-1.0587+0.8836*LN(FF5)+0.284)</f>
        <v>0.75424437146594769</v>
      </c>
      <c r="FH5" s="22">
        <f t="shared" si="22"/>
        <v>4.3553033704075794</v>
      </c>
      <c r="FI5" s="62">
        <f t="shared" si="23"/>
        <v>263.46641448151871</v>
      </c>
      <c r="FJ5" s="62">
        <f ca="1">AVERAGE(OFFSET($FI$3,0,0,'Données projet'!$E$16+1,1))-AVERAGE(OFFSET($H$3,0,0,'Données projet'!$E$16+1,1))</f>
        <v>641.62708445664862</v>
      </c>
      <c r="FK5" s="62">
        <f t="shared" ref="FK5:FK68" si="48">$FK$3</f>
        <v>379.46845863546929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1.05</v>
      </c>
      <c r="FZ5" s="13">
        <f>IF('Données projet'!$A$244&gt;35,FZ4+FY5-GH4,IF(A5&lt;'Données projet'!$A$244,$FW$205^A5,IF(A5='Données projet'!$A$244,'Données projet'!$B$244,FZ4+FY5-GH4)))</f>
        <v>1.3558821066938469</v>
      </c>
      <c r="GA5" s="18">
        <f>FZ5*VLOOKUP('Données projet'!$B$17,Paramètres!$A$1:$I$89,3,0)*VLOOKUP('Données projet'!$B$17,Paramètres!$A$1:$I$89,5,0)</f>
        <v>1.3114091735942888</v>
      </c>
      <c r="GB5" s="14">
        <f t="shared" ref="GB5:GB68" si="49">EXP(-1.0587+0.8836*LN(GA5)+0.284)</f>
        <v>0.58557908091788968</v>
      </c>
      <c r="GC5" s="22">
        <f t="shared" si="25"/>
        <v>3.3039212099420436</v>
      </c>
      <c r="GD5" s="62">
        <f t="shared" si="26"/>
        <v>262.41503232105316</v>
      </c>
      <c r="GE5" s="62">
        <f ca="1">AVERAGE(OFFSET($GD$3,0,0,'Données projet'!$E$17+1,1))-AVERAGE(OFFSET($H$3,0,0,'Données projet'!$E$17+1,1))</f>
        <v>181.39066880931728</v>
      </c>
      <c r="GF5" s="62">
        <f t="shared" ref="GF5:GF68" si="50">$GF$3</f>
        <v>116.06078566855524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0.9</v>
      </c>
      <c r="GU5" s="13">
        <f>IF('Données projet'!$A$270&gt;35,GU4+GT5-HC4,IF(A5&lt;'Données projet'!$A$270,$GR$205^A5,IF(A5='Données projet'!$A$270,'Données projet'!$B$270,GU4+GT5-HC4)))</f>
        <v>1.335141362540313</v>
      </c>
      <c r="GV5" s="18">
        <f>GU5*VLOOKUP('Données projet'!$B$18,Paramètres!$A$1:$I$89,3,0)*VLOOKUP('Données projet'!$B$18,Paramètres!$A$1:$I$89,5,0)</f>
        <v>1.1663794943152175</v>
      </c>
      <c r="GW5" s="14">
        <f t="shared" ref="GW5:GW68" si="51">EXP(-1.0587+0.8836*LN(GV5)+0.284)</f>
        <v>0.52797307958445927</v>
      </c>
      <c r="GX5" s="22">
        <f t="shared" si="28"/>
        <v>2.9509973995419365</v>
      </c>
      <c r="GY5" s="62">
        <f t="shared" si="29"/>
        <v>262.0621085106531</v>
      </c>
      <c r="GZ5" s="62">
        <f ca="1">AVERAGE(OFFSET($GY$3,0,0,'Données projet'!$E$18+1,1))-AVERAGE(OFFSET($H$3,0,0,'Données projet'!$E$18+1,1))</f>
        <v>152.84277478695606</v>
      </c>
      <c r="HA5" s="62">
        <f t="shared" ref="HA5:HA68" si="52">$HA$3</f>
        <v>179.22995976651015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9">
        <f t="shared" si="1"/>
        <v>260.7608398448956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2">
        <f t="shared" si="0"/>
        <v>264.76063455825545</v>
      </c>
      <c r="S6" s="62">
        <f ca="1">AVERAGE(OFFSET($R$3,0,0,'Données projet'!$E$9+1,1))-AVERAGE(OFFSET($H$3,0,0,'Données projet'!$E$9+1,1))</f>
        <v>383.26814640166805</v>
      </c>
      <c r="T6" s="62">
        <f t="shared" si="34"/>
        <v>233.71216103405249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1.05</v>
      </c>
      <c r="AI6" s="14">
        <f>IF('Données projet'!$A$62&gt;35,AI5+AH6-AQ5,IF(A6&lt;'Données projet'!$A$62,$AF$205^A6,IF(A6='Données projet'!$A$62,'Données projet'!$B$62,AI5+AH6-AQ5)))</f>
        <v>1.5788209995247278</v>
      </c>
      <c r="AJ6" s="14">
        <f>AI6*VLOOKUP('Données projet'!$B$10,Paramètres!$A$1:$I$89,3,0)*VLOOKUP('Données projet'!$B$10,Paramètres!$A$1:$I$89,5,0)</f>
        <v>1.6994429238884168</v>
      </c>
      <c r="AK6" s="14">
        <f t="shared" si="35"/>
        <v>0.73629349208879868</v>
      </c>
      <c r="AL6" s="22">
        <f t="shared" si="4"/>
        <v>4.2422409244936503</v>
      </c>
      <c r="AM6" s="62">
        <f t="shared" si="5"/>
        <v>264.57557425782699</v>
      </c>
      <c r="AN6" s="62">
        <f ca="1">AVERAGE(OFFSET($AM$3,0,0,'Données projet'!$E$10+1,1))-AVERAGE(OFFSET($H$3,0,0,'Données projet'!$E$10+1,1))</f>
        <v>205.99910063756408</v>
      </c>
      <c r="AO6" s="62">
        <f t="shared" si="36"/>
        <v>128.95330275493671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7.4312217194570129</v>
      </c>
      <c r="BD6" s="13">
        <f>IF('Données projet'!$A$88&gt;35,BD5+BC6-BL5,IF(A6&lt;'Données projet'!$A$88,$BA$205^A6,IF(A6='Données projet'!$A$88,'Données projet'!$B$88,BD5+BC6-BL5)))</f>
        <v>2.3488460575455909</v>
      </c>
      <c r="BE6" s="14">
        <f>BD6*VLOOKUP('Données projet'!$B$11,Paramètres!$A$1:$I$89,3,0)*VLOOKUP('Données projet'!$B$11,Paramètres!$A$1:$I$89,5,0)</f>
        <v>1.4046099424122636</v>
      </c>
      <c r="BF6" s="14">
        <f t="shared" si="37"/>
        <v>0.62220330714804695</v>
      </c>
      <c r="BG6" s="22">
        <f t="shared" si="7"/>
        <v>3.5300330763175403</v>
      </c>
      <c r="BH6" s="62">
        <f t="shared" si="8"/>
        <v>263.86336640965084</v>
      </c>
      <c r="BI6" s="62">
        <f ca="1">AVERAGE(OFFSET($BH$3,0,0,'Données projet'!$E$11+1,1))-AVERAGE(OFFSET($H$3,0,0,'Données projet'!$E$11+1,1))</f>
        <v>222.20580087523689</v>
      </c>
      <c r="BJ6" s="62">
        <f t="shared" si="38"/>
        <v>232.08940427392253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3.4425641025641025</v>
      </c>
      <c r="BY6" s="13">
        <f>IF('Données projet'!$A$114&gt;35,BY5+BX6-CG5,IF(A6&lt;'Données projet'!$A$114,$BV$205^A6,IF(A6='Données projet'!$A$114,'Données projet'!$B$114,BY5+BX6-CG5)))</f>
        <v>1.590011732927042</v>
      </c>
      <c r="BZ6" s="14">
        <f>BY6*VLOOKUP('Données projet'!$B$12,Paramètres!$A$1:$I$89,3,0)*VLOOKUP('Données projet'!$B$12,Paramètres!$A$1:$I$89,5,0)</f>
        <v>0.7441254910098557</v>
      </c>
      <c r="CA6" s="14">
        <f t="shared" si="39"/>
        <v>0.35492666750402163</v>
      </c>
      <c r="CB6" s="22">
        <f t="shared" si="10"/>
        <v>1.9141825094116696</v>
      </c>
      <c r="CC6" s="62">
        <f t="shared" si="11"/>
        <v>262.24751584274497</v>
      </c>
      <c r="CD6" s="62">
        <f ca="1">AVERAGE(OFFSET($CC$3,0,0,'Données projet'!$E$12+1,1))-AVERAGE(OFFSET($H$3,0,0,'Données projet'!$E$12+1,1))</f>
        <v>179.14256291235466</v>
      </c>
      <c r="CE6" s="62">
        <f t="shared" si="40"/>
        <v>107.5256983607585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5.9083916083916082</v>
      </c>
      <c r="CT6" s="13">
        <f>IF('Données projet'!$A$140&gt;35,CT5+CS6-DB5,IF(A6&lt;'Données projet'!$A$140,$CQ$205^A6,IF(A6='Données projet'!$A$140,'Données projet'!$B$140,CT5+CS6-DB5)))</f>
        <v>1.9420392079325903</v>
      </c>
      <c r="CU6" s="18">
        <f>CT6*VLOOKUP('Données projet'!$B$13,Paramètres!$A$1:$I$89,3,0)*VLOOKUP('Données projet'!$B$13,Paramètres!$A$1:$I$89,5,0)</f>
        <v>1.1613394463436892</v>
      </c>
      <c r="CV6" s="14">
        <f t="shared" si="41"/>
        <v>0.52595670291925423</v>
      </c>
      <c r="CW6" s="22">
        <f t="shared" si="13"/>
        <v>2.938707459966293</v>
      </c>
      <c r="CX6" s="62">
        <f t="shared" si="14"/>
        <v>263.2720407932996</v>
      </c>
      <c r="CY6" s="62">
        <f ca="1">AVERAGE(OFFSET($CX$3,0,0,'Données projet'!$E$13+1,1))-AVERAGE(OFFSET($H$3,0,0,'Données projet'!$E$13+1,1))</f>
        <v>237.03649693529445</v>
      </c>
      <c r="CZ6" s="62">
        <f t="shared" si="42"/>
        <v>191.04289411674887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3.6819999999999999</v>
      </c>
      <c r="DO6" s="13">
        <f>IF('Données projet'!$A$166&gt;35,DO5+DN6-DW5,IF(A6&lt;'Données projet'!$A$166,$DL$205^A6,IF(A6='Données projet'!$A$166,'Données projet'!$B$166,DO5+DN6-DW5)))</f>
        <v>2.9500211881258567</v>
      </c>
      <c r="DP6" s="18">
        <f>DO6*VLOOKUP('Données projet'!$B$14,Paramètres!$A$1:$I$89,3,0)*VLOOKUP('Données projet'!$B$14,Paramètres!$A$1:$I$89,5,0)</f>
        <v>3.3984244087209867</v>
      </c>
      <c r="DQ6" s="14">
        <f t="shared" si="43"/>
        <v>1.358278933285028</v>
      </c>
      <c r="DR6" s="22">
        <f t="shared" si="16"/>
        <v>8.2845916539938074</v>
      </c>
      <c r="DS6" s="62">
        <f t="shared" si="17"/>
        <v>268.61792498732711</v>
      </c>
      <c r="DT6" s="62">
        <f ca="1">AVERAGE(OFFSET($DS$3,0,0,'Données projet'!$E$14+1,1))-AVERAGE(OFFSET($H$3,0,0,'Données projet'!$E$14+1,1))</f>
        <v>431.38469096974364</v>
      </c>
      <c r="DU6" s="62">
        <f t="shared" si="44"/>
        <v>295.48627059086647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1.05</v>
      </c>
      <c r="EJ6" s="13">
        <f>IF('Données projet'!$A$192&gt;35,EJ5+EI6-ER5,IF(A6&lt;'Données projet'!$A$192,$EG$205^A6,IF(A6='Données projet'!$A$192,'Données projet'!$B$192,EJ5+EI6-ER5)))</f>
        <v>1.5788209995247278</v>
      </c>
      <c r="EK6" s="18">
        <f>EJ6*VLOOKUP('Données projet'!$B$15,Paramètres!$A$1:$I$89,3,0)*VLOOKUP('Données projet'!$B$15,Paramètres!$A$1:$I$89,5,0)</f>
        <v>1.79796135425876</v>
      </c>
      <c r="EL6" s="14">
        <f t="shared" si="45"/>
        <v>0.77388420805666047</v>
      </c>
      <c r="EM6" s="22">
        <f t="shared" si="19"/>
        <v>4.4792976876993569</v>
      </c>
      <c r="EN6" s="62">
        <f t="shared" si="20"/>
        <v>264.81263102103264</v>
      </c>
      <c r="EO6" s="62">
        <f ca="1">AVERAGE(OFFSET($EN$3,0,0,'Données projet'!$E$15+1,1))-AVERAGE(OFFSET($H$3,0,0,'Données projet'!$E$15+1,1))</f>
        <v>220.03635832253951</v>
      </c>
      <c r="EP6" s="62">
        <f t="shared" si="46"/>
        <v>136.30639155882233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3.1333333333333333</v>
      </c>
      <c r="FE6" s="13">
        <f>IF('Données projet'!$A$218&gt;35,FE5+FD6-FM5,IF(A6&lt;'Données projet'!$A$218,$FB$205^A6,IF(A6='Données projet'!$A$218,'Données projet'!$B$218,FE5+FD6-FM5)))</f>
        <v>2.1598300117644662</v>
      </c>
      <c r="FF6" s="18">
        <f>FE6*VLOOKUP('Données projet'!$B$16,Paramètres!$A$1:$I$89,3,0)*VLOOKUP('Données projet'!$B$16,Paramètres!$A$1:$I$89,5,0)</f>
        <v>2.2574543282962201</v>
      </c>
      <c r="FG6" s="14">
        <f t="shared" si="47"/>
        <v>0.94625849000700923</v>
      </c>
      <c r="FH6" s="22">
        <f t="shared" si="22"/>
        <v>5.5797998252114569</v>
      </c>
      <c r="FI6" s="62">
        <f t="shared" si="23"/>
        <v>265.91313315854478</v>
      </c>
      <c r="FJ6" s="62">
        <f ca="1">AVERAGE(OFFSET($FI$3,0,0,'Données projet'!$E$16+1,1))-AVERAGE(OFFSET($H$3,0,0,'Données projet'!$E$16+1,1))</f>
        <v>641.62708445664862</v>
      </c>
      <c r="FK6" s="62">
        <f t="shared" si="48"/>
        <v>379.46845863546929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1.05</v>
      </c>
      <c r="FZ6" s="13">
        <f>IF('Données projet'!$A$244&gt;35,FZ5+FY6-GH5,IF(A6&lt;'Données projet'!$A$244,$FW$205^A6,IF(A6='Données projet'!$A$244,'Données projet'!$B$244,FZ5+FY6-GH5)))</f>
        <v>1.5788209995247278</v>
      </c>
      <c r="GA6" s="18">
        <f>FZ6*VLOOKUP('Données projet'!$B$17,Paramètres!$A$1:$I$89,3,0)*VLOOKUP('Données projet'!$B$17,Paramètres!$A$1:$I$89,5,0)</f>
        <v>1.5270356707403168</v>
      </c>
      <c r="GB6" s="14">
        <f t="shared" si="49"/>
        <v>0.66988646367992577</v>
      </c>
      <c r="GC6" s="22">
        <f t="shared" si="25"/>
        <v>3.8263060507819229</v>
      </c>
      <c r="GD6" s="62">
        <f t="shared" si="26"/>
        <v>264.15963938411522</v>
      </c>
      <c r="GE6" s="62">
        <f ca="1">AVERAGE(OFFSET($GD$3,0,0,'Données projet'!$E$17+1,1))-AVERAGE(OFFSET($H$3,0,0,'Données projet'!$E$17+1,1))</f>
        <v>181.39066880931728</v>
      </c>
      <c r="GF6" s="62">
        <f t="shared" si="50"/>
        <v>116.06078566855524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0.9</v>
      </c>
      <c r="GU6" s="13">
        <f>IF('Données projet'!$A$270&gt;35,GU5+GT6-HC5,IF(A6&lt;'Données projet'!$A$270,$GR$205^A6,IF(A6='Données projet'!$A$270,'Données projet'!$B$270,GU5+GT6-HC5)))</f>
        <v>1.5427333776762726</v>
      </c>
      <c r="GV6" s="18">
        <f>GU6*VLOOKUP('Données projet'!$B$18,Paramètres!$A$1:$I$89,3,0)*VLOOKUP('Données projet'!$B$18,Paramètres!$A$1:$I$89,5,0)</f>
        <v>1.3477318787379919</v>
      </c>
      <c r="GW6" s="14">
        <f t="shared" si="51"/>
        <v>0.59988737006377257</v>
      </c>
      <c r="GX6" s="22">
        <f t="shared" si="28"/>
        <v>3.3921035249964064</v>
      </c>
      <c r="GY6" s="62">
        <f t="shared" si="29"/>
        <v>263.72543685832972</v>
      </c>
      <c r="GZ6" s="62">
        <f ca="1">AVERAGE(OFFSET($GY$3,0,0,'Données projet'!$E$18+1,1))-AVERAGE(OFFSET($H$3,0,0,'Données projet'!$E$18+1,1))</f>
        <v>152.84277478695606</v>
      </c>
      <c r="HA6" s="62">
        <f t="shared" si="52"/>
        <v>179.22995976651015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9">
        <f t="shared" si="1"/>
        <v>262.07105900009446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2">
        <f t="shared" si="0"/>
        <v>266.8580173405054</v>
      </c>
      <c r="S7" s="62">
        <f ca="1">AVERAGE(OFFSET($R$3,0,0,'Données projet'!$E$9+1,1))-AVERAGE(OFFSET($H$3,0,0,'Données projet'!$E$9+1,1))</f>
        <v>383.26814640166805</v>
      </c>
      <c r="T7" s="62">
        <f t="shared" si="34"/>
        <v>233.71216103405249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1.05</v>
      </c>
      <c r="AI7" s="14">
        <f>IF('Données projet'!$A$62&gt;35,AI6+AH7-AQ6,IF(A7&lt;'Données projet'!$A$62,$AF$205^A7,IF(A7='Données projet'!$A$62,'Données projet'!$B$62,AI6+AH7-AQ6)))</f>
        <v>1.8384162872525445</v>
      </c>
      <c r="AJ7" s="14">
        <f>AI7*VLOOKUP('Données projet'!$B$10,Paramètres!$A$1:$I$89,3,0)*VLOOKUP('Données projet'!$B$10,Paramètres!$A$1:$I$89,5,0)</f>
        <v>1.9788712915986386</v>
      </c>
      <c r="AK7" s="14">
        <f t="shared" si="35"/>
        <v>0.84229963077364478</v>
      </c>
      <c r="AL7" s="22">
        <f t="shared" si="4"/>
        <v>4.9135393564650593</v>
      </c>
      <c r="AM7" s="62">
        <f t="shared" si="5"/>
        <v>266.46909491202058</v>
      </c>
      <c r="AN7" s="62">
        <f ca="1">AVERAGE(OFFSET($AM$3,0,0,'Données projet'!$E$10+1,1))-AVERAGE(OFFSET($H$3,0,0,'Données projet'!$E$10+1,1))</f>
        <v>205.99910063756408</v>
      </c>
      <c r="AO7" s="62">
        <f t="shared" si="36"/>
        <v>128.95330275493671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7.4312217194570129</v>
      </c>
      <c r="BD7" s="13">
        <f>IF('Données projet'!$A$88&gt;35,BD6+BC7-BL6,IF(A7&lt;'Données projet'!$A$88,$BA$205^A7,IF(A7='Données projet'!$A$88,'Données projet'!$B$88,BD6+BC7-BL6)))</f>
        <v>3.1222864114491768</v>
      </c>
      <c r="BE7" s="14">
        <f>BD7*VLOOKUP('Données projet'!$B$11,Paramètres!$A$1:$I$89,3,0)*VLOOKUP('Données projet'!$B$11,Paramètres!$A$1:$I$89,5,0)</f>
        <v>1.8671272740466078</v>
      </c>
      <c r="BF7" s="14">
        <f t="shared" si="37"/>
        <v>0.80013145376589556</v>
      </c>
      <c r="BG7" s="22">
        <f t="shared" si="7"/>
        <v>4.6454756176067766</v>
      </c>
      <c r="BH7" s="62">
        <f t="shared" si="8"/>
        <v>266.20103117316233</v>
      </c>
      <c r="BI7" s="62">
        <f ca="1">AVERAGE(OFFSET($BH$3,0,0,'Données projet'!$E$11+1,1))-AVERAGE(OFFSET($H$3,0,0,'Données projet'!$E$11+1,1))</f>
        <v>222.20580087523689</v>
      </c>
      <c r="BJ7" s="62">
        <f t="shared" si="38"/>
        <v>232.08940427392253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3.4425641025641025</v>
      </c>
      <c r="BY7" s="13">
        <f>IF('Données projet'!$A$114&gt;35,BY6+BX7-CG6,IF(A7&lt;'Données projet'!$A$114,$BV$205^A7,IF(A7='Données projet'!$A$114,'Données projet'!$B$114,BY6+BX7-CG6)))</f>
        <v>1.8558111173927514</v>
      </c>
      <c r="BZ7" s="14">
        <f>BY7*VLOOKUP('Données projet'!$B$12,Paramètres!$A$1:$I$89,3,0)*VLOOKUP('Données projet'!$B$12,Paramètres!$A$1:$I$89,5,0)</f>
        <v>0.86851960293980757</v>
      </c>
      <c r="CA7" s="14">
        <f t="shared" si="39"/>
        <v>0.40687194183965542</v>
      </c>
      <c r="CB7" s="22">
        <f t="shared" si="10"/>
        <v>2.2213069404908978</v>
      </c>
      <c r="CC7" s="62">
        <f t="shared" si="11"/>
        <v>263.77686249604642</v>
      </c>
      <c r="CD7" s="62">
        <f ca="1">AVERAGE(OFFSET($CC$3,0,0,'Données projet'!$E$12+1,1))-AVERAGE(OFFSET($H$3,0,0,'Données projet'!$E$12+1,1))</f>
        <v>179.14256291235466</v>
      </c>
      <c r="CE7" s="62">
        <f t="shared" si="40"/>
        <v>107.5256983607585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5.9083916083916082</v>
      </c>
      <c r="CT7" s="13">
        <f>IF('Données projet'!$A$140&gt;35,CT6+CS7-DB6,IF(A7&lt;'Données projet'!$A$140,$CQ$205^A7,IF(A7='Données projet'!$A$140,'Données projet'!$B$140,CT6+CS7-DB6)))</f>
        <v>2.4229474303552379</v>
      </c>
      <c r="CU7" s="18">
        <f>CT7*VLOOKUP('Données projet'!$B$13,Paramètres!$A$1:$I$89,3,0)*VLOOKUP('Données projet'!$B$13,Paramètres!$A$1:$I$89,5,0)</f>
        <v>1.4489225633524323</v>
      </c>
      <c r="CV7" s="14">
        <f t="shared" si="41"/>
        <v>0.63951624655701411</v>
      </c>
      <c r="CW7" s="22">
        <f t="shared" si="13"/>
        <v>3.6373642605922853</v>
      </c>
      <c r="CX7" s="62">
        <f t="shared" si="14"/>
        <v>265.19291981614782</v>
      </c>
      <c r="CY7" s="62">
        <f ca="1">AVERAGE(OFFSET($CX$3,0,0,'Données projet'!$E$13+1,1))-AVERAGE(OFFSET($H$3,0,0,'Données projet'!$E$13+1,1))</f>
        <v>237.03649693529445</v>
      </c>
      <c r="CZ7" s="62">
        <f t="shared" si="42"/>
        <v>191.04289411674887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3.6819999999999999</v>
      </c>
      <c r="DO7" s="13">
        <f>IF('Données projet'!$A$166&gt;35,DO6+DN7-DW6,IF(A7&lt;'Données projet'!$A$166,$DL$205^A7,IF(A7='Données projet'!$A$166,'Données projet'!$B$166,DO6+DN7-DW6)))</f>
        <v>4.2309073361238223</v>
      </c>
      <c r="DP7" s="18">
        <f>DO7*VLOOKUP('Données projet'!$B$14,Paramètres!$A$1:$I$89,3,0)*VLOOKUP('Données projet'!$B$14,Paramètres!$A$1:$I$89,5,0)</f>
        <v>4.8740052512146423</v>
      </c>
      <c r="DQ7" s="14">
        <f t="shared" si="43"/>
        <v>1.8679623911778438</v>
      </c>
      <c r="DR7" s="22">
        <f t="shared" si="16"/>
        <v>11.742260310500248</v>
      </c>
      <c r="DS7" s="62">
        <f t="shared" si="17"/>
        <v>273.29781586605577</v>
      </c>
      <c r="DT7" s="62">
        <f ca="1">AVERAGE(OFFSET($DS$3,0,0,'Données projet'!$E$14+1,1))-AVERAGE(OFFSET($H$3,0,0,'Données projet'!$E$14+1,1))</f>
        <v>431.38469096974364</v>
      </c>
      <c r="DU7" s="62">
        <f t="shared" si="44"/>
        <v>295.48627059086647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1.05</v>
      </c>
      <c r="EJ7" s="13">
        <f>IF('Données projet'!$A$192&gt;35,EJ6+EI7-ER6,IF(A7&lt;'Données projet'!$A$192,$EG$205^A7,IF(A7='Données projet'!$A$192,'Données projet'!$B$192,EJ6+EI7-ER6)))</f>
        <v>1.8384162872525445</v>
      </c>
      <c r="EK7" s="18">
        <f>EJ7*VLOOKUP('Données projet'!$B$15,Paramètres!$A$1:$I$89,3,0)*VLOOKUP('Données projet'!$B$15,Paramètres!$A$1:$I$89,5,0)</f>
        <v>2.0935884679231975</v>
      </c>
      <c r="EL7" s="14">
        <f t="shared" si="45"/>
        <v>0.88530238242152759</v>
      </c>
      <c r="EM7" s="22">
        <f t="shared" si="19"/>
        <v>5.1882348976837296</v>
      </c>
      <c r="EN7" s="62">
        <f t="shared" si="20"/>
        <v>266.74379045323928</v>
      </c>
      <c r="EO7" s="62">
        <f ca="1">AVERAGE(OFFSET($EN$3,0,0,'Données projet'!$E$15+1,1))-AVERAGE(OFFSET($H$3,0,0,'Données projet'!$E$15+1,1))</f>
        <v>220.03635832253951</v>
      </c>
      <c r="EP7" s="62">
        <f t="shared" si="46"/>
        <v>136.30639155882233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3.1333333333333333</v>
      </c>
      <c r="FE7" s="13">
        <f>IF('Données projet'!$A$218&gt;35,FE6+FD7-FM6,IF(A7&lt;'Données projet'!$A$218,$FB$205^A7,IF(A7='Données projet'!$A$218,'Données projet'!$B$218,FE6+FD7-FM6)))</f>
        <v>2.7918543792830364</v>
      </c>
      <c r="FF7" s="18">
        <f>FE7*VLOOKUP('Données projet'!$B$16,Paramètres!$A$1:$I$89,3,0)*VLOOKUP('Données projet'!$B$16,Paramètres!$A$1:$I$89,5,0)</f>
        <v>2.9180461972266296</v>
      </c>
      <c r="FG7" s="14">
        <f t="shared" si="47"/>
        <v>1.1871552029881745</v>
      </c>
      <c r="FH7" s="22">
        <f t="shared" si="22"/>
        <v>7.1498924387074512</v>
      </c>
      <c r="FI7" s="62">
        <f t="shared" si="23"/>
        <v>268.70544799426301</v>
      </c>
      <c r="FJ7" s="62">
        <f ca="1">AVERAGE(OFFSET($FI$3,0,0,'Données projet'!$E$16+1,1))-AVERAGE(OFFSET($H$3,0,0,'Données projet'!$E$16+1,1))</f>
        <v>641.62708445664862</v>
      </c>
      <c r="FK7" s="62">
        <f t="shared" si="48"/>
        <v>379.46845863546929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1.05</v>
      </c>
      <c r="FZ7" s="13">
        <f>IF('Données projet'!$A$244&gt;35,FZ6+FY7-GH6,IF(A7&lt;'Données projet'!$A$244,$FW$205^A7,IF(A7='Données projet'!$A$244,'Données projet'!$B$244,FZ6+FY7-GH6)))</f>
        <v>1.8384162872525445</v>
      </c>
      <c r="GA7" s="18">
        <f>FZ7*VLOOKUP('Données projet'!$B$17,Paramètres!$A$1:$I$89,3,0)*VLOOKUP('Données projet'!$B$17,Paramètres!$A$1:$I$89,5,0)</f>
        <v>1.778116233030661</v>
      </c>
      <c r="GB7" s="14">
        <f t="shared" si="49"/>
        <v>0.76633180529295619</v>
      </c>
      <c r="GC7" s="22">
        <f t="shared" si="25"/>
        <v>4.431580333413633</v>
      </c>
      <c r="GD7" s="62">
        <f t="shared" si="26"/>
        <v>265.98713588896919</v>
      </c>
      <c r="GE7" s="62">
        <f ca="1">AVERAGE(OFFSET($GD$3,0,0,'Données projet'!$E$17+1,1))-AVERAGE(OFFSET($H$3,0,0,'Données projet'!$E$17+1,1))</f>
        <v>181.39066880931728</v>
      </c>
      <c r="GF7" s="62">
        <f t="shared" si="50"/>
        <v>116.06078566855524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0.9</v>
      </c>
      <c r="GU7" s="13">
        <f>IF('Données projet'!$A$270&gt;35,GU6+GT7-HC6,IF(A7&lt;'Données projet'!$A$270,$GR$205^A7,IF(A7='Données projet'!$A$270,'Données projet'!$B$270,GU6+GT7-HC6)))</f>
        <v>1.7826024579660036</v>
      </c>
      <c r="GV7" s="18">
        <f>GU7*VLOOKUP('Données projet'!$B$18,Paramètres!$A$1:$I$89,3,0)*VLOOKUP('Données projet'!$B$18,Paramètres!$A$1:$I$89,5,0)</f>
        <v>1.5572815072791011</v>
      </c>
      <c r="GW7" s="14">
        <f t="shared" si="51"/>
        <v>0.68159698037116012</v>
      </c>
      <c r="GX7" s="22">
        <f t="shared" si="28"/>
        <v>3.8993800326575379</v>
      </c>
      <c r="GY7" s="62">
        <f t="shared" si="29"/>
        <v>265.45493558821306</v>
      </c>
      <c r="GZ7" s="62">
        <f ca="1">AVERAGE(OFFSET($GY$3,0,0,'Données projet'!$E$18+1,1))-AVERAGE(OFFSET($H$3,0,0,'Données projet'!$E$18+1,1))</f>
        <v>152.84277478695606</v>
      </c>
      <c r="HA7" s="62">
        <f t="shared" si="52"/>
        <v>179.22995976651015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9">
        <f t="shared" si="1"/>
        <v>263.37085912145096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2">
        <f t="shared" si="0"/>
        <v>269.12902329365244</v>
      </c>
      <c r="S8" s="62">
        <f ca="1">AVERAGE(OFFSET($R$3,0,0,'Données projet'!$E$9+1,1))-AVERAGE(OFFSET($H$3,0,0,'Données projet'!$E$9+1,1))</f>
        <v>383.26814640166805</v>
      </c>
      <c r="T8" s="62">
        <f t="shared" si="34"/>
        <v>233.71216103405249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1.05</v>
      </c>
      <c r="AI8" s="14">
        <f>IF('Données projet'!$A$62&gt;35,AI7+AH8-AQ7,IF(A8&lt;'Données projet'!$A$62,$AF$205^A8,IF(A8='Données projet'!$A$62,'Données projet'!$B$62,AI7+AH8-AQ7)))</f>
        <v>2.1406951429280729</v>
      </c>
      <c r="AJ8" s="14">
        <f>AI8*VLOOKUP('Données projet'!$B$10,Paramètres!$A$1:$I$89,3,0)*VLOOKUP('Données projet'!$B$10,Paramètres!$A$1:$I$89,5,0)</f>
        <v>2.3042442518477775</v>
      </c>
      <c r="AK8" s="14">
        <f t="shared" si="35"/>
        <v>0.96356775609780188</v>
      </c>
      <c r="AL8" s="22">
        <f t="shared" si="4"/>
        <v>5.6914392471718847</v>
      </c>
      <c r="AM8" s="62">
        <f t="shared" si="5"/>
        <v>268.46921702494967</v>
      </c>
      <c r="AN8" s="62">
        <f ca="1">AVERAGE(OFFSET($AM$3,0,0,'Données projet'!$E$10+1,1))-AVERAGE(OFFSET($H$3,0,0,'Données projet'!$E$10+1,1))</f>
        <v>205.99910063756408</v>
      </c>
      <c r="AO8" s="62">
        <f t="shared" si="36"/>
        <v>128.95330275493671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7.4312217194570129</v>
      </c>
      <c r="BD8" s="13">
        <f>IF('Données projet'!$A$88&gt;35,BD7+BC8-BL7,IF(A8&lt;'Données projet'!$A$88,$BA$205^A8,IF(A8='Données projet'!$A$88,'Données projet'!$B$88,BD7+BC8-BL7)))</f>
        <v>4.1504092632222056</v>
      </c>
      <c r="BE8" s="14">
        <f>BD8*VLOOKUP('Données projet'!$B$11,Paramètres!$A$1:$I$89,3,0)*VLOOKUP('Données projet'!$B$11,Paramètres!$A$1:$I$89,5,0)</f>
        <v>2.4819447394068792</v>
      </c>
      <c r="BF8" s="14">
        <f t="shared" si="37"/>
        <v>1.0289407593154982</v>
      </c>
      <c r="BG8" s="22">
        <f t="shared" si="7"/>
        <v>6.1147922436081394</v>
      </c>
      <c r="BH8" s="62">
        <f t="shared" si="8"/>
        <v>268.89257002138589</v>
      </c>
      <c r="BI8" s="62">
        <f ca="1">AVERAGE(OFFSET($BH$3,0,0,'Données projet'!$E$11+1,1))-AVERAGE(OFFSET($H$3,0,0,'Données projet'!$E$11+1,1))</f>
        <v>222.20580087523689</v>
      </c>
      <c r="BJ8" s="62">
        <f t="shared" si="38"/>
        <v>232.08940427392253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3.4425641025641025</v>
      </c>
      <c r="BY8" s="13">
        <f>IF('Données projet'!$A$114&gt;35,BY7+BX8-CG7,IF(A8&lt;'Données projet'!$A$114,$BV$205^A8,IF(A8='Données projet'!$A$114,'Données projet'!$B$114,BY7+BX8-CG7)))</f>
        <v>2.1660437040287945</v>
      </c>
      <c r="BZ8" s="14">
        <f>BY8*VLOOKUP('Données projet'!$B$12,Paramètres!$A$1:$I$89,3,0)*VLOOKUP('Données projet'!$B$12,Paramètres!$A$1:$I$89,5,0)</f>
        <v>1.0137084534854759</v>
      </c>
      <c r="CA8" s="14">
        <f t="shared" si="39"/>
        <v>0.46641966415357117</v>
      </c>
      <c r="CB8" s="22">
        <f t="shared" si="10"/>
        <v>2.5778898048880068</v>
      </c>
      <c r="CC8" s="62">
        <f t="shared" si="11"/>
        <v>265.35566758266577</v>
      </c>
      <c r="CD8" s="62">
        <f ca="1">AVERAGE(OFFSET($CC$3,0,0,'Données projet'!$E$12+1,1))-AVERAGE(OFFSET($H$3,0,0,'Données projet'!$E$12+1,1))</f>
        <v>179.14256291235466</v>
      </c>
      <c r="CE8" s="62">
        <f t="shared" si="40"/>
        <v>107.5256983607585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5.9083916083916082</v>
      </c>
      <c r="CT8" s="13">
        <f>IF('Données projet'!$A$140&gt;35,CT7+CS8-DB7,IF(A8&lt;'Données projet'!$A$140,$CQ$205^A8,IF(A8='Données projet'!$A$140,'Données projet'!$B$140,CT7+CS8-DB7)))</f>
        <v>3.0229432167410835</v>
      </c>
      <c r="CU8" s="18">
        <f>CT8*VLOOKUP('Données projet'!$B$13,Paramètres!$A$1:$I$89,3,0)*VLOOKUP('Données projet'!$B$13,Paramètres!$A$1:$I$89,5,0)</f>
        <v>1.807720043611168</v>
      </c>
      <c r="CV8" s="14">
        <f t="shared" si="41"/>
        <v>0.7775944813334934</v>
      </c>
      <c r="CW8" s="22">
        <f t="shared" si="13"/>
        <v>4.5027561309452855</v>
      </c>
      <c r="CX8" s="62">
        <f t="shared" si="14"/>
        <v>267.28053390872304</v>
      </c>
      <c r="CY8" s="62">
        <f ca="1">AVERAGE(OFFSET($CX$3,0,0,'Données projet'!$E$13+1,1))-AVERAGE(OFFSET($H$3,0,0,'Données projet'!$E$13+1,1))</f>
        <v>237.03649693529445</v>
      </c>
      <c r="CZ8" s="62">
        <f t="shared" si="42"/>
        <v>191.04289411674887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3.6819999999999999</v>
      </c>
      <c r="DO8" s="13">
        <f>IF('Données projet'!$A$166&gt;35,DO7+DN8-DW7,IF(A8&lt;'Données projet'!$A$166,$DL$205^A8,IF(A8='Données projet'!$A$166,'Données projet'!$B$166,DO7+DN8-DW7)))</f>
        <v>6.0679485825112272</v>
      </c>
      <c r="DP8" s="18">
        <f>DO8*VLOOKUP('Données projet'!$B$14,Paramètres!$A$1:$I$89,3,0)*VLOOKUP('Données projet'!$B$14,Paramètres!$A$1:$I$89,5,0)</f>
        <v>6.9902767670529338</v>
      </c>
      <c r="DQ8" s="14">
        <f t="shared" si="43"/>
        <v>2.5689005471180635</v>
      </c>
      <c r="DR8" s="22">
        <f t="shared" si="16"/>
        <v>16.648900488847818</v>
      </c>
      <c r="DS8" s="62">
        <f t="shared" si="17"/>
        <v>279.42667826662557</v>
      </c>
      <c r="DT8" s="62">
        <f ca="1">AVERAGE(OFFSET($DS$3,0,0,'Données projet'!$E$14+1,1))-AVERAGE(OFFSET($H$3,0,0,'Données projet'!$E$14+1,1))</f>
        <v>431.38469096974364</v>
      </c>
      <c r="DU8" s="62">
        <f t="shared" si="44"/>
        <v>295.48627059086647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1.05</v>
      </c>
      <c r="EJ8" s="13">
        <f>IF('Données projet'!$A$192&gt;35,EJ7+EI8-ER7,IF(A8&lt;'Données projet'!$A$192,$EG$205^A8,IF(A8='Données projet'!$A$192,'Données projet'!$B$192,EJ7+EI8-ER7)))</f>
        <v>2.1406951429280729</v>
      </c>
      <c r="EK8" s="18">
        <f>EJ8*VLOOKUP('Données projet'!$B$15,Paramètres!$A$1:$I$89,3,0)*VLOOKUP('Données projet'!$B$15,Paramètres!$A$1:$I$89,5,0)</f>
        <v>2.4378236287664894</v>
      </c>
      <c r="EL8" s="14">
        <f t="shared" si="45"/>
        <v>1.0127617286433233</v>
      </c>
      <c r="EM8" s="22">
        <f t="shared" si="19"/>
        <v>6.0097694974887572</v>
      </c>
      <c r="EN8" s="62">
        <f t="shared" si="20"/>
        <v>268.78754727526655</v>
      </c>
      <c r="EO8" s="62">
        <f ca="1">AVERAGE(OFFSET($EN$3,0,0,'Données projet'!$E$15+1,1))-AVERAGE(OFFSET($H$3,0,0,'Données projet'!$E$15+1,1))</f>
        <v>220.03635832253951</v>
      </c>
      <c r="EP8" s="62">
        <f t="shared" si="46"/>
        <v>136.30639155882233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3.1333333333333333</v>
      </c>
      <c r="FE8" s="13">
        <f>IF('Données projet'!$A$218&gt;35,FE7+FD8-FM7,IF(A8&lt;'Données projet'!$A$218,$FB$205^A8,IF(A8='Données projet'!$A$218,'Données projet'!$B$218,FE7+FD8-FM7)))</f>
        <v>3.6088260801386944</v>
      </c>
      <c r="FF8" s="18">
        <f>FE8*VLOOKUP('Données projet'!$B$16,Paramètres!$A$1:$I$89,3,0)*VLOOKUP('Données projet'!$B$16,Paramètres!$A$1:$I$89,5,0)</f>
        <v>3.7719450189609636</v>
      </c>
      <c r="FG8" s="14">
        <f t="shared" si="47"/>
        <v>1.4893789496900094</v>
      </c>
      <c r="FH8" s="22">
        <f t="shared" si="22"/>
        <v>9.1634725787337761</v>
      </c>
      <c r="FI8" s="62">
        <f t="shared" si="23"/>
        <v>271.94125035651155</v>
      </c>
      <c r="FJ8" s="62">
        <f ca="1">AVERAGE(OFFSET($FI$3,0,0,'Données projet'!$E$16+1,1))-AVERAGE(OFFSET($H$3,0,0,'Données projet'!$E$16+1,1))</f>
        <v>641.62708445664862</v>
      </c>
      <c r="FK8" s="62">
        <f t="shared" si="48"/>
        <v>379.46845863546929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1.05</v>
      </c>
      <c r="FZ8" s="13">
        <f>IF('Données projet'!$A$244&gt;35,FZ7+FY8-GH7,IF(A8&lt;'Données projet'!$A$244,$FW$205^A8,IF(A8='Données projet'!$A$244,'Données projet'!$B$244,FZ7+FY8-GH7)))</f>
        <v>2.1406951429280729</v>
      </c>
      <c r="GA8" s="18">
        <f>FZ8*VLOOKUP('Données projet'!$B$17,Paramètres!$A$1:$I$89,3,0)*VLOOKUP('Données projet'!$B$17,Paramètres!$A$1:$I$89,5,0)</f>
        <v>2.0704803422400322</v>
      </c>
      <c r="GB8" s="14">
        <f t="shared" si="49"/>
        <v>0.87666264008009354</v>
      </c>
      <c r="GC8" s="22">
        <f t="shared" si="25"/>
        <v>5.1329406942075515</v>
      </c>
      <c r="GD8" s="62">
        <f t="shared" si="26"/>
        <v>267.91071847198532</v>
      </c>
      <c r="GE8" s="62">
        <f ca="1">AVERAGE(OFFSET($GD$3,0,0,'Données projet'!$E$17+1,1))-AVERAGE(OFFSET($H$3,0,0,'Données projet'!$E$17+1,1))</f>
        <v>181.39066880931728</v>
      </c>
      <c r="GF8" s="62">
        <f t="shared" si="50"/>
        <v>116.06078566855524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0.9</v>
      </c>
      <c r="GU8" s="13">
        <f>IF('Données projet'!$A$270&gt;35,GU7+GT8-HC7,IF(A8&lt;'Données projet'!$A$270,$GR$205^A8,IF(A8='Données projet'!$A$270,'Données projet'!$B$270,GU7+GT8-HC7)))</f>
        <v>2.0597671439071181</v>
      </c>
      <c r="GV8" s="18">
        <f>GU8*VLOOKUP('Données projet'!$B$18,Paramètres!$A$1:$I$89,3,0)*VLOOKUP('Données projet'!$B$18,Paramètres!$A$1:$I$89,5,0)</f>
        <v>1.7994125769172586</v>
      </c>
      <c r="GW8" s="14">
        <f t="shared" si="51"/>
        <v>0.77443611390200762</v>
      </c>
      <c r="GX8" s="22">
        <f t="shared" si="28"/>
        <v>4.4827864698435551</v>
      </c>
      <c r="GY8" s="62">
        <f t="shared" si="29"/>
        <v>267.26056424762135</v>
      </c>
      <c r="GZ8" s="62">
        <f ca="1">AVERAGE(OFFSET($GY$3,0,0,'Données projet'!$E$18+1,1))-AVERAGE(OFFSET($H$3,0,0,'Données projet'!$E$18+1,1))</f>
        <v>152.84277478695606</v>
      </c>
      <c r="HA8" s="62">
        <f t="shared" si="52"/>
        <v>179.22995976651015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9">
        <f t="shared" si="1"/>
        <v>264.66257488541947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2">
        <f t="shared" si="0"/>
        <v>271.60821456387049</v>
      </c>
      <c r="S9" s="62">
        <f ca="1">AVERAGE(OFFSET($R$3,0,0,'Données projet'!$E$9+1,1))-AVERAGE(OFFSET($H$3,0,0,'Données projet'!$E$9+1,1))</f>
        <v>383.26814640166805</v>
      </c>
      <c r="T9" s="62">
        <f t="shared" si="34"/>
        <v>233.71216103405249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1.05</v>
      </c>
      <c r="AI9" s="14">
        <f>IF('Données projet'!$A$62&gt;35,AI8+AH9-AQ8,IF(A9&lt;'Données projet'!$A$62,$AF$205^A9,IF(A9='Données projet'!$A$62,'Données projet'!$B$62,AI8+AH9-AQ8)))</f>
        <v>2.4926757485402602</v>
      </c>
      <c r="AJ9" s="14">
        <f>AI9*VLOOKUP('Données projet'!$B$10,Paramètres!$A$1:$I$89,3,0)*VLOOKUP('Données projet'!$B$10,Paramètres!$A$1:$I$89,5,0)</f>
        <v>2.6831161757287361</v>
      </c>
      <c r="AK9" s="14">
        <f t="shared" si="35"/>
        <v>1.1022951770008116</v>
      </c>
      <c r="AL9" s="22">
        <f t="shared" si="4"/>
        <v>6.5929247726706288</v>
      </c>
      <c r="AM9" s="62">
        <f t="shared" si="5"/>
        <v>270.59292477267064</v>
      </c>
      <c r="AN9" s="62">
        <f ca="1">AVERAGE(OFFSET($AM$3,0,0,'Données projet'!$E$10+1,1))-AVERAGE(OFFSET($H$3,0,0,'Données projet'!$E$10+1,1))</f>
        <v>205.99910063756408</v>
      </c>
      <c r="AO9" s="62">
        <f t="shared" si="36"/>
        <v>128.95330275493671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7.4312217194570129</v>
      </c>
      <c r="BD9" s="13">
        <f>IF('Données projet'!$A$88&gt;35,BD8+BC9-BL8,IF(A9&lt;'Données projet'!$A$88,$BA$205^A9,IF(A9='Données projet'!$A$88,'Données projet'!$B$88,BD8+BC9-BL8)))</f>
        <v>5.5170778020474653</v>
      </c>
      <c r="BE9" s="14">
        <f>BD9*VLOOKUP('Données projet'!$B$11,Paramètres!$A$1:$I$89,3,0)*VLOOKUP('Données projet'!$B$11,Paramètres!$A$1:$I$89,5,0)</f>
        <v>3.2992125256243843</v>
      </c>
      <c r="BF9" s="14">
        <f t="shared" si="37"/>
        <v>1.3231814362474952</v>
      </c>
      <c r="BG9" s="22">
        <f t="shared" si="7"/>
        <v>8.0506694835935235</v>
      </c>
      <c r="BH9" s="62">
        <f t="shared" si="8"/>
        <v>272.05066948359354</v>
      </c>
      <c r="BI9" s="62">
        <f ca="1">AVERAGE(OFFSET($BH$3,0,0,'Données projet'!$E$11+1,1))-AVERAGE(OFFSET($H$3,0,0,'Données projet'!$E$11+1,1))</f>
        <v>222.20580087523689</v>
      </c>
      <c r="BJ9" s="62">
        <f t="shared" si="38"/>
        <v>232.08940427392253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3.4425641025641025</v>
      </c>
      <c r="BY9" s="13">
        <f>IF('Données projet'!$A$114&gt;35,BY8+BX9-CG8,IF(A9&lt;'Données projet'!$A$114,$BV$205^A9,IF(A9='Données projet'!$A$114,'Données projet'!$B$114,BY8+BX9-CG8)))</f>
        <v>2.5281373108456551</v>
      </c>
      <c r="BZ9" s="14">
        <f>BY9*VLOOKUP('Données projet'!$B$12,Paramètres!$A$1:$I$89,3,0)*VLOOKUP('Données projet'!$B$12,Paramètres!$A$1:$I$89,5,0)</f>
        <v>1.1831682614757666</v>
      </c>
      <c r="CA9" s="14">
        <f t="shared" si="39"/>
        <v>0.53468249033221249</v>
      </c>
      <c r="CB9" s="22">
        <f t="shared" si="10"/>
        <v>2.9919233927322302</v>
      </c>
      <c r="CC9" s="62">
        <f t="shared" si="11"/>
        <v>266.99192339273225</v>
      </c>
      <c r="CD9" s="62">
        <f ca="1">AVERAGE(OFFSET($CC$3,0,0,'Données projet'!$E$12+1,1))-AVERAGE(OFFSET($H$3,0,0,'Données projet'!$E$12+1,1))</f>
        <v>179.14256291235466</v>
      </c>
      <c r="CE9" s="62">
        <f t="shared" si="40"/>
        <v>107.5256983607585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5.9083916083916082</v>
      </c>
      <c r="CT9" s="13">
        <f>IF('Données projet'!$A$140&gt;35,CT8+CS9-DB8,IF(A9&lt;'Données projet'!$A$140,$CQ$205^A9,IF(A9='Données projet'!$A$140,'Données projet'!$B$140,CT8+CS9-DB8)))</f>
        <v>3.7715162851474426</v>
      </c>
      <c r="CU9" s="18">
        <f>CT9*VLOOKUP('Données projet'!$B$13,Paramètres!$A$1:$I$89,3,0)*VLOOKUP('Données projet'!$B$13,Paramètres!$A$1:$I$89,5,0)</f>
        <v>2.255366738518171</v>
      </c>
      <c r="CV9" s="14">
        <f t="shared" si="41"/>
        <v>0.9454852486634967</v>
      </c>
      <c r="CW9" s="22">
        <f t="shared" si="13"/>
        <v>5.5748172110080709</v>
      </c>
      <c r="CX9" s="62">
        <f t="shared" si="14"/>
        <v>269.57481721100805</v>
      </c>
      <c r="CY9" s="62">
        <f ca="1">AVERAGE(OFFSET($CX$3,0,0,'Données projet'!$E$13+1,1))-AVERAGE(OFFSET($H$3,0,0,'Données projet'!$E$13+1,1))</f>
        <v>237.03649693529445</v>
      </c>
      <c r="CZ9" s="62">
        <f t="shared" si="42"/>
        <v>191.04289411674887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3.6819999999999999</v>
      </c>
      <c r="DO9" s="13">
        <f>IF('Données projet'!$A$166&gt;35,DO8+DN9-DW8,IF(A9&lt;'Données projet'!$A$166,$DL$205^A9,IF(A9='Données projet'!$A$166,'Données projet'!$B$166,DO8+DN9-DW8)))</f>
        <v>8.7026250103914915</v>
      </c>
      <c r="DP9" s="18">
        <f>DO9*VLOOKUP('Données projet'!$B$14,Paramètres!$A$1:$I$89,3,0)*VLOOKUP('Données projet'!$B$14,Paramètres!$A$1:$I$89,5,0)</f>
        <v>10.025424011970996</v>
      </c>
      <c r="DQ9" s="14">
        <f t="shared" si="43"/>
        <v>3.5328602182522149</v>
      </c>
      <c r="DR9" s="22">
        <f t="shared" si="16"/>
        <v>23.614011700972089</v>
      </c>
      <c r="DS9" s="62">
        <f t="shared" si="17"/>
        <v>287.61401170097207</v>
      </c>
      <c r="DT9" s="62">
        <f ca="1">AVERAGE(OFFSET($DS$3,0,0,'Données projet'!$E$14+1,1))-AVERAGE(OFFSET($H$3,0,0,'Données projet'!$E$14+1,1))</f>
        <v>431.38469096974364</v>
      </c>
      <c r="DU9" s="62">
        <f t="shared" si="44"/>
        <v>295.48627059086647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1.05</v>
      </c>
      <c r="EJ9" s="13">
        <f>IF('Données projet'!$A$192&gt;35,EJ8+EI9-ER8,IF(A9&lt;'Données projet'!$A$192,$EG$205^A9,IF(A9='Données projet'!$A$192,'Données projet'!$B$192,EJ8+EI9-ER8)))</f>
        <v>2.4926757485402602</v>
      </c>
      <c r="EK9" s="18">
        <f>EJ9*VLOOKUP('Données projet'!$B$15,Paramètres!$A$1:$I$89,3,0)*VLOOKUP('Données projet'!$B$15,Paramètres!$A$1:$I$89,5,0)</f>
        <v>2.8386591424376482</v>
      </c>
      <c r="EL9" s="14">
        <f t="shared" si="45"/>
        <v>1.1585717370364448</v>
      </c>
      <c r="EM9" s="22">
        <f t="shared" si="19"/>
        <v>6.9618437817507113</v>
      </c>
      <c r="EN9" s="62">
        <f t="shared" si="20"/>
        <v>270.9618437817507</v>
      </c>
      <c r="EO9" s="62">
        <f ca="1">AVERAGE(OFFSET($EN$3,0,0,'Données projet'!$E$15+1,1))-AVERAGE(OFFSET($H$3,0,0,'Données projet'!$E$15+1,1))</f>
        <v>220.03635832253951</v>
      </c>
      <c r="EP9" s="62">
        <f t="shared" si="46"/>
        <v>136.30639155882233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3.1333333333333333</v>
      </c>
      <c r="FE9" s="13">
        <f>IF('Données projet'!$A$218&gt;35,FE8+FD9-FM8,IF(A9&lt;'Données projet'!$A$218,$FB$205^A9,IF(A9='Données projet'!$A$218,'Données projet'!$B$218,FE8+FD9-FM8)))</f>
        <v>4.6648656797184938</v>
      </c>
      <c r="FF9" s="18">
        <f>FE9*VLOOKUP('Données projet'!$B$16,Paramètres!$A$1:$I$89,3,0)*VLOOKUP('Données projet'!$B$16,Paramètres!$A$1:$I$89,5,0)</f>
        <v>4.8757176084417697</v>
      </c>
      <c r="FG9" s="14">
        <f t="shared" si="47"/>
        <v>1.868542251422717</v>
      </c>
      <c r="FH9" s="22">
        <f t="shared" si="22"/>
        <v>11.74625258926398</v>
      </c>
      <c r="FI9" s="62">
        <f t="shared" si="23"/>
        <v>275.74625258926397</v>
      </c>
      <c r="FJ9" s="62">
        <f ca="1">AVERAGE(OFFSET($FI$3,0,0,'Données projet'!$E$16+1,1))-AVERAGE(OFFSET($H$3,0,0,'Données projet'!$E$16+1,1))</f>
        <v>641.62708445664862</v>
      </c>
      <c r="FK9" s="62">
        <f t="shared" si="48"/>
        <v>379.46845863546929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1.05</v>
      </c>
      <c r="FZ9" s="13">
        <f>IF('Données projet'!$A$244&gt;35,FZ8+FY9-GH8,IF(A9&lt;'Données projet'!$A$244,$FW$205^A9,IF(A9='Données projet'!$A$244,'Données projet'!$B$244,FZ8+FY9-GH8)))</f>
        <v>2.4926757485402602</v>
      </c>
      <c r="GA9" s="18">
        <f>FZ9*VLOOKUP('Données projet'!$B$17,Paramètres!$A$1:$I$89,3,0)*VLOOKUP('Données projet'!$B$17,Paramètres!$A$1:$I$89,5,0)</f>
        <v>2.41091598398814</v>
      </c>
      <c r="GB9" s="14">
        <f t="shared" si="49"/>
        <v>1.0028780995438396</v>
      </c>
      <c r="GC9" s="22">
        <f t="shared" si="25"/>
        <v>5.945691362151531</v>
      </c>
      <c r="GD9" s="62">
        <f t="shared" si="26"/>
        <v>269.94569136215154</v>
      </c>
      <c r="GE9" s="62">
        <f ca="1">AVERAGE(OFFSET($GD$3,0,0,'Données projet'!$E$17+1,1))-AVERAGE(OFFSET($H$3,0,0,'Données projet'!$E$17+1,1))</f>
        <v>181.39066880931728</v>
      </c>
      <c r="GF9" s="62">
        <f t="shared" si="50"/>
        <v>116.06078566855524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0.9</v>
      </c>
      <c r="GU9" s="13">
        <f>IF('Données projet'!$A$270&gt;35,GU8+GT9-HC8,IF(A9&lt;'Données projet'!$A$270,$GR$205^A9,IF(A9='Données projet'!$A$270,'Données projet'!$B$270,GU8+GT9-HC8)))</f>
        <v>2.3800262745964411</v>
      </c>
      <c r="GV9" s="18">
        <f>GU9*VLOOKUP('Données projet'!$B$18,Paramètres!$A$1:$I$89,3,0)*VLOOKUP('Données projet'!$B$18,Paramètres!$A$1:$I$89,5,0)</f>
        <v>2.0791909534874513</v>
      </c>
      <c r="GW9" s="14">
        <f t="shared" si="51"/>
        <v>0.87992070356451979</v>
      </c>
      <c r="GX9" s="22">
        <f t="shared" si="28"/>
        <v>5.1537861360321822</v>
      </c>
      <c r="GY9" s="62">
        <f t="shared" si="29"/>
        <v>269.15378613603218</v>
      </c>
      <c r="GZ9" s="62">
        <f ca="1">AVERAGE(OFFSET($GY$3,0,0,'Données projet'!$E$18+1,1))-AVERAGE(OFFSET($H$3,0,0,'Données projet'!$E$18+1,1))</f>
        <v>152.84277478695606</v>
      </c>
      <c r="HA9" s="62">
        <f t="shared" si="52"/>
        <v>179.22995976651015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9">
        <f t="shared" si="1"/>
        <v>265.94771136763848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2">
        <f t="shared" si="0"/>
        <v>274.33705514539406</v>
      </c>
      <c r="S10" s="62">
        <f ca="1">AVERAGE(OFFSET($R$3,0,0,'Données projet'!$E$9+1,1))-AVERAGE(OFFSET($H$3,0,0,'Données projet'!$E$9+1,1))</f>
        <v>383.26814640166805</v>
      </c>
      <c r="T10" s="62">
        <f t="shared" si="34"/>
        <v>233.71216103405249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1.05</v>
      </c>
      <c r="AI10" s="14">
        <f>IF('Données projet'!$A$62&gt;35,AI9+AH10-AQ9,IF(A10&lt;'Données projet'!$A$62,$AF$205^A10,IF(A10='Données projet'!$A$62,'Données projet'!$B$62,AI9+AH10-AQ9)))</f>
        <v>2.9025302401826014</v>
      </c>
      <c r="AJ10" s="14">
        <f>AI10*VLOOKUP('Données projet'!$B$10,Paramètres!$A$1:$I$89,3,0)*VLOOKUP('Données projet'!$B$10,Paramètres!$A$1:$I$89,5,0)</f>
        <v>3.1242835505325521</v>
      </c>
      <c r="AK10" s="14">
        <f t="shared" si="35"/>
        <v>1.2609955548532519</v>
      </c>
      <c r="AL10" s="22">
        <f t="shared" si="4"/>
        <v>7.6376944418802752</v>
      </c>
      <c r="AM10" s="62">
        <f t="shared" si="5"/>
        <v>272.85991666410251</v>
      </c>
      <c r="AN10" s="62">
        <f ca="1">AVERAGE(OFFSET($AM$3,0,0,'Données projet'!$E$10+1,1))-AVERAGE(OFFSET($H$3,0,0,'Données projet'!$E$10+1,1))</f>
        <v>205.99910063756408</v>
      </c>
      <c r="AO10" s="62">
        <f t="shared" si="36"/>
        <v>128.95330275493671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7.4312217194570129</v>
      </c>
      <c r="BD10" s="13">
        <f>IF('Données projet'!$A$88&gt;35,BD9+BC10-BL9,IF(A10&lt;'Données projet'!$A$88,$BA$205^A10,IF(A10='Données projet'!$A$88,'Données projet'!$B$88,BD9+BC10-BL9)))</f>
        <v>7.3337701280605696</v>
      </c>
      <c r="BE10" s="14">
        <f>BD10*VLOOKUP('Données projet'!$B$11,Paramètres!$A$1:$I$89,3,0)*VLOOKUP('Données projet'!$B$11,Paramètres!$A$1:$I$89,5,0)</f>
        <v>4.3855945365802205</v>
      </c>
      <c r="BF10" s="14">
        <f t="shared" si="37"/>
        <v>1.7015645433219191</v>
      </c>
      <c r="BG10" s="22">
        <f t="shared" si="7"/>
        <v>10.601802064162893</v>
      </c>
      <c r="BH10" s="62">
        <f t="shared" si="8"/>
        <v>275.82402428638511</v>
      </c>
      <c r="BI10" s="62">
        <f ca="1">AVERAGE(OFFSET($BH$3,0,0,'Données projet'!$E$11+1,1))-AVERAGE(OFFSET($H$3,0,0,'Données projet'!$E$11+1,1))</f>
        <v>222.20580087523689</v>
      </c>
      <c r="BJ10" s="62">
        <f t="shared" si="38"/>
        <v>232.08940427392253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3.4425641025641025</v>
      </c>
      <c r="BY10" s="13">
        <f>IF('Données projet'!$A$114&gt;35,BY9+BX10-CG9,IF(A10&lt;'Données projet'!$A$114,$BV$205^A10,IF(A10='Données projet'!$A$114,'Données projet'!$B$114,BY9+BX10-CG9)))</f>
        <v>2.9507614507509188</v>
      </c>
      <c r="BZ10" s="14">
        <f>BY10*VLOOKUP('Données projet'!$B$12,Paramètres!$A$1:$I$89,3,0)*VLOOKUP('Données projet'!$B$12,Paramètres!$A$1:$I$89,5,0)</f>
        <v>1.38095635895143</v>
      </c>
      <c r="CA10" s="14">
        <f t="shared" si="39"/>
        <v>0.61293591895758326</v>
      </c>
      <c r="CB10" s="22">
        <f t="shared" si="10"/>
        <v>3.472695717358198</v>
      </c>
      <c r="CC10" s="62">
        <f t="shared" si="11"/>
        <v>268.69491793958042</v>
      </c>
      <c r="CD10" s="62">
        <f ca="1">AVERAGE(OFFSET($CC$3,0,0,'Données projet'!$E$12+1,1))-AVERAGE(OFFSET($H$3,0,0,'Données projet'!$E$12+1,1))</f>
        <v>179.14256291235466</v>
      </c>
      <c r="CE10" s="62">
        <f t="shared" si="40"/>
        <v>107.5256983607585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5.9083916083916082</v>
      </c>
      <c r="CT10" s="13">
        <f>IF('Données projet'!$A$140&gt;35,CT9+CS10-DB9,IF(A10&lt;'Données projet'!$A$140,$CQ$205^A10,IF(A10='Données projet'!$A$140,'Données projet'!$B$140,CT9+CS10-DB9)))</f>
        <v>4.7054589085093914</v>
      </c>
      <c r="CU10" s="18">
        <f>CT10*VLOOKUP('Données projet'!$B$13,Paramètres!$A$1:$I$89,3,0)*VLOOKUP('Données projet'!$B$13,Paramètres!$A$1:$I$89,5,0)</f>
        <v>2.8138644272886166</v>
      </c>
      <c r="CV10" s="14">
        <f t="shared" si="41"/>
        <v>1.1496253855959169</v>
      </c>
      <c r="CW10" s="22">
        <f t="shared" si="13"/>
        <v>6.9030780907738958</v>
      </c>
      <c r="CX10" s="62">
        <f t="shared" si="14"/>
        <v>272.1253003129961</v>
      </c>
      <c r="CY10" s="62">
        <f ca="1">AVERAGE(OFFSET($CX$3,0,0,'Données projet'!$E$13+1,1))-AVERAGE(OFFSET($H$3,0,0,'Données projet'!$E$13+1,1))</f>
        <v>237.03649693529445</v>
      </c>
      <c r="CZ10" s="62">
        <f t="shared" si="42"/>
        <v>191.04289411674887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3.6819999999999999</v>
      </c>
      <c r="DO10" s="13">
        <f>IF('Données projet'!$A$166&gt;35,DO9+DN10-DW9,IF(A10&lt;'Données projet'!$A$166,$DL$205^A10,IF(A10='Données projet'!$A$166,'Données projet'!$B$166,DO9+DN10-DW9)))</f>
        <v>12.481266286562402</v>
      </c>
      <c r="DP10" s="18">
        <f>DO10*VLOOKUP('Données projet'!$B$14,Paramètres!$A$1:$I$89,3,0)*VLOOKUP('Données projet'!$B$14,Paramètres!$A$1:$I$89,5,0)</f>
        <v>14.378418762119887</v>
      </c>
      <c r="DQ10" s="14">
        <f t="shared" si="43"/>
        <v>4.8585381538849699</v>
      </c>
      <c r="DR10" s="22">
        <f t="shared" si="16"/>
        <v>33.50436662870846</v>
      </c>
      <c r="DS10" s="62">
        <f t="shared" si="17"/>
        <v>298.72658885093068</v>
      </c>
      <c r="DT10" s="62">
        <f ca="1">AVERAGE(OFFSET($DS$3,0,0,'Données projet'!$E$14+1,1))-AVERAGE(OFFSET($H$3,0,0,'Données projet'!$E$14+1,1))</f>
        <v>431.38469096974364</v>
      </c>
      <c r="DU10" s="62">
        <f t="shared" si="44"/>
        <v>295.48627059086647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1.05</v>
      </c>
      <c r="EJ10" s="13">
        <f>IF('Données projet'!$A$192&gt;35,EJ9+EI10-ER9,IF(A10&lt;'Données projet'!$A$192,$EG$205^A10,IF(A10='Données projet'!$A$192,'Données projet'!$B$192,EJ9+EI10-ER9)))</f>
        <v>2.9025302401826014</v>
      </c>
      <c r="EK10" s="18">
        <f>EJ10*VLOOKUP('Données projet'!$B$15,Paramètres!$A$1:$I$89,3,0)*VLOOKUP('Données projet'!$B$15,Paramètres!$A$1:$I$89,5,0)</f>
        <v>3.3054014375199463</v>
      </c>
      <c r="EL10" s="14">
        <f t="shared" si="45"/>
        <v>1.3253744013981947</v>
      </c>
      <c r="EM10" s="22">
        <f t="shared" si="19"/>
        <v>8.065267919449095</v>
      </c>
      <c r="EN10" s="62">
        <f t="shared" si="20"/>
        <v>273.2874901416713</v>
      </c>
      <c r="EO10" s="62">
        <f ca="1">AVERAGE(OFFSET($EN$3,0,0,'Données projet'!$E$15+1,1))-AVERAGE(OFFSET($H$3,0,0,'Données projet'!$E$15+1,1))</f>
        <v>220.03635832253951</v>
      </c>
      <c r="EP10" s="62">
        <f t="shared" si="46"/>
        <v>136.30639155882233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3.1333333333333333</v>
      </c>
      <c r="FE10" s="13">
        <f>IF('Données projet'!$A$218&gt;35,FE9+FD10-FM9,IF(A10&lt;'Données projet'!$A$218,$FB$205^A10,IF(A10='Données projet'!$A$218,'Données projet'!$B$218,FE9+FD10-FM9)))</f>
        <v>6.0299308768515569</v>
      </c>
      <c r="FF10" s="18">
        <f>FE10*VLOOKUP('Données projet'!$B$16,Paramètres!$A$1:$I$89,3,0)*VLOOKUP('Données projet'!$B$16,Paramètres!$A$1:$I$89,5,0)</f>
        <v>6.3024837524852471</v>
      </c>
      <c r="FG10" s="14">
        <f t="shared" si="47"/>
        <v>2.3442322359118646</v>
      </c>
      <c r="FH10" s="22">
        <f t="shared" si="22"/>
        <v>15.059697013124968</v>
      </c>
      <c r="FI10" s="62">
        <f t="shared" si="23"/>
        <v>280.28191923534717</v>
      </c>
      <c r="FJ10" s="62">
        <f ca="1">AVERAGE(OFFSET($FI$3,0,0,'Données projet'!$E$16+1,1))-AVERAGE(OFFSET($H$3,0,0,'Données projet'!$E$16+1,1))</f>
        <v>641.62708445664862</v>
      </c>
      <c r="FK10" s="62">
        <f t="shared" si="48"/>
        <v>379.46845863546929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1.05</v>
      </c>
      <c r="FZ10" s="13">
        <f>IF('Données projet'!$A$244&gt;35,FZ9+FY10-GH9,IF(A10&lt;'Données projet'!$A$244,$FW$205^A10,IF(A10='Données projet'!$A$244,'Données projet'!$B$244,FZ9+FY10-GH9)))</f>
        <v>2.9025302401826014</v>
      </c>
      <c r="GA10" s="18">
        <f>FZ10*VLOOKUP('Données projet'!$B$17,Paramètres!$A$1:$I$89,3,0)*VLOOKUP('Données projet'!$B$17,Paramètres!$A$1:$I$89,5,0)</f>
        <v>2.8073272483046123</v>
      </c>
      <c r="GB10" s="14">
        <f t="shared" si="49"/>
        <v>1.1472651354833312</v>
      </c>
      <c r="GC10" s="22">
        <f t="shared" si="25"/>
        <v>6.887581735097335</v>
      </c>
      <c r="GD10" s="62">
        <f t="shared" si="26"/>
        <v>272.10980395731957</v>
      </c>
      <c r="GE10" s="62">
        <f ca="1">AVERAGE(OFFSET($GD$3,0,0,'Données projet'!$E$17+1,1))-AVERAGE(OFFSET($H$3,0,0,'Données projet'!$E$17+1,1))</f>
        <v>181.39066880931728</v>
      </c>
      <c r="GF10" s="62">
        <f t="shared" si="50"/>
        <v>116.06078566855524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0.9</v>
      </c>
      <c r="GU10" s="13">
        <f>IF('Données projet'!$A$270&gt;35,GU9+GT10-HC9,IF(A10&lt;'Données projet'!$A$270,$GR$205^A10,IF(A10='Données projet'!$A$270,'Données projet'!$B$270,GU9+GT10-HC9)))</f>
        <v>2.7500803110319185</v>
      </c>
      <c r="GV10" s="18">
        <f>GU10*VLOOKUP('Données projet'!$B$18,Paramètres!$A$1:$I$89,3,0)*VLOOKUP('Données projet'!$B$18,Paramètres!$A$1:$I$89,5,0)</f>
        <v>2.4024701597174842</v>
      </c>
      <c r="GW10" s="14">
        <f t="shared" si="51"/>
        <v>0.9997731648390682</v>
      </c>
      <c r="GX10" s="22">
        <f t="shared" si="28"/>
        <v>5.9255737902693291</v>
      </c>
      <c r="GY10" s="62">
        <f t="shared" si="29"/>
        <v>271.14779601249154</v>
      </c>
      <c r="GZ10" s="62">
        <f ca="1">AVERAGE(OFFSET($GY$3,0,0,'Données projet'!$E$18+1,1))-AVERAGE(OFFSET($H$3,0,0,'Données projet'!$E$18+1,1))</f>
        <v>152.84277478695606</v>
      </c>
      <c r="HA10" s="62">
        <f t="shared" si="52"/>
        <v>179.22995976651015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9">
        <f t="shared" si="1"/>
        <v>267.22731691271065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2">
        <f t="shared" si="0"/>
        <v>277.36529317093459</v>
      </c>
      <c r="S11" s="62">
        <f ca="1">AVERAGE(OFFSET($R$3,0,0,'Données projet'!$E$9+1,1))-AVERAGE(OFFSET($H$3,0,0,'Données projet'!$E$9+1,1))</f>
        <v>383.26814640166805</v>
      </c>
      <c r="T11" s="62">
        <f t="shared" si="34"/>
        <v>233.71216103405249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1.05</v>
      </c>
      <c r="AI11" s="14">
        <f>IF('Données projet'!$A$62&gt;35,AI10+AH11-AQ10,IF(A11&lt;'Données projet'!$A$62,$AF$205^A11,IF(A11='Données projet'!$A$62,'Données projet'!$B$62,AI10+AH11-AQ10)))</f>
        <v>3.3797744452354301</v>
      </c>
      <c r="AJ11" s="14">
        <f>AI11*VLOOKUP('Données projet'!$B$10,Paramètres!$A$1:$I$89,3,0)*VLOOKUP('Données projet'!$B$10,Paramètres!$A$1:$I$89,5,0)</f>
        <v>3.6379892128514166</v>
      </c>
      <c r="AK11" s="14">
        <f t="shared" si="35"/>
        <v>1.4425444495603463</v>
      </c>
      <c r="AL11" s="22">
        <f t="shared" si="4"/>
        <v>8.8485961287004873</v>
      </c>
      <c r="AM11" s="62">
        <f t="shared" si="5"/>
        <v>275.29304057314494</v>
      </c>
      <c r="AN11" s="62">
        <f ca="1">AVERAGE(OFFSET($AM$3,0,0,'Données projet'!$E$10+1,1))-AVERAGE(OFFSET($H$3,0,0,'Données projet'!$E$10+1,1))</f>
        <v>205.99910063756408</v>
      </c>
      <c r="AO11" s="62">
        <f t="shared" si="36"/>
        <v>128.95330275493671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7.4312217194570129</v>
      </c>
      <c r="BD11" s="13">
        <f>IF('Données projet'!$A$88&gt;35,BD10+BC11-BL10,IF(A11&lt;'Données projet'!$A$88,$BA$205^A11,IF(A11='Données projet'!$A$88,'Données projet'!$B$88,BD10+BC11-BL10)))</f>
        <v>9.748672435120179</v>
      </c>
      <c r="BE11" s="14">
        <f>BD11*VLOOKUP('Données projet'!$B$11,Paramètres!$A$1:$I$89,3,0)*VLOOKUP('Données projet'!$B$11,Paramètres!$A$1:$I$89,5,0)</f>
        <v>5.8297061162018684</v>
      </c>
      <c r="BF11" s="14">
        <f t="shared" si="37"/>
        <v>2.1881518405377438</v>
      </c>
      <c r="BG11" s="22">
        <f t="shared" si="7"/>
        <v>13.96443594132149</v>
      </c>
      <c r="BH11" s="62">
        <f t="shared" si="8"/>
        <v>280.40888038576594</v>
      </c>
      <c r="BI11" s="62">
        <f ca="1">AVERAGE(OFFSET($BH$3,0,0,'Données projet'!$E$11+1,1))-AVERAGE(OFFSET($H$3,0,0,'Données projet'!$E$11+1,1))</f>
        <v>222.20580087523689</v>
      </c>
      <c r="BJ11" s="62">
        <f t="shared" si="38"/>
        <v>232.08940427392253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3.4425641025641025</v>
      </c>
      <c r="BY11" s="13">
        <f>IF('Données projet'!$A$114&gt;35,BY10+BX11-CG10,IF(A11&lt;'Données projet'!$A$114,$BV$205^A11,IF(A11='Données projet'!$A$114,'Données projet'!$B$114,BY10+BX11-CG10)))</f>
        <v>3.4440349034385327</v>
      </c>
      <c r="BZ11" s="14">
        <f>BY11*VLOOKUP('Données projet'!$B$12,Paramètres!$A$1:$I$89,3,0)*VLOOKUP('Données projet'!$B$12,Paramètres!$A$1:$I$89,5,0)</f>
        <v>1.6118083348092334</v>
      </c>
      <c r="CA11" s="14">
        <f t="shared" si="39"/>
        <v>0.70264212414165761</v>
      </c>
      <c r="CB11" s="22">
        <f t="shared" si="10"/>
        <v>4.0310012160061346</v>
      </c>
      <c r="CC11" s="62">
        <f t="shared" si="11"/>
        <v>270.47544566045059</v>
      </c>
      <c r="CD11" s="62">
        <f ca="1">AVERAGE(OFFSET($CC$3,0,0,'Données projet'!$E$12+1,1))-AVERAGE(OFFSET($H$3,0,0,'Données projet'!$E$12+1,1))</f>
        <v>179.14256291235466</v>
      </c>
      <c r="CE11" s="62">
        <f t="shared" si="40"/>
        <v>107.5256983607585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5.9083916083916082</v>
      </c>
      <c r="CT11" s="13">
        <f>IF('Données projet'!$A$140&gt;35,CT10+CS11-DB10,IF(A11&lt;'Données projet'!$A$140,$CQ$205^A11,IF(A11='Données projet'!$A$140,'Données projet'!$B$140,CT10+CS11-DB10)))</f>
        <v>5.8706742502650497</v>
      </c>
      <c r="CU11" s="18">
        <f>CT11*VLOOKUP('Données projet'!$B$13,Paramètres!$A$1:$I$89,3,0)*VLOOKUP('Données projet'!$B$13,Paramètres!$A$1:$I$89,5,0)</f>
        <v>3.5106632016584998</v>
      </c>
      <c r="CV11" s="14">
        <f t="shared" si="41"/>
        <v>1.3978415095050716</v>
      </c>
      <c r="CW11" s="22">
        <f t="shared" si="13"/>
        <v>8.5489790386098861</v>
      </c>
      <c r="CX11" s="62">
        <f t="shared" si="14"/>
        <v>274.99342348305436</v>
      </c>
      <c r="CY11" s="62">
        <f ca="1">AVERAGE(OFFSET($CX$3,0,0,'Données projet'!$E$13+1,1))-AVERAGE(OFFSET($H$3,0,0,'Données projet'!$E$13+1,1))</f>
        <v>237.03649693529445</v>
      </c>
      <c r="CZ11" s="62">
        <f t="shared" si="42"/>
        <v>191.04289411674887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3.6819999999999999</v>
      </c>
      <c r="DO11" s="13">
        <f>IF('Données projet'!$A$166&gt;35,DO10+DN11-DW10,IF(A11&lt;'Données projet'!$A$166,$DL$205^A11,IF(A11='Données projet'!$A$166,'Données projet'!$B$166,DO10+DN11-DW10)))</f>
        <v>17.900576886866379</v>
      </c>
      <c r="DP11" s="18">
        <f>DO11*VLOOKUP('Données projet'!$B$14,Paramètres!$A$1:$I$89,3,0)*VLOOKUP('Données projet'!$B$14,Paramètres!$A$1:$I$89,5,0)</f>
        <v>20.621464573670067</v>
      </c>
      <c r="DQ11" s="14">
        <f t="shared" si="43"/>
        <v>6.6816662801434266</v>
      </c>
      <c r="DR11" s="22">
        <f t="shared" si="16"/>
        <v>47.552952903725156</v>
      </c>
      <c r="DS11" s="62">
        <f t="shared" si="17"/>
        <v>313.99739734816961</v>
      </c>
      <c r="DT11" s="62">
        <f ca="1">AVERAGE(OFFSET($DS$3,0,0,'Données projet'!$E$14+1,1))-AVERAGE(OFFSET($H$3,0,0,'Données projet'!$E$14+1,1))</f>
        <v>431.38469096974364</v>
      </c>
      <c r="DU11" s="62">
        <f t="shared" si="44"/>
        <v>295.48627059086647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1.05</v>
      </c>
      <c r="EJ11" s="13">
        <f>IF('Données projet'!$A$192&gt;35,EJ10+EI11-ER10,IF(A11&lt;'Données projet'!$A$192,$EG$205^A11,IF(A11='Données projet'!$A$192,'Données projet'!$B$192,EJ10+EI11-ER10)))</f>
        <v>3.3797744452354301</v>
      </c>
      <c r="EK11" s="18">
        <f>EJ11*VLOOKUP('Données projet'!$B$15,Paramètres!$A$1:$I$89,3,0)*VLOOKUP('Données projet'!$B$15,Paramètres!$A$1:$I$89,5,0)</f>
        <v>3.8488871382341081</v>
      </c>
      <c r="EL11" s="14">
        <f t="shared" si="45"/>
        <v>1.5161920904224209</v>
      </c>
      <c r="EM11" s="22">
        <f t="shared" si="19"/>
        <v>9.3441796565767881</v>
      </c>
      <c r="EN11" s="62">
        <f t="shared" si="20"/>
        <v>275.78862410102124</v>
      </c>
      <c r="EO11" s="62">
        <f ca="1">AVERAGE(OFFSET($EN$3,0,0,'Données projet'!$E$15+1,1))-AVERAGE(OFFSET($H$3,0,0,'Données projet'!$E$15+1,1))</f>
        <v>220.03635832253951</v>
      </c>
      <c r="EP11" s="62">
        <f t="shared" si="46"/>
        <v>136.30639155882233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3.1333333333333333</v>
      </c>
      <c r="FE11" s="13">
        <f>IF('Données projet'!$A$218&gt;35,FE10+FD11-FM10,IF(A11&lt;'Données projet'!$A$218,$FB$205^A11,IF(A11='Données projet'!$A$218,'Données projet'!$B$218,FE10+FD11-FM10)))</f>
        <v>7.7944508751218686</v>
      </c>
      <c r="FF11" s="18">
        <f>FE11*VLOOKUP('Données projet'!$B$16,Paramètres!$A$1:$I$89,3,0)*VLOOKUP('Données projet'!$B$16,Paramètres!$A$1:$I$89,5,0)</f>
        <v>8.1467600546773777</v>
      </c>
      <c r="FG11" s="14">
        <f t="shared" si="47"/>
        <v>2.9410224851507096</v>
      </c>
      <c r="FH11" s="22">
        <f t="shared" si="22"/>
        <v>19.311221256867253</v>
      </c>
      <c r="FI11" s="62">
        <f t="shared" si="23"/>
        <v>285.75566570131173</v>
      </c>
      <c r="FJ11" s="62">
        <f ca="1">AVERAGE(OFFSET($FI$3,0,0,'Données projet'!$E$16+1,1))-AVERAGE(OFFSET($H$3,0,0,'Données projet'!$E$16+1,1))</f>
        <v>641.62708445664862</v>
      </c>
      <c r="FK11" s="62">
        <f t="shared" si="48"/>
        <v>379.46845863546929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1.05</v>
      </c>
      <c r="FZ11" s="13">
        <f>IF('Données projet'!$A$244&gt;35,FZ10+FY11-GH10,IF(A11&lt;'Données projet'!$A$244,$FW$205^A11,IF(A11='Données projet'!$A$244,'Données projet'!$B$244,FZ10+FY11-GH10)))</f>
        <v>3.3797744452354301</v>
      </c>
      <c r="GA11" s="18">
        <f>FZ11*VLOOKUP('Données projet'!$B$17,Paramètres!$A$1:$I$89,3,0)*VLOOKUP('Données projet'!$B$17,Paramètres!$A$1:$I$89,5,0)</f>
        <v>3.2689178434317077</v>
      </c>
      <c r="GB11" s="14">
        <f t="shared" si="49"/>
        <v>1.3124399582504287</v>
      </c>
      <c r="GC11" s="22">
        <f t="shared" si="25"/>
        <v>7.9791981712630529</v>
      </c>
      <c r="GD11" s="62">
        <f t="shared" si="26"/>
        <v>274.42364261570754</v>
      </c>
      <c r="GE11" s="62">
        <f ca="1">AVERAGE(OFFSET($GD$3,0,0,'Données projet'!$E$17+1,1))-AVERAGE(OFFSET($H$3,0,0,'Données projet'!$E$17+1,1))</f>
        <v>181.39066880931728</v>
      </c>
      <c r="GF11" s="62">
        <f t="shared" si="50"/>
        <v>116.06078566855524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0.9</v>
      </c>
      <c r="GU11" s="13">
        <f>IF('Données projet'!$A$270&gt;35,GU10+GT11-HC10,IF(A11&lt;'Données projet'!$A$270,$GR$205^A11,IF(A11='Données projet'!$A$270,'Données projet'!$B$270,GU10+GT11-HC10)))</f>
        <v>3.1776715231464374</v>
      </c>
      <c r="GV11" s="18">
        <f>GU11*VLOOKUP('Données projet'!$B$18,Paramètres!$A$1:$I$89,3,0)*VLOOKUP('Données projet'!$B$18,Paramètres!$A$1:$I$89,5,0)</f>
        <v>2.7760138426207281</v>
      </c>
      <c r="GW11" s="14">
        <f t="shared" si="51"/>
        <v>1.135950520408497</v>
      </c>
      <c r="GX11" s="22">
        <f t="shared" si="28"/>
        <v>6.8133379322758998</v>
      </c>
      <c r="GY11" s="62">
        <f t="shared" si="29"/>
        <v>273.25778237672034</v>
      </c>
      <c r="GZ11" s="62">
        <f ca="1">AVERAGE(OFFSET($GY$3,0,0,'Données projet'!$E$18+1,1))-AVERAGE(OFFSET($H$3,0,0,'Données projet'!$E$18+1,1))</f>
        <v>152.84277478695606</v>
      </c>
      <c r="HA11" s="62">
        <f t="shared" si="52"/>
        <v>179.22995976651015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9">
        <f t="shared" si="1"/>
        <v>268.5021620672548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2">
        <f t="shared" si="0"/>
        <v>280.75262079014198</v>
      </c>
      <c r="S12" s="62">
        <f ca="1">AVERAGE(OFFSET($R$3,0,0,'Données projet'!$E$9+1,1))-AVERAGE(OFFSET($H$3,0,0,'Données projet'!$E$9+1,1))</f>
        <v>383.26814640166805</v>
      </c>
      <c r="T12" s="62">
        <f t="shared" si="34"/>
        <v>233.71216103405249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1.05</v>
      </c>
      <c r="AI12" s="14">
        <f>IF('Données projet'!$A$62&gt;35,AI11+AH12-AQ11,IF(A12&lt;'Données projet'!$A$62,$AF$205^A12,IF(A12='Données projet'!$A$62,'Données projet'!$B$62,AI11+AH12-AQ11)))</f>
        <v>3.9354888168013828</v>
      </c>
      <c r="AJ12" s="14">
        <f>AI12*VLOOKUP('Données projet'!$B$10,Paramètres!$A$1:$I$89,3,0)*VLOOKUP('Données projet'!$B$10,Paramètres!$A$1:$I$89,5,0)</f>
        <v>4.2361601624050085</v>
      </c>
      <c r="AK12" s="14">
        <f t="shared" si="35"/>
        <v>1.6502314230596411</v>
      </c>
      <c r="AL12" s="22">
        <f t="shared" si="4"/>
        <v>10.252132011350932</v>
      </c>
      <c r="AM12" s="62">
        <f t="shared" si="5"/>
        <v>277.91879867801759</v>
      </c>
      <c r="AN12" s="62">
        <f ca="1">AVERAGE(OFFSET($AM$3,0,0,'Données projet'!$E$10+1,1))-AVERAGE(OFFSET($H$3,0,0,'Données projet'!$E$10+1,1))</f>
        <v>205.99910063756408</v>
      </c>
      <c r="AO12" s="62">
        <f t="shared" si="36"/>
        <v>128.95330275493671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7.4312217194570129</v>
      </c>
      <c r="BD12" s="13">
        <f>IF('Données projet'!$A$88&gt;35,BD11+BC12-BL11,IF(A12&lt;'Données projet'!$A$88,$BA$205^A12,IF(A12='Données projet'!$A$88,'Données projet'!$B$88,BD11+BC12-BL11)))</f>
        <v>12.958766444511483</v>
      </c>
      <c r="BE12" s="14">
        <f>BD12*VLOOKUP('Données projet'!$B$11,Paramètres!$A$1:$I$89,3,0)*VLOOKUP('Données projet'!$B$11,Paramètres!$A$1:$I$89,5,0)</f>
        <v>7.7493423338178671</v>
      </c>
      <c r="BF12" s="14">
        <f t="shared" si="37"/>
        <v>2.8138859005026107</v>
      </c>
      <c r="BG12" s="22">
        <f t="shared" si="7"/>
        <v>18.397622508108167</v>
      </c>
      <c r="BH12" s="62">
        <f t="shared" si="8"/>
        <v>286.06428917477484</v>
      </c>
      <c r="BI12" s="62">
        <f ca="1">AVERAGE(OFFSET($BH$3,0,0,'Données projet'!$E$11+1,1))-AVERAGE(OFFSET($H$3,0,0,'Données projet'!$E$11+1,1))</f>
        <v>222.20580087523689</v>
      </c>
      <c r="BJ12" s="62">
        <f t="shared" si="38"/>
        <v>232.08940427392253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3.4425641025641025</v>
      </c>
      <c r="BY12" s="13">
        <f>IF('Données projet'!$A$114&gt;35,BY11+BX12-CG11,IF(A12&lt;'Données projet'!$A$114,$BV$205^A12,IF(A12='Données projet'!$A$114,'Données projet'!$B$114,BY11+BX12-CG11)))</f>
        <v>4.0197679866952116</v>
      </c>
      <c r="BZ12" s="14">
        <f>BY12*VLOOKUP('Données projet'!$B$12,Paramètres!$A$1:$I$89,3,0)*VLOOKUP('Données projet'!$B$12,Paramètres!$A$1:$I$89,5,0)</f>
        <v>1.881251417773359</v>
      </c>
      <c r="CA12" s="14">
        <f t="shared" si="39"/>
        <v>0.80547727641405575</v>
      </c>
      <c r="CB12" s="22">
        <f t="shared" si="10"/>
        <v>4.6793858090430804</v>
      </c>
      <c r="CC12" s="62">
        <f t="shared" si="11"/>
        <v>272.34605247570977</v>
      </c>
      <c r="CD12" s="62">
        <f ca="1">AVERAGE(OFFSET($CC$3,0,0,'Données projet'!$E$12+1,1))-AVERAGE(OFFSET($H$3,0,0,'Données projet'!$E$12+1,1))</f>
        <v>179.14256291235466</v>
      </c>
      <c r="CE12" s="62">
        <f t="shared" si="40"/>
        <v>107.5256983607585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5.9083916083916082</v>
      </c>
      <c r="CT12" s="13">
        <f>IF('Données projet'!$A$140&gt;35,CT11+CS12-DB11,IF(A12&lt;'Données projet'!$A$140,$CQ$205^A12,IF(A12='Données projet'!$A$140,'Données projet'!$B$140,CT11+CS12-DB11)))</f>
        <v>7.3244324991126044</v>
      </c>
      <c r="CU12" s="18">
        <f>CT12*VLOOKUP('Données projet'!$B$13,Paramètres!$A$1:$I$89,3,0)*VLOOKUP('Données projet'!$B$13,Paramètres!$A$1:$I$89,5,0)</f>
        <v>4.3800106344693379</v>
      </c>
      <c r="CV12" s="14">
        <f t="shared" si="41"/>
        <v>1.6996500861735646</v>
      </c>
      <c r="CW12" s="22">
        <f t="shared" si="13"/>
        <v>10.588742421786387</v>
      </c>
      <c r="CX12" s="62">
        <f t="shared" si="14"/>
        <v>278.25540908845306</v>
      </c>
      <c r="CY12" s="62">
        <f ca="1">AVERAGE(OFFSET($CX$3,0,0,'Données projet'!$E$13+1,1))-AVERAGE(OFFSET($H$3,0,0,'Données projet'!$E$13+1,1))</f>
        <v>237.03649693529445</v>
      </c>
      <c r="CZ12" s="62">
        <f t="shared" si="42"/>
        <v>191.04289411674887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3.6819999999999999</v>
      </c>
      <c r="DO12" s="13">
        <f>IF('Données projet'!$A$166&gt;35,DO11+DN12-DW11,IF(A12&lt;'Données projet'!$A$166,$DL$205^A12,IF(A12='Données projet'!$A$166,'Données projet'!$B$166,DO11+DN12-DW11)))</f>
        <v>25.672928172968902</v>
      </c>
      <c r="DP12" s="18">
        <f>DO12*VLOOKUP('Données projet'!$B$14,Paramètres!$A$1:$I$89,3,0)*VLOOKUP('Données projet'!$B$14,Paramètres!$A$1:$I$89,5,0)</f>
        <v>29.575213255260174</v>
      </c>
      <c r="DQ12" s="14">
        <f t="shared" si="43"/>
        <v>9.1889088580084621</v>
      </c>
      <c r="DR12" s="22">
        <f t="shared" si="16"/>
        <v>67.514179347276198</v>
      </c>
      <c r="DS12" s="62">
        <f t="shared" si="17"/>
        <v>335.18084601394287</v>
      </c>
      <c r="DT12" s="62">
        <f ca="1">AVERAGE(OFFSET($DS$3,0,0,'Données projet'!$E$14+1,1))-AVERAGE(OFFSET($H$3,0,0,'Données projet'!$E$14+1,1))</f>
        <v>431.38469096974364</v>
      </c>
      <c r="DU12" s="62">
        <f t="shared" si="44"/>
        <v>295.48627059086647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1.05</v>
      </c>
      <c r="EJ12" s="13">
        <f>IF('Données projet'!$A$192&gt;35,EJ11+EI12-ER11,IF(A12&lt;'Données projet'!$A$192,$EG$205^A12,IF(A12='Données projet'!$A$192,'Données projet'!$B$192,EJ11+EI12-ER11)))</f>
        <v>3.9354888168013828</v>
      </c>
      <c r="EK12" s="18">
        <f>EJ12*VLOOKUP('Données projet'!$B$15,Paramètres!$A$1:$I$89,3,0)*VLOOKUP('Données projet'!$B$15,Paramètres!$A$1:$I$89,5,0)</f>
        <v>4.4817346645734144</v>
      </c>
      <c r="EL12" s="14">
        <f t="shared" si="45"/>
        <v>1.734482311288317</v>
      </c>
      <c r="EM12" s="22">
        <f t="shared" si="19"/>
        <v>10.826577899625848</v>
      </c>
      <c r="EN12" s="62">
        <f t="shared" si="20"/>
        <v>278.49324456629256</v>
      </c>
      <c r="EO12" s="62">
        <f ca="1">AVERAGE(OFFSET($EN$3,0,0,'Données projet'!$E$15+1,1))-AVERAGE(OFFSET($H$3,0,0,'Données projet'!$E$15+1,1))</f>
        <v>220.03635832253951</v>
      </c>
      <c r="EP12" s="62">
        <f t="shared" si="46"/>
        <v>136.30639155882233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3.1333333333333333</v>
      </c>
      <c r="FE12" s="13">
        <f>IF('Données projet'!$A$218&gt;35,FE11+FD12-FM11,IF(A12&lt;'Données projet'!$A$218,$FB$205^A12,IF(A12='Données projet'!$A$218,'Données projet'!$B$218,FE11+FD12-FM11)))</f>
        <v>10.075316895906049</v>
      </c>
      <c r="FF12" s="18">
        <f>FE12*VLOOKUP('Données projet'!$B$16,Paramètres!$A$1:$I$89,3,0)*VLOOKUP('Données projet'!$B$16,Paramètres!$A$1:$I$89,5,0)</f>
        <v>10.530721219601004</v>
      </c>
      <c r="FG12" s="14">
        <f t="shared" si="47"/>
        <v>3.6897424775824343</v>
      </c>
      <c r="FH12" s="22">
        <f t="shared" si="22"/>
        <v>24.767307605927822</v>
      </c>
      <c r="FI12" s="62">
        <f t="shared" si="23"/>
        <v>292.43397427259453</v>
      </c>
      <c r="FJ12" s="62">
        <f ca="1">AVERAGE(OFFSET($FI$3,0,0,'Données projet'!$E$16+1,1))-AVERAGE(OFFSET($H$3,0,0,'Données projet'!$E$16+1,1))</f>
        <v>641.62708445664862</v>
      </c>
      <c r="FK12" s="62">
        <f t="shared" si="48"/>
        <v>379.46845863546929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1.05</v>
      </c>
      <c r="FZ12" s="13">
        <f>IF('Données projet'!$A$244&gt;35,FZ11+FY12-GH11,IF(A12&lt;'Données projet'!$A$244,$FW$205^A12,IF(A12='Données projet'!$A$244,'Données projet'!$B$244,FZ11+FY12-GH11)))</f>
        <v>3.9354888168013828</v>
      </c>
      <c r="GA12" s="18">
        <f>FZ12*VLOOKUP('Données projet'!$B$17,Paramètres!$A$1:$I$89,3,0)*VLOOKUP('Données projet'!$B$17,Paramètres!$A$1:$I$89,5,0)</f>
        <v>3.8064047836102977</v>
      </c>
      <c r="GB12" s="14">
        <f t="shared" si="49"/>
        <v>1.5013954409821026</v>
      </c>
      <c r="GC12" s="22">
        <f t="shared" si="25"/>
        <v>9.2444187244984306</v>
      </c>
      <c r="GD12" s="62">
        <f t="shared" si="26"/>
        <v>276.9110853911651</v>
      </c>
      <c r="GE12" s="62">
        <f ca="1">AVERAGE(OFFSET($GD$3,0,0,'Données projet'!$E$17+1,1))-AVERAGE(OFFSET($H$3,0,0,'Données projet'!$E$17+1,1))</f>
        <v>181.39066880931728</v>
      </c>
      <c r="GF12" s="62">
        <f t="shared" si="50"/>
        <v>116.06078566855524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0.9</v>
      </c>
      <c r="GU12" s="13">
        <f>IF('Données projet'!$A$270&gt;35,GU11+GT12-HC11,IF(A12&lt;'Données projet'!$A$270,$GR$205^A12,IF(A12='Données projet'!$A$270,'Données projet'!$B$270,GU11+GT12-HC11)))</f>
        <v>3.6717459735664435</v>
      </c>
      <c r="GV12" s="18">
        <f>GU12*VLOOKUP('Données projet'!$B$18,Paramètres!$A$1:$I$89,3,0)*VLOOKUP('Données projet'!$B$18,Paramètres!$A$1:$I$89,5,0)</f>
        <v>3.2076372825076458</v>
      </c>
      <c r="GW12" s="14">
        <f t="shared" si="51"/>
        <v>1.290676355595167</v>
      </c>
      <c r="GX12" s="22">
        <f t="shared" si="28"/>
        <v>7.834562919695732</v>
      </c>
      <c r="GY12" s="62">
        <f t="shared" si="29"/>
        <v>275.5012295863624</v>
      </c>
      <c r="GZ12" s="62">
        <f ca="1">AVERAGE(OFFSET($GY$3,0,0,'Données projet'!$E$18+1,1))-AVERAGE(OFFSET($H$3,0,0,'Données projet'!$E$18+1,1))</f>
        <v>152.84277478695606</v>
      </c>
      <c r="HA12" s="62">
        <f t="shared" si="52"/>
        <v>179.22995976651015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9">
        <f t="shared" si="1"/>
        <v>269.77283609992622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2">
        <f t="shared" si="0"/>
        <v>284.57066751792433</v>
      </c>
      <c r="S13" s="62">
        <f ca="1">AVERAGE(OFFSET($R$3,0,0,'Données projet'!$E$9+1,1))-AVERAGE(OFFSET($H$3,0,0,'Données projet'!$E$9+1,1))</f>
        <v>383.26814640166805</v>
      </c>
      <c r="T13" s="62">
        <f t="shared" si="34"/>
        <v>233.71216103405249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1.05</v>
      </c>
      <c r="AI13" s="14">
        <f>IF('Données projet'!$A$62&gt;35,AI12+AH13-AQ12,IF(A13&lt;'Données projet'!$A$62,$AF$205^A13,IF(A13='Données projet'!$A$62,'Données projet'!$B$62,AI12+AH13-AQ12)))</f>
        <v>4.5825756949558425</v>
      </c>
      <c r="AJ13" s="14">
        <f>AI13*VLOOKUP('Données projet'!$B$10,Paramètres!$A$1:$I$89,3,0)*VLOOKUP('Données projet'!$B$10,Paramètres!$A$1:$I$89,5,0)</f>
        <v>4.9326844780504686</v>
      </c>
      <c r="AK13" s="14">
        <f t="shared" si="35"/>
        <v>1.8878196442982629</v>
      </c>
      <c r="AL13" s="22">
        <f t="shared" si="4"/>
        <v>11.879044679757373</v>
      </c>
      <c r="AM13" s="62">
        <f t="shared" si="5"/>
        <v>280.76793356864624</v>
      </c>
      <c r="AN13" s="62">
        <f ca="1">AVERAGE(OFFSET($AM$3,0,0,'Données projet'!$E$10+1,1))-AVERAGE(OFFSET($H$3,0,0,'Données projet'!$E$10+1,1))</f>
        <v>205.99910063756408</v>
      </c>
      <c r="AO13" s="62">
        <f t="shared" si="36"/>
        <v>128.95330275493671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7.4312217194570129</v>
      </c>
      <c r="BD13" s="13">
        <f>IF('Données projet'!$A$88&gt;35,BD12+BC13-BL12,IF(A13&lt;'Données projet'!$A$88,$BA$205^A13,IF(A13='Données projet'!$A$88,'Données projet'!$B$88,BD12+BC13-BL12)))</f>
        <v>17.225897052240693</v>
      </c>
      <c r="BE13" s="14">
        <f>BD13*VLOOKUP('Données projet'!$B$11,Paramètres!$A$1:$I$89,3,0)*VLOOKUP('Données projet'!$B$11,Paramètres!$A$1:$I$89,5,0)</f>
        <v>10.301086437239935</v>
      </c>
      <c r="BF13" s="14">
        <f t="shared" si="37"/>
        <v>3.6185577775542006</v>
      </c>
      <c r="BG13" s="22">
        <f t="shared" si="7"/>
        <v>24.243380340766453</v>
      </c>
      <c r="BH13" s="62">
        <f t="shared" si="8"/>
        <v>293.13226922965532</v>
      </c>
      <c r="BI13" s="62">
        <f ca="1">AVERAGE(OFFSET($BH$3,0,0,'Données projet'!$E$11+1,1))-AVERAGE(OFFSET($H$3,0,0,'Données projet'!$E$11+1,1))</f>
        <v>222.20580087523689</v>
      </c>
      <c r="BJ13" s="62">
        <f t="shared" si="38"/>
        <v>232.08940427392253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3.4425641025641025</v>
      </c>
      <c r="BY13" s="13">
        <f>IF('Données projet'!$A$114&gt;35,BY12+BX13-CG12,IF(A13&lt;'Données projet'!$A$114,$BV$205^A13,IF(A13='Données projet'!$A$114,'Données projet'!$B$114,BY12+BX13-CG12)))</f>
        <v>4.6917453277627805</v>
      </c>
      <c r="BZ13" s="14">
        <f>BY13*VLOOKUP('Données projet'!$B$12,Paramètres!$A$1:$I$89,3,0)*VLOOKUP('Données projet'!$B$12,Paramètres!$A$1:$I$89,5,0)</f>
        <v>2.1957368133929811</v>
      </c>
      <c r="CA13" s="14">
        <f t="shared" si="39"/>
        <v>0.9233628621568436</v>
      </c>
      <c r="CB13" s="22">
        <f t="shared" si="10"/>
        <v>5.432431934915944</v>
      </c>
      <c r="CC13" s="62">
        <f t="shared" si="11"/>
        <v>274.3213208238048</v>
      </c>
      <c r="CD13" s="62">
        <f ca="1">AVERAGE(OFFSET($CC$3,0,0,'Données projet'!$E$12+1,1))-AVERAGE(OFFSET($H$3,0,0,'Données projet'!$E$12+1,1))</f>
        <v>179.14256291235466</v>
      </c>
      <c r="CE13" s="62">
        <f t="shared" si="40"/>
        <v>107.5256983607585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5.9083916083916082</v>
      </c>
      <c r="CT13" s="13">
        <f>IF('Données projet'!$A$140&gt;35,CT12+CS13-DB12,IF(A13&lt;'Données projet'!$A$140,$CQ$205^A13,IF(A13='Données projet'!$A$140,'Données projet'!$B$140,CT12+CS13-DB12)))</f>
        <v>9.1381856916409276</v>
      </c>
      <c r="CU13" s="18">
        <f>CT13*VLOOKUP('Données projet'!$B$13,Paramètres!$A$1:$I$89,3,0)*VLOOKUP('Données projet'!$B$13,Paramètres!$A$1:$I$89,5,0)</f>
        <v>5.4646350436012749</v>
      </c>
      <c r="CV13" s="14">
        <f t="shared" si="41"/>
        <v>2.0666222857072225</v>
      </c>
      <c r="CW13" s="22">
        <f t="shared" si="13"/>
        <v>13.116939848545632</v>
      </c>
      <c r="CX13" s="62">
        <f t="shared" si="14"/>
        <v>282.00582873743451</v>
      </c>
      <c r="CY13" s="62">
        <f ca="1">AVERAGE(OFFSET($CX$3,0,0,'Données projet'!$E$13+1,1))-AVERAGE(OFFSET($H$3,0,0,'Données projet'!$E$13+1,1))</f>
        <v>237.03649693529445</v>
      </c>
      <c r="CZ13" s="62">
        <f t="shared" si="42"/>
        <v>191.04289411674887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36.82</v>
      </c>
      <c r="DM13" s="13">
        <f>VLOOKUP(A13,'Données projet'!$A$165:$I$185,9,0)</f>
        <v>3.6819999999999999</v>
      </c>
      <c r="DN13" s="13">
        <f t="array" ref="DN13">INDEX(DM:DM,MIN(IF(ISNUMBER(DM13:DM209),ROW(DM13:DM209),"")))</f>
        <v>3.6819999999999999</v>
      </c>
      <c r="DO13" s="13">
        <f>IF('Données projet'!$A$166&gt;35,DO12+DN13-DW12,IF(A13&lt;'Données projet'!$A$166,$DL$205^A13,IF(A13='Données projet'!$A$166,'Données projet'!$B$166,DO12+DN13-DW12)))</f>
        <v>36.82</v>
      </c>
      <c r="DP13" s="18">
        <f>DO13*VLOOKUP('Données projet'!$B$14,Paramètres!$A$1:$I$89,3,0)*VLOOKUP('Données projet'!$B$14,Paramètres!$A$1:$I$89,5,0)</f>
        <v>42.416640000000001</v>
      </c>
      <c r="DQ13" s="14">
        <f t="shared" si="43"/>
        <v>12.636974440299932</v>
      </c>
      <c r="DR13" s="22">
        <f t="shared" si="16"/>
        <v>95.885045150189043</v>
      </c>
      <c r="DS13" s="62">
        <f t="shared" si="17"/>
        <v>364.77393403907791</v>
      </c>
      <c r="DT13" s="62">
        <f ca="1">AVERAGE(OFFSET($DS$3,0,0,'Données projet'!$E$14+1,1))-AVERAGE(OFFSET($H$3,0,0,'Données projet'!$E$14+1,1))</f>
        <v>431.38469096974364</v>
      </c>
      <c r="DU13" s="62">
        <f t="shared" si="44"/>
        <v>295.48627059086647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4.5999999999999996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1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3.2499595868199673</v>
      </c>
      <c r="ED13" s="24">
        <f t="shared" si="18"/>
        <v>3.2499595868199673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1.05</v>
      </c>
      <c r="EJ13" s="13">
        <f>IF('Données projet'!$A$192&gt;35,EJ12+EI13-ER12,IF(A13&lt;'Données projet'!$A$192,$EG$205^A13,IF(A13='Données projet'!$A$192,'Données projet'!$B$192,EJ12+EI13-ER12)))</f>
        <v>4.5825756949558425</v>
      </c>
      <c r="EK13" s="18">
        <f>EJ13*VLOOKUP('Données projet'!$B$15,Paramètres!$A$1:$I$89,3,0)*VLOOKUP('Données projet'!$B$15,Paramètres!$A$1:$I$89,5,0)</f>
        <v>5.2186372014157136</v>
      </c>
      <c r="EL13" s="14">
        <f t="shared" si="45"/>
        <v>1.9842003577092238</v>
      </c>
      <c r="EM13" s="22">
        <f t="shared" si="19"/>
        <v>12.544942082142599</v>
      </c>
      <c r="EN13" s="62">
        <f t="shared" si="20"/>
        <v>281.43383097103145</v>
      </c>
      <c r="EO13" s="62">
        <f ca="1">AVERAGE(OFFSET($EN$3,0,0,'Données projet'!$E$15+1,1))-AVERAGE(OFFSET($H$3,0,0,'Données projet'!$E$15+1,1))</f>
        <v>220.03635832253951</v>
      </c>
      <c r="EP13" s="62">
        <f t="shared" si="46"/>
        <v>136.30639155882233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3.1333333333333333</v>
      </c>
      <c r="FE13" s="13">
        <f>IF('Données projet'!$A$218&gt;35,FE12+FD13-FM12,IF(A13&lt;'Données projet'!$A$218,$FB$205^A13,IF(A13='Données projet'!$A$218,'Données projet'!$B$218,FE12+FD13-FM12)))</f>
        <v>13.023625676689216</v>
      </c>
      <c r="FF13" s="18">
        <f>FE13*VLOOKUP('Données projet'!$B$16,Paramètres!$A$1:$I$89,3,0)*VLOOKUP('Données projet'!$B$16,Paramètres!$A$1:$I$89,5,0)</f>
        <v>13.612293557275569</v>
      </c>
      <c r="FG13" s="14">
        <f t="shared" si="47"/>
        <v>4.6290702024940567</v>
      </c>
      <c r="FH13" s="22">
        <f t="shared" si="22"/>
        <v>31.770375214932102</v>
      </c>
      <c r="FI13" s="62">
        <f t="shared" si="23"/>
        <v>300.65926410382099</v>
      </c>
      <c r="FJ13" s="62">
        <f ca="1">AVERAGE(OFFSET($FI$3,0,0,'Données projet'!$E$16+1,1))-AVERAGE(OFFSET($H$3,0,0,'Données projet'!$E$16+1,1))</f>
        <v>641.62708445664862</v>
      </c>
      <c r="FK13" s="62">
        <f t="shared" si="48"/>
        <v>379.46845863546929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1.05</v>
      </c>
      <c r="FZ13" s="13">
        <f>IF('Données projet'!$A$244&gt;35,FZ12+FY13-GH12,IF(A13&lt;'Données projet'!$A$244,$FW$205^A13,IF(A13='Données projet'!$A$244,'Données projet'!$B$244,FZ12+FY13-GH12)))</f>
        <v>4.5825756949558425</v>
      </c>
      <c r="GA13" s="18">
        <f>FZ13*VLOOKUP('Données projet'!$B$17,Paramètres!$A$1:$I$89,3,0)*VLOOKUP('Données projet'!$B$17,Paramètres!$A$1:$I$89,5,0)</f>
        <v>4.4322672121612907</v>
      </c>
      <c r="GB13" s="14">
        <f t="shared" si="49"/>
        <v>1.7175553487466402</v>
      </c>
      <c r="GC13" s="22">
        <f t="shared" si="25"/>
        <v>10.71094096024798</v>
      </c>
      <c r="GD13" s="62">
        <f t="shared" si="26"/>
        <v>279.59982984913682</v>
      </c>
      <c r="GE13" s="62">
        <f ca="1">AVERAGE(OFFSET($GD$3,0,0,'Données projet'!$E$17+1,1))-AVERAGE(OFFSET($H$3,0,0,'Données projet'!$E$17+1,1))</f>
        <v>181.39066880931728</v>
      </c>
      <c r="GF13" s="62">
        <f t="shared" si="50"/>
        <v>116.06078566855524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0.9</v>
      </c>
      <c r="GU13" s="13">
        <f>IF('Données projet'!$A$270&gt;35,GU12+GT13-HC12,IF(A13&lt;'Données projet'!$A$270,$GR$205^A13,IF(A13='Données projet'!$A$270,'Données projet'!$B$270,GU12+GT13-HC12)))</f>
        <v>4.2426406871192865</v>
      </c>
      <c r="GV13" s="18">
        <f>GU13*VLOOKUP('Données projet'!$B$18,Paramètres!$A$1:$I$89,3,0)*VLOOKUP('Données projet'!$B$18,Paramètres!$A$1:$I$89,5,0)</f>
        <v>3.7063709042674091</v>
      </c>
      <c r="GW13" s="14">
        <f t="shared" si="51"/>
        <v>1.4664771263922398</v>
      </c>
      <c r="GX13" s="22">
        <f t="shared" si="28"/>
        <v>9.0093769867322209</v>
      </c>
      <c r="GY13" s="62">
        <f t="shared" si="29"/>
        <v>277.89826587562106</v>
      </c>
      <c r="GZ13" s="62">
        <f ca="1">AVERAGE(OFFSET($GY$3,0,0,'Données projet'!$E$18+1,1))-AVERAGE(OFFSET($H$3,0,0,'Données projet'!$E$18+1,1))</f>
        <v>152.84277478695606</v>
      </c>
      <c r="HA13" s="62">
        <f t="shared" si="52"/>
        <v>179.22995976651015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9">
        <f t="shared" si="1"/>
        <v>271.03980360576855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2">
        <f t="shared" si="0"/>
        <v>288.90539420934834</v>
      </c>
      <c r="S14" s="62">
        <f ca="1">AVERAGE(OFFSET($R$3,0,0,'Données projet'!$E$9+1,1))-AVERAGE(OFFSET($H$3,0,0,'Données projet'!$E$9+1,1))</f>
        <v>383.26814640166805</v>
      </c>
      <c r="T14" s="62">
        <f t="shared" si="34"/>
        <v>233.71216103405249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1.05</v>
      </c>
      <c r="AI14" s="14">
        <f>IF('Données projet'!$A$62&gt;35,AI13+AH14-AQ13,IF(A14&lt;'Données projet'!$A$62,$AF$205^A14,IF(A14='Données projet'!$A$62,'Données projet'!$B$62,AI13+AH14-AQ13)))</f>
        <v>5.3360588677947343</v>
      </c>
      <c r="AJ14" s="14">
        <f>AI14*VLOOKUP('Données projet'!$B$10,Paramètres!$A$1:$I$89,3,0)*VLOOKUP('Données projet'!$B$10,Paramètres!$A$1:$I$89,5,0)</f>
        <v>5.7437337652942517</v>
      </c>
      <c r="AK14" s="14">
        <f t="shared" si="35"/>
        <v>2.1596140756978057</v>
      </c>
      <c r="AL14" s="22">
        <f t="shared" si="4"/>
        <v>13.764997489727833</v>
      </c>
      <c r="AM14" s="62">
        <f t="shared" si="5"/>
        <v>283.87610860083896</v>
      </c>
      <c r="AN14" s="62">
        <f ca="1">AVERAGE(OFFSET($AM$3,0,0,'Données projet'!$E$10+1,1))-AVERAGE(OFFSET($H$3,0,0,'Données projet'!$E$10+1,1))</f>
        <v>205.99910063756408</v>
      </c>
      <c r="AO14" s="62">
        <f t="shared" si="36"/>
        <v>128.95330275493671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7.4312217194570129</v>
      </c>
      <c r="BD14" s="13">
        <f>IF('Données projet'!$A$88&gt;35,BD13+BC14-BL13,IF(A14&lt;'Données projet'!$A$88,$BA$205^A14,IF(A14='Données projet'!$A$88,'Données projet'!$B$88,BD13+BC14-BL13)))</f>
        <v>22.89813081553541</v>
      </c>
      <c r="BE14" s="14">
        <f>BD14*VLOOKUP('Données projet'!$B$11,Paramètres!$A$1:$I$89,3,0)*VLOOKUP('Données projet'!$B$11,Paramètres!$A$1:$I$89,5,0)</f>
        <v>13.693082227690176</v>
      </c>
      <c r="BF14" s="14">
        <f t="shared" si="37"/>
        <v>4.6533373606794726</v>
      </c>
      <c r="BG14" s="22">
        <f t="shared" si="7"/>
        <v>31.953347449743802</v>
      </c>
      <c r="BH14" s="62">
        <f t="shared" si="8"/>
        <v>302.06445856085497</v>
      </c>
      <c r="BI14" s="62">
        <f ca="1">AVERAGE(OFFSET($BH$3,0,0,'Données projet'!$E$11+1,1))-AVERAGE(OFFSET($H$3,0,0,'Données projet'!$E$11+1,1))</f>
        <v>222.20580087523689</v>
      </c>
      <c r="BJ14" s="62">
        <f t="shared" si="38"/>
        <v>232.08940427392253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3.4425641025641025</v>
      </c>
      <c r="BY14" s="13">
        <f>IF('Données projet'!$A$114&gt;35,BY13+BX14-CG13,IF(A14&lt;'Données projet'!$A$114,$BV$205^A14,IF(A14='Données projet'!$A$114,'Données projet'!$B$114,BY13+BX14-CG13)))</f>
        <v>5.4760559050775193</v>
      </c>
      <c r="BZ14" s="14">
        <f>BY14*VLOOKUP('Données projet'!$B$12,Paramètres!$A$1:$I$89,3,0)*VLOOKUP('Données projet'!$B$12,Paramètres!$A$1:$I$89,5,0)</f>
        <v>2.562794163576279</v>
      </c>
      <c r="CA14" s="14">
        <f t="shared" si="39"/>
        <v>1.0585015867936163</v>
      </c>
      <c r="CB14" s="22">
        <f t="shared" si="10"/>
        <v>6.3070900985608995</v>
      </c>
      <c r="CC14" s="62">
        <f t="shared" si="11"/>
        <v>276.41820120967202</v>
      </c>
      <c r="CD14" s="62">
        <f ca="1">AVERAGE(OFFSET($CC$3,0,0,'Données projet'!$E$12+1,1))-AVERAGE(OFFSET($H$3,0,0,'Données projet'!$E$12+1,1))</f>
        <v>179.14256291235466</v>
      </c>
      <c r="CE14" s="62">
        <f t="shared" si="40"/>
        <v>107.5256983607585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5.9083916083916082</v>
      </c>
      <c r="CT14" s="13">
        <f>IF('Données projet'!$A$140&gt;35,CT13+CS14-DB13,IF(A14&lt;'Données projet'!$A$140,$CQ$205^A14,IF(A14='Données projet'!$A$140,'Données projet'!$B$140,CT13+CS14-DB13)))</f>
        <v>11.401079571014991</v>
      </c>
      <c r="CU14" s="18">
        <f>CT14*VLOOKUP('Données projet'!$B$13,Paramètres!$A$1:$I$89,3,0)*VLOOKUP('Données projet'!$B$13,Paramètres!$A$1:$I$89,5,0)</f>
        <v>6.8178455834669647</v>
      </c>
      <c r="CV14" s="14">
        <f t="shared" si="41"/>
        <v>2.5128276146515063</v>
      </c>
      <c r="CW14" s="22">
        <f t="shared" si="13"/>
        <v>16.250922486723002</v>
      </c>
      <c r="CX14" s="62">
        <f t="shared" si="14"/>
        <v>286.36203359783417</v>
      </c>
      <c r="CY14" s="62">
        <f ca="1">AVERAGE(OFFSET($CX$3,0,0,'Données projet'!$E$13+1,1))-AVERAGE(OFFSET($H$3,0,0,'Données projet'!$E$13+1,1))</f>
        <v>237.03649693529445</v>
      </c>
      <c r="CZ14" s="62">
        <f t="shared" si="42"/>
        <v>191.04289411674887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4.694</v>
      </c>
      <c r="DO14" s="13">
        <f>IF('Données projet'!$A$166&gt;35,DO13+DN14-DW13,IF(A14&lt;'Données projet'!$A$166,$DL$205^A14,IF(A14='Données projet'!$A$166,'Données projet'!$B$166,DO13+DN14-DW13)))</f>
        <v>36.914000000000001</v>
      </c>
      <c r="DP14" s="18">
        <f>DO14*VLOOKUP('Données projet'!$B$14,Paramètres!$A$1:$I$89,3,0)*VLOOKUP('Données projet'!$B$14,Paramètres!$A$1:$I$89,5,0)</f>
        <v>42.524928000000003</v>
      </c>
      <c r="DQ14" s="14">
        <f t="shared" si="43"/>
        <v>12.665476642168976</v>
      </c>
      <c r="DR14" s="22">
        <f t="shared" si="16"/>
        <v>96.123288085110971</v>
      </c>
      <c r="DS14" s="62">
        <f t="shared" si="17"/>
        <v>366.23439919622211</v>
      </c>
      <c r="DT14" s="62">
        <f ca="1">AVERAGE(OFFSET($DS$3,0,0,'Données projet'!$E$14+1,1))-AVERAGE(OFFSET($H$3,0,0,'Données projet'!$E$14+1,1))</f>
        <v>431.38469096974364</v>
      </c>
      <c r="DU14" s="62">
        <f t="shared" si="44"/>
        <v>295.48627059086647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2.2980684624226293</v>
      </c>
      <c r="ED14" s="24">
        <f t="shared" si="18"/>
        <v>2.2980684624226293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1.05</v>
      </c>
      <c r="EJ14" s="13">
        <f>IF('Données projet'!$A$192&gt;35,EJ13+EI14-ER13,IF(A14&lt;'Données projet'!$A$192,$EG$205^A14,IF(A14='Données projet'!$A$192,'Données projet'!$B$192,EJ13+EI14-ER13)))</f>
        <v>5.3360588677947343</v>
      </c>
      <c r="EK14" s="18">
        <f>EJ14*VLOOKUP('Données projet'!$B$15,Paramètres!$A$1:$I$89,3,0)*VLOOKUP('Données projet'!$B$15,Paramètres!$A$1:$I$89,5,0)</f>
        <v>6.0767038386446428</v>
      </c>
      <c r="EL14" s="14">
        <f t="shared" si="45"/>
        <v>2.2698709775881754</v>
      </c>
      <c r="EM14" s="22">
        <f t="shared" si="19"/>
        <v>14.536951138272158</v>
      </c>
      <c r="EN14" s="62">
        <f t="shared" si="20"/>
        <v>284.64806224938332</v>
      </c>
      <c r="EO14" s="62">
        <f ca="1">AVERAGE(OFFSET($EN$3,0,0,'Données projet'!$E$15+1,1))-AVERAGE(OFFSET($H$3,0,0,'Données projet'!$E$15+1,1))</f>
        <v>220.03635832253951</v>
      </c>
      <c r="EP14" s="62">
        <f t="shared" si="46"/>
        <v>136.30639155882233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3.1333333333333333</v>
      </c>
      <c r="FE14" s="13">
        <f>IF('Données projet'!$A$218&gt;35,FE13+FD14-FM13,IF(A14&lt;'Données projet'!$A$218,$FB$205^A14,IF(A14='Données projet'!$A$218,'Données projet'!$B$218,FE13+FD14-FM13)))</f>
        <v>16.834688925312019</v>
      </c>
      <c r="FF14" s="18">
        <f>FE14*VLOOKUP('Données projet'!$B$16,Paramètres!$A$1:$I$89,3,0)*VLOOKUP('Données projet'!$B$16,Paramètres!$A$1:$I$89,5,0)</f>
        <v>17.595616864736126</v>
      </c>
      <c r="FG14" s="14">
        <f t="shared" si="47"/>
        <v>5.8075302191979628</v>
      </c>
      <c r="FH14" s="22">
        <f t="shared" si="22"/>
        <v>40.760481171185205</v>
      </c>
      <c r="FI14" s="62">
        <f t="shared" si="23"/>
        <v>310.87159228229632</v>
      </c>
      <c r="FJ14" s="62">
        <f ca="1">AVERAGE(OFFSET($FI$3,0,0,'Données projet'!$E$16+1,1))-AVERAGE(OFFSET($H$3,0,0,'Données projet'!$E$16+1,1))</f>
        <v>641.62708445664862</v>
      </c>
      <c r="FK14" s="62">
        <f t="shared" si="48"/>
        <v>379.46845863546929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1.05</v>
      </c>
      <c r="FZ14" s="13">
        <f>IF('Données projet'!$A$244&gt;35,FZ13+FY14-GH13,IF(A14&lt;'Données projet'!$A$244,$FW$205^A14,IF(A14='Données projet'!$A$244,'Données projet'!$B$244,FZ13+FY14-GH13)))</f>
        <v>5.3360588677947343</v>
      </c>
      <c r="GA14" s="18">
        <f>FZ14*VLOOKUP('Données projet'!$B$17,Paramètres!$A$1:$I$89,3,0)*VLOOKUP('Données projet'!$B$17,Paramètres!$A$1:$I$89,5,0)</f>
        <v>5.1610361369310676</v>
      </c>
      <c r="GB14" s="14">
        <f t="shared" si="49"/>
        <v>1.9648363752047393</v>
      </c>
      <c r="GC14" s="22">
        <f t="shared" si="25"/>
        <v>12.410894625303198</v>
      </c>
      <c r="GD14" s="62">
        <f t="shared" si="26"/>
        <v>282.52200573641431</v>
      </c>
      <c r="GE14" s="62">
        <f ca="1">AVERAGE(OFFSET($GD$3,0,0,'Données projet'!$E$17+1,1))-AVERAGE(OFFSET($H$3,0,0,'Données projet'!$E$17+1,1))</f>
        <v>181.39066880931728</v>
      </c>
      <c r="GF14" s="62">
        <f t="shared" si="50"/>
        <v>116.06078566855524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0.9</v>
      </c>
      <c r="GU14" s="13">
        <f>IF('Données projet'!$A$270&gt;35,GU13+GT14-HC13,IF(A14&lt;'Données projet'!$A$270,$GR$205^A14,IF(A14='Données projet'!$A$270,'Données projet'!$B$270,GU13+GT14-HC13)))</f>
        <v>4.9022999220494095</v>
      </c>
      <c r="GV14" s="18">
        <f>GU14*VLOOKUP('Données projet'!$B$18,Paramètres!$A$1:$I$89,3,0)*VLOOKUP('Données projet'!$B$18,Paramètres!$A$1:$I$89,5,0)</f>
        <v>4.2826492119023651</v>
      </c>
      <c r="GW14" s="14">
        <f t="shared" si="51"/>
        <v>1.6662234129484463</v>
      </c>
      <c r="GX14" s="22">
        <f t="shared" si="28"/>
        <v>10.360953154948495</v>
      </c>
      <c r="GY14" s="62">
        <f t="shared" si="29"/>
        <v>280.47206426605965</v>
      </c>
      <c r="GZ14" s="62">
        <f ca="1">AVERAGE(OFFSET($GY$3,0,0,'Données projet'!$E$18+1,1))-AVERAGE(OFFSET($H$3,0,0,'Données projet'!$E$18+1,1))</f>
        <v>152.84277478695606</v>
      </c>
      <c r="HA14" s="62">
        <f t="shared" si="52"/>
        <v>179.22995976651015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9">
        <f t="shared" si="1"/>
        <v>272.30343986297339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2">
        <f t="shared" si="0"/>
        <v>293.85996837222763</v>
      </c>
      <c r="S15" s="62">
        <f ca="1">AVERAGE(OFFSET($R$3,0,0,'Données projet'!$E$9+1,1))-AVERAGE(OFFSET($H$3,0,0,'Données projet'!$E$9+1,1))</f>
        <v>383.26814640166805</v>
      </c>
      <c r="T15" s="62">
        <f t="shared" si="34"/>
        <v>233.71216103405249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1.05</v>
      </c>
      <c r="AI15" s="14">
        <f>IF('Données projet'!$A$62&gt;35,AI14+AH15-AQ14,IF(A15&lt;'Données projet'!$A$62,$AF$205^A15,IF(A15='Données projet'!$A$62,'Données projet'!$B$62,AI14+AH15-AQ14)))</f>
        <v>6.213432387360748</v>
      </c>
      <c r="AJ15" s="14">
        <f>AI15*VLOOKUP('Données projet'!$B$10,Paramètres!$A$1:$I$89,3,0)*VLOOKUP('Données projet'!$B$10,Paramètres!$A$1:$I$89,5,0)</f>
        <v>6.6881386217551091</v>
      </c>
      <c r="AK15" s="14">
        <f t="shared" si="35"/>
        <v>2.4705394766064934</v>
      </c>
      <c r="AL15" s="22">
        <f t="shared" si="4"/>
        <v>15.951364354646456</v>
      </c>
      <c r="AM15" s="62">
        <f t="shared" si="5"/>
        <v>287.28469768797976</v>
      </c>
      <c r="AN15" s="62">
        <f ca="1">AVERAGE(OFFSET($AM$3,0,0,'Données projet'!$E$10+1,1))-AVERAGE(OFFSET($H$3,0,0,'Données projet'!$E$10+1,1))</f>
        <v>205.99910063756408</v>
      </c>
      <c r="AO15" s="62">
        <f t="shared" si="36"/>
        <v>128.95330275493671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7.4312217194570129</v>
      </c>
      <c r="BD15" s="13">
        <f>IF('Données projet'!$A$88&gt;35,BD14+BC15-BL14,IF(A15&lt;'Données projet'!$A$88,$BA$205^A15,IF(A15='Données projet'!$A$88,'Données projet'!$B$88,BD14+BC15-BL14)))</f>
        <v>30.438147473844893</v>
      </c>
      <c r="BE15" s="14">
        <f>BD15*VLOOKUP('Données projet'!$B$11,Paramètres!$A$1:$I$89,3,0)*VLOOKUP('Données projet'!$B$11,Paramètres!$A$1:$I$89,5,0)</f>
        <v>18.202012189359248</v>
      </c>
      <c r="BF15" s="14">
        <f t="shared" si="37"/>
        <v>5.984027317903192</v>
      </c>
      <c r="BG15" s="22">
        <f t="shared" si="7"/>
        <v>42.124018808482084</v>
      </c>
      <c r="BH15" s="62">
        <f t="shared" si="8"/>
        <v>313.45735214181542</v>
      </c>
      <c r="BI15" s="62">
        <f ca="1">AVERAGE(OFFSET($BH$3,0,0,'Données projet'!$E$11+1,1))-AVERAGE(OFFSET($H$3,0,0,'Données projet'!$E$11+1,1))</f>
        <v>222.20580087523689</v>
      </c>
      <c r="BJ15" s="62">
        <f t="shared" si="38"/>
        <v>232.08940427392253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3.4425641025641025</v>
      </c>
      <c r="BY15" s="13">
        <f>IF('Données projet'!$A$114&gt;35,BY14+BX15-CG14,IF(A15&lt;'Données projet'!$A$114,$BV$205^A15,IF(A15='Données projet'!$A$114,'Données projet'!$B$114,BY14+BX15-CG14)))</f>
        <v>6.3914782624899003</v>
      </c>
      <c r="BZ15" s="14">
        <f>BY15*VLOOKUP('Données projet'!$B$12,Paramètres!$A$1:$I$89,3,0)*VLOOKUP('Données projet'!$B$12,Paramètres!$A$1:$I$89,5,0)</f>
        <v>2.9912118268452734</v>
      </c>
      <c r="CA15" s="14">
        <f t="shared" si="39"/>
        <v>1.2134185325879896</v>
      </c>
      <c r="CB15" s="22">
        <f t="shared" si="10"/>
        <v>7.3230645426796004</v>
      </c>
      <c r="CC15" s="62">
        <f t="shared" si="11"/>
        <v>278.65639787601293</v>
      </c>
      <c r="CD15" s="62">
        <f ca="1">AVERAGE(OFFSET($CC$3,0,0,'Données projet'!$E$12+1,1))-AVERAGE(OFFSET($H$3,0,0,'Données projet'!$E$12+1,1))</f>
        <v>179.14256291235466</v>
      </c>
      <c r="CE15" s="62">
        <f t="shared" si="40"/>
        <v>107.5256983607585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5.9083916083916082</v>
      </c>
      <c r="CT15" s="13">
        <f>IF('Données projet'!$A$140&gt;35,CT14+CS15-DB14,IF(A15&lt;'Données projet'!$A$140,$CQ$205^A15,IF(A15='Données projet'!$A$140,'Données projet'!$B$140,CT14+CS15-DB14)))</f>
        <v>14.224335089132365</v>
      </c>
      <c r="CU15" s="18">
        <f>CT15*VLOOKUP('Données projet'!$B$13,Paramètres!$A$1:$I$89,3,0)*VLOOKUP('Données projet'!$B$13,Paramètres!$A$1:$I$89,5,0)</f>
        <v>8.5061523833011545</v>
      </c>
      <c r="CV15" s="14">
        <f t="shared" si="41"/>
        <v>3.0553733329137835</v>
      </c>
      <c r="CW15" s="22">
        <f t="shared" si="13"/>
        <v>20.136323955741016</v>
      </c>
      <c r="CX15" s="62">
        <f t="shared" si="14"/>
        <v>291.46965728907435</v>
      </c>
      <c r="CY15" s="62">
        <f ca="1">AVERAGE(OFFSET($CX$3,0,0,'Données projet'!$E$13+1,1))-AVERAGE(OFFSET($H$3,0,0,'Données projet'!$E$13+1,1))</f>
        <v>237.03649693529445</v>
      </c>
      <c r="CZ15" s="62">
        <f t="shared" si="42"/>
        <v>191.04289411674887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4.694</v>
      </c>
      <c r="DO15" s="13">
        <f>IF('Données projet'!$A$166&gt;35,DO14+DN15-DW14,IF(A15&lt;'Données projet'!$A$166,$DL$205^A15,IF(A15='Données projet'!$A$166,'Données projet'!$B$166,DO14+DN15-DW14)))</f>
        <v>41.608000000000004</v>
      </c>
      <c r="DP15" s="18">
        <f>DO15*VLOOKUP('Données projet'!$B$14,Paramètres!$A$1:$I$89,3,0)*VLOOKUP('Données projet'!$B$14,Paramètres!$A$1:$I$89,5,0)</f>
        <v>47.932415999999996</v>
      </c>
      <c r="DQ15" s="14">
        <f t="shared" si="43"/>
        <v>14.078491789404106</v>
      </c>
      <c r="DR15" s="22">
        <f t="shared" si="16"/>
        <v>108.00233106654548</v>
      </c>
      <c r="DS15" s="62">
        <f t="shared" si="17"/>
        <v>379.33566439987879</v>
      </c>
      <c r="DT15" s="62">
        <f ca="1">AVERAGE(OFFSET($DS$3,0,0,'Données projet'!$E$14+1,1))-AVERAGE(OFFSET($H$3,0,0,'Données projet'!$E$14+1,1))</f>
        <v>431.38469096974364</v>
      </c>
      <c r="DU15" s="62">
        <f t="shared" si="44"/>
        <v>295.48627059086647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1.6249797934099839</v>
      </c>
      <c r="ED15" s="24">
        <f t="shared" si="18"/>
        <v>1.6249797934099839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1.05</v>
      </c>
      <c r="EJ15" s="13">
        <f>IF('Données projet'!$A$192&gt;35,EJ14+EI15-ER14,IF(A15&lt;'Données projet'!$A$192,$EG$205^A15,IF(A15='Données projet'!$A$192,'Données projet'!$B$192,EJ14+EI15-ER14)))</f>
        <v>6.213432387360748</v>
      </c>
      <c r="EK15" s="18">
        <f>EJ15*VLOOKUP('Données projet'!$B$15,Paramètres!$A$1:$I$89,3,0)*VLOOKUP('Données projet'!$B$15,Paramètres!$A$1:$I$89,5,0)</f>
        <v>7.0758568027264195</v>
      </c>
      <c r="EL15" s="14">
        <f t="shared" si="45"/>
        <v>2.5966703588570512</v>
      </c>
      <c r="EM15" s="22">
        <f t="shared" si="19"/>
        <v>16.846318139757877</v>
      </c>
      <c r="EN15" s="62">
        <f t="shared" si="20"/>
        <v>288.17965147309121</v>
      </c>
      <c r="EO15" s="62">
        <f ca="1">AVERAGE(OFFSET($EN$3,0,0,'Données projet'!$E$15+1,1))-AVERAGE(OFFSET($H$3,0,0,'Données projet'!$E$15+1,1))</f>
        <v>220.03635832253951</v>
      </c>
      <c r="EP15" s="62">
        <f t="shared" si="46"/>
        <v>136.30639155882233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3.1333333333333333</v>
      </c>
      <c r="FE15" s="13">
        <f>IF('Données projet'!$A$218&gt;35,FE14+FD15-FM14,IF(A15&lt;'Données projet'!$A$218,$FB$205^A15,IF(A15='Données projet'!$A$218,'Données projet'!$B$218,FE14+FD15-FM14)))</f>
        <v>21.760971809815484</v>
      </c>
      <c r="FF15" s="18">
        <f>FE15*VLOOKUP('Données projet'!$B$16,Paramètres!$A$1:$I$89,3,0)*VLOOKUP('Données projet'!$B$16,Paramètres!$A$1:$I$89,5,0)</f>
        <v>22.744567735619146</v>
      </c>
      <c r="FG15" s="14">
        <f t="shared" si="47"/>
        <v>7.2860003783753067</v>
      </c>
      <c r="FH15" s="22">
        <f t="shared" si="22"/>
        <v>52.303239465207007</v>
      </c>
      <c r="FI15" s="62">
        <f t="shared" si="23"/>
        <v>323.63657279854033</v>
      </c>
      <c r="FJ15" s="62">
        <f ca="1">AVERAGE(OFFSET($FI$3,0,0,'Données projet'!$E$16+1,1))-AVERAGE(OFFSET($H$3,0,0,'Données projet'!$E$16+1,1))</f>
        <v>641.62708445664862</v>
      </c>
      <c r="FK15" s="62">
        <f t="shared" si="48"/>
        <v>379.46845863546929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1.05</v>
      </c>
      <c r="FZ15" s="13">
        <f>IF('Données projet'!$A$244&gt;35,FZ14+FY15-GH14,IF(A15&lt;'Données projet'!$A$244,$FW$205^A15,IF(A15='Données projet'!$A$244,'Données projet'!$B$244,FZ14+FY15-GH14)))</f>
        <v>6.213432387360748</v>
      </c>
      <c r="GA15" s="18">
        <f>FZ15*VLOOKUP('Données projet'!$B$17,Paramètres!$A$1:$I$89,3,0)*VLOOKUP('Données projet'!$B$17,Paramètres!$A$1:$I$89,5,0)</f>
        <v>6.0096318050553155</v>
      </c>
      <c r="GB15" s="14">
        <f t="shared" si="49"/>
        <v>2.2477191108542129</v>
      </c>
      <c r="GC15" s="22">
        <f t="shared" si="25"/>
        <v>14.381552845209095</v>
      </c>
      <c r="GD15" s="62">
        <f t="shared" si="26"/>
        <v>285.71488617854243</v>
      </c>
      <c r="GE15" s="62">
        <f ca="1">AVERAGE(OFFSET($GD$3,0,0,'Données projet'!$E$17+1,1))-AVERAGE(OFFSET($H$3,0,0,'Données projet'!$E$17+1,1))</f>
        <v>181.39066880931728</v>
      </c>
      <c r="GF15" s="62">
        <f t="shared" si="50"/>
        <v>116.06078566855524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0.9</v>
      </c>
      <c r="GU15" s="13">
        <f>IF('Données projet'!$A$270&gt;35,GU14+GT15-HC14,IF(A15&lt;'Données projet'!$A$270,$GR$205^A15,IF(A15='Données projet'!$A$270,'Données projet'!$B$270,GU14+GT15-HC14)))</f>
        <v>5.6645250677694134</v>
      </c>
      <c r="GV15" s="18">
        <f>GU15*VLOOKUP('Données projet'!$B$18,Paramètres!$A$1:$I$89,3,0)*VLOOKUP('Données projet'!$B$18,Paramètres!$A$1:$I$89,5,0)</f>
        <v>4.9485290992033608</v>
      </c>
      <c r="GW15" s="14">
        <f t="shared" si="51"/>
        <v>1.8931767921179217</v>
      </c>
      <c r="GX15" s="22">
        <f t="shared" si="28"/>
        <v>11.915971094051232</v>
      </c>
      <c r="GY15" s="62">
        <f t="shared" si="29"/>
        <v>283.24930442738457</v>
      </c>
      <c r="GZ15" s="62">
        <f ca="1">AVERAGE(OFFSET($GY$3,0,0,'Données projet'!$E$18+1,1))-AVERAGE(OFFSET($H$3,0,0,'Données projet'!$E$18+1,1))</f>
        <v>152.84277478695606</v>
      </c>
      <c r="HA15" s="62">
        <f t="shared" si="52"/>
        <v>179.22995976651015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9">
        <f t="shared" si="1"/>
        <v>273.56405403670931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2">
        <f t="shared" si="0"/>
        <v>299.55821782408742</v>
      </c>
      <c r="S16" s="62">
        <f ca="1">AVERAGE(OFFSET($R$3,0,0,'Données projet'!$E$9+1,1))-AVERAGE(OFFSET($H$3,0,0,'Données projet'!$E$9+1,1))</f>
        <v>383.26814640166805</v>
      </c>
      <c r="T16" s="62">
        <f t="shared" si="34"/>
        <v>233.71216103405249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1.05</v>
      </c>
      <c r="AI16" s="14">
        <f>IF('Données projet'!$A$62&gt;35,AI15+AH16-AQ15,IF(A16&lt;'Données projet'!$A$62,$AF$205^A16,IF(A16='Données projet'!$A$62,'Données projet'!$B$62,AI15+AH16-AQ15)))</f>
        <v>7.235066739107908</v>
      </c>
      <c r="AJ16" s="14">
        <f>AI16*VLOOKUP('Données projet'!$B$10,Paramètres!$A$1:$I$89,3,0)*VLOOKUP('Données projet'!$B$10,Paramètres!$A$1:$I$89,5,0)</f>
        <v>7.7878258379757526</v>
      </c>
      <c r="AK16" s="14">
        <f t="shared" si="35"/>
        <v>2.8262296371164966</v>
      </c>
      <c r="AL16" s="22">
        <f t="shared" si="4"/>
        <v>18.486146619119001</v>
      </c>
      <c r="AM16" s="62">
        <f t="shared" si="5"/>
        <v>291.04170217467453</v>
      </c>
      <c r="AN16" s="62">
        <f ca="1">AVERAGE(OFFSET($AM$3,0,0,'Données projet'!$E$10+1,1))-AVERAGE(OFFSET($H$3,0,0,'Données projet'!$E$10+1,1))</f>
        <v>205.99910063756408</v>
      </c>
      <c r="AO16" s="62">
        <f t="shared" si="36"/>
        <v>128.95330275493671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7.4312217194570129</v>
      </c>
      <c r="BD16" s="13">
        <f>IF('Données projet'!$A$88&gt;35,BD15+BC16-BL15,IF(A16&lt;'Données projet'!$A$88,$BA$205^A16,IF(A16='Données projet'!$A$88,'Données projet'!$B$88,BD15+BC16-BL15)))</f>
        <v>40.460980378841768</v>
      </c>
      <c r="BE16" s="14">
        <f>BD16*VLOOKUP('Données projet'!$B$11,Paramètres!$A$1:$I$89,3,0)*VLOOKUP('Données projet'!$B$11,Paramètres!$A$1:$I$89,5,0)</f>
        <v>24.195666266547377</v>
      </c>
      <c r="BF16" s="14">
        <f t="shared" si="37"/>
        <v>7.6952475537219458</v>
      </c>
      <c r="BG16" s="22">
        <f t="shared" si="7"/>
        <v>55.543341570302402</v>
      </c>
      <c r="BH16" s="62">
        <f t="shared" si="8"/>
        <v>328.09889712585795</v>
      </c>
      <c r="BI16" s="62">
        <f ca="1">AVERAGE(OFFSET($BH$3,0,0,'Données projet'!$E$11+1,1))-AVERAGE(OFFSET($H$3,0,0,'Données projet'!$E$11+1,1))</f>
        <v>222.20580087523689</v>
      </c>
      <c r="BJ16" s="62">
        <f t="shared" si="38"/>
        <v>232.08940427392253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3.4425641025641025</v>
      </c>
      <c r="BY16" s="13">
        <f>IF('Données projet'!$A$114&gt;35,BY15+BX16-CG15,IF(A16&lt;'Données projet'!$A$114,$BV$205^A16,IF(A16='Données projet'!$A$114,'Données projet'!$B$114,BY15+BX16-CG15)))</f>
        <v>7.459930119048451</v>
      </c>
      <c r="BZ16" s="14">
        <f>BY16*VLOOKUP('Données projet'!$B$12,Paramètres!$A$1:$I$89,3,0)*VLOOKUP('Données projet'!$B$12,Paramètres!$A$1:$I$89,5,0)</f>
        <v>3.4912472957146754</v>
      </c>
      <c r="CA16" s="14">
        <f t="shared" si="39"/>
        <v>1.3910083400895945</v>
      </c>
      <c r="CB16" s="22">
        <f t="shared" si="10"/>
        <v>8.5032618990257713</v>
      </c>
      <c r="CC16" s="62">
        <f t="shared" si="11"/>
        <v>281.05881745458129</v>
      </c>
      <c r="CD16" s="62">
        <f ca="1">AVERAGE(OFFSET($CC$3,0,0,'Données projet'!$E$12+1,1))-AVERAGE(OFFSET($H$3,0,0,'Données projet'!$E$12+1,1))</f>
        <v>179.14256291235466</v>
      </c>
      <c r="CE16" s="62">
        <f t="shared" si="40"/>
        <v>107.5256983607585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5.9083916083916082</v>
      </c>
      <c r="CT16" s="13">
        <f>IF('Données projet'!$A$140&gt;35,CT15+CS16-DB15,IF(A16&lt;'Données projet'!$A$140,$CQ$205^A16,IF(A16='Données projet'!$A$140,'Données projet'!$B$140,CT15+CS16-DB15)))</f>
        <v>17.746714902535278</v>
      </c>
      <c r="CU16" s="18">
        <f>CT16*VLOOKUP('Données projet'!$B$13,Paramètres!$A$1:$I$89,3,0)*VLOOKUP('Données projet'!$B$13,Paramètres!$A$1:$I$89,5,0)</f>
        <v>10.612535511716098</v>
      </c>
      <c r="CV16" s="14">
        <f t="shared" si="41"/>
        <v>3.7150603364311414</v>
      </c>
      <c r="CW16" s="22">
        <f t="shared" si="13"/>
        <v>24.953896102189773</v>
      </c>
      <c r="CX16" s="62">
        <f t="shared" si="14"/>
        <v>297.50945165774533</v>
      </c>
      <c r="CY16" s="62">
        <f ca="1">AVERAGE(OFFSET($CX$3,0,0,'Données projet'!$E$13+1,1))-AVERAGE(OFFSET($H$3,0,0,'Données projet'!$E$13+1,1))</f>
        <v>237.03649693529445</v>
      </c>
      <c r="CZ16" s="62">
        <f t="shared" si="42"/>
        <v>191.04289411674887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4.694</v>
      </c>
      <c r="DO16" s="13">
        <f>IF('Données projet'!$A$166&gt;35,DO15+DN16-DW15,IF(A16&lt;'Données projet'!$A$166,$DL$205^A16,IF(A16='Données projet'!$A$166,'Données projet'!$B$166,DO15+DN16-DW15)))</f>
        <v>46.302000000000007</v>
      </c>
      <c r="DP16" s="18">
        <f>DO16*VLOOKUP('Données projet'!$B$14,Paramètres!$A$1:$I$89,3,0)*VLOOKUP('Données projet'!$B$14,Paramètres!$A$1:$I$89,5,0)</f>
        <v>53.339904000000004</v>
      </c>
      <c r="DQ16" s="14">
        <f t="shared" si="43"/>
        <v>15.473031691532988</v>
      </c>
      <c r="DR16" s="22">
        <f t="shared" si="16"/>
        <v>119.84919632941995</v>
      </c>
      <c r="DS16" s="62">
        <f t="shared" si="17"/>
        <v>392.4047518849755</v>
      </c>
      <c r="DT16" s="62">
        <f ca="1">AVERAGE(OFFSET($DS$3,0,0,'Données projet'!$E$14+1,1))-AVERAGE(OFFSET($H$3,0,0,'Données projet'!$E$14+1,1))</f>
        <v>431.38469096974364</v>
      </c>
      <c r="DU16" s="62">
        <f t="shared" si="44"/>
        <v>295.48627059086647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1.1490342312113146</v>
      </c>
      <c r="ED16" s="24">
        <f t="shared" si="18"/>
        <v>1.1490342312113146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1.05</v>
      </c>
      <c r="EJ16" s="13">
        <f>IF('Données projet'!$A$192&gt;35,EJ15+EI16-ER15,IF(A16&lt;'Données projet'!$A$192,$EG$205^A16,IF(A16='Données projet'!$A$192,'Données projet'!$B$192,EJ15+EI16-ER15)))</f>
        <v>7.235066739107908</v>
      </c>
      <c r="EK16" s="18">
        <f>EJ16*VLOOKUP('Données projet'!$B$15,Paramètres!$A$1:$I$89,3,0)*VLOOKUP('Données projet'!$B$15,Paramètres!$A$1:$I$89,5,0)</f>
        <v>8.2392940024960843</v>
      </c>
      <c r="EL16" s="14">
        <f t="shared" si="45"/>
        <v>2.9705199190357412</v>
      </c>
      <c r="EM16" s="22">
        <f t="shared" si="19"/>
        <v>19.523759246667929</v>
      </c>
      <c r="EN16" s="62">
        <f t="shared" si="20"/>
        <v>292.07931480222345</v>
      </c>
      <c r="EO16" s="62">
        <f ca="1">AVERAGE(OFFSET($EN$3,0,0,'Données projet'!$E$15+1,1))-AVERAGE(OFFSET($H$3,0,0,'Données projet'!$E$15+1,1))</f>
        <v>220.03635832253951</v>
      </c>
      <c r="EP16" s="62">
        <f t="shared" si="46"/>
        <v>136.30639155882233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3.1333333333333333</v>
      </c>
      <c r="FE16" s="13">
        <f>IF('Données projet'!$A$218&gt;35,FE15+FD16-FM15,IF(A16&lt;'Données projet'!$A$218,$FB$205^A16,IF(A16='Données projet'!$A$218,'Données projet'!$B$218,FE15+FD16-FM15)))</f>
        <v>28.128817598499669</v>
      </c>
      <c r="FF16" s="18">
        <f>FE16*VLOOKUP('Données projet'!$B$16,Paramètres!$A$1:$I$89,3,0)*VLOOKUP('Données projet'!$B$16,Paramètres!$A$1:$I$89,5,0)</f>
        <v>29.400240153951856</v>
      </c>
      <c r="FG16" s="14">
        <f t="shared" si="47"/>
        <v>9.1408566998410574</v>
      </c>
      <c r="FH16" s="22">
        <f t="shared" si="22"/>
        <v>67.125743687022648</v>
      </c>
      <c r="FI16" s="62">
        <f t="shared" si="23"/>
        <v>339.68129924257818</v>
      </c>
      <c r="FJ16" s="62">
        <f ca="1">AVERAGE(OFFSET($FI$3,0,0,'Données projet'!$E$16+1,1))-AVERAGE(OFFSET($H$3,0,0,'Données projet'!$E$16+1,1))</f>
        <v>641.62708445664862</v>
      </c>
      <c r="FK16" s="62">
        <f t="shared" si="48"/>
        <v>379.46845863546929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1.05</v>
      </c>
      <c r="FZ16" s="13">
        <f>IF('Données projet'!$A$244&gt;35,FZ15+FY16-GH15,IF(A16&lt;'Données projet'!$A$244,$FW$205^A16,IF(A16='Données projet'!$A$244,'Données projet'!$B$244,FZ15+FY16-GH15)))</f>
        <v>7.235066739107908</v>
      </c>
      <c r="GA16" s="18">
        <f>FZ16*VLOOKUP('Données projet'!$B$17,Paramètres!$A$1:$I$89,3,0)*VLOOKUP('Données projet'!$B$17,Paramètres!$A$1:$I$89,5,0)</f>
        <v>6.9977565500651693</v>
      </c>
      <c r="GB16" s="14">
        <f t="shared" si="49"/>
        <v>2.5713292287622704</v>
      </c>
      <c r="GC16" s="22">
        <f t="shared" si="25"/>
        <v>16.666157731457787</v>
      </c>
      <c r="GD16" s="62">
        <f t="shared" si="26"/>
        <v>289.22171328701336</v>
      </c>
      <c r="GE16" s="62">
        <f ca="1">AVERAGE(OFFSET($GD$3,0,0,'Données projet'!$E$17+1,1))-AVERAGE(OFFSET($H$3,0,0,'Données projet'!$E$17+1,1))</f>
        <v>181.39066880931728</v>
      </c>
      <c r="GF16" s="62">
        <f t="shared" si="50"/>
        <v>116.06078566855524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0.9</v>
      </c>
      <c r="GU16" s="13">
        <f>IF('Données projet'!$A$270&gt;35,GU15+GT16-HC15,IF(A16&lt;'Données projet'!$A$270,$GR$205^A16,IF(A16='Données projet'!$A$270,'Données projet'!$B$270,GU15+GT16-HC15)))</f>
        <v>6.5452633975063188</v>
      </c>
      <c r="GV16" s="18">
        <f>GU16*VLOOKUP('Données projet'!$B$18,Paramètres!$A$1:$I$89,3,0)*VLOOKUP('Données projet'!$B$18,Paramètres!$A$1:$I$89,5,0)</f>
        <v>5.717942104061521</v>
      </c>
      <c r="GW16" s="14">
        <f t="shared" si="51"/>
        <v>2.1510430944381391</v>
      </c>
      <c r="GX16" s="22">
        <f t="shared" si="28"/>
        <v>13.705149220720239</v>
      </c>
      <c r="GY16" s="62">
        <f t="shared" si="29"/>
        <v>286.26070477627576</v>
      </c>
      <c r="GZ16" s="62">
        <f ca="1">AVERAGE(OFFSET($GY$3,0,0,'Données projet'!$E$18+1,1))-AVERAGE(OFFSET($H$3,0,0,'Données projet'!$E$18+1,1))</f>
        <v>152.84277478695606</v>
      </c>
      <c r="HA16" s="62">
        <f t="shared" si="52"/>
        <v>179.22995976651015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9">
        <f t="shared" si="1"/>
        <v>274.82190502633887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2">
        <f t="shared" si="0"/>
        <v>306.14877929230755</v>
      </c>
      <c r="S17" s="62">
        <f ca="1">AVERAGE(OFFSET($R$3,0,0,'Données projet'!$E$9+1,1))-AVERAGE(OFFSET($H$3,0,0,'Données projet'!$E$9+1,1))</f>
        <v>383.26814640166805</v>
      </c>
      <c r="T17" s="62">
        <f t="shared" si="34"/>
        <v>233.71216103405249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1.05</v>
      </c>
      <c r="AI17" s="14">
        <f>IF('Données projet'!$A$62&gt;35,AI16+AH17-AQ16,IF(A17&lt;'Données projet'!$A$62,$AF$205^A17,IF(A17='Données projet'!$A$62,'Données projet'!$B$62,AI16+AH17-AQ16)))</f>
        <v>8.4246817951744681</v>
      </c>
      <c r="AJ17" s="14">
        <f>AI17*VLOOKUP('Données projet'!$B$10,Paramètres!$A$1:$I$89,3,0)*VLOOKUP('Données projet'!$B$10,Paramètres!$A$1:$I$89,5,0)</f>
        <v>9.0683274843257973</v>
      </c>
      <c r="AK17" s="14">
        <f t="shared" si="35"/>
        <v>3.2331294591120168</v>
      </c>
      <c r="AL17" s="22">
        <f t="shared" si="4"/>
        <v>21.425037509820857</v>
      </c>
      <c r="AM17" s="62">
        <f t="shared" si="5"/>
        <v>295.20281528759864</v>
      </c>
      <c r="AN17" s="62">
        <f ca="1">AVERAGE(OFFSET($AM$3,0,0,'Données projet'!$E$10+1,1))-AVERAGE(OFFSET($H$3,0,0,'Données projet'!$E$10+1,1))</f>
        <v>205.99910063756408</v>
      </c>
      <c r="AO17" s="62">
        <f t="shared" si="36"/>
        <v>128.95330275493671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7.4312217194570129</v>
      </c>
      <c r="BD17" s="13">
        <f>IF('Données projet'!$A$88&gt;35,BD16+BC17-BL16,IF(A17&lt;'Données projet'!$A$88,$BA$205^A17,IF(A17='Données projet'!$A$88,'Données projet'!$B$88,BD16+BC17-BL16)))</f>
        <v>53.784184291233551</v>
      </c>
      <c r="BE17" s="14">
        <f>BD17*VLOOKUP('Données projet'!$B$11,Paramètres!$A$1:$I$89,3,0)*VLOOKUP('Données projet'!$B$11,Paramètres!$A$1:$I$89,5,0)</f>
        <v>32.162942206157666</v>
      </c>
      <c r="BF17" s="14">
        <f t="shared" si="37"/>
        <v>9.8958162734145461</v>
      </c>
      <c r="BG17" s="22">
        <f t="shared" si="7"/>
        <v>73.252337685254929</v>
      </c>
      <c r="BH17" s="62">
        <f t="shared" si="8"/>
        <v>347.0301154630327</v>
      </c>
      <c r="BI17" s="62">
        <f ca="1">AVERAGE(OFFSET($BH$3,0,0,'Données projet'!$E$11+1,1))-AVERAGE(OFFSET($H$3,0,0,'Données projet'!$E$11+1,1))</f>
        <v>222.20580087523689</v>
      </c>
      <c r="BJ17" s="62">
        <f t="shared" si="38"/>
        <v>232.08940427392253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3.4425641025641025</v>
      </c>
      <c r="BY17" s="13">
        <f>IF('Données projet'!$A$114&gt;35,BY16+BX17-CG16,IF(A17&lt;'Données projet'!$A$114,$BV$205^A17,IF(A17='Données projet'!$A$114,'Données projet'!$B$114,BY16+BX17-CG16)))</f>
        <v>8.7069931392376674</v>
      </c>
      <c r="BZ17" s="14">
        <f>BY17*VLOOKUP('Données projet'!$B$12,Paramètres!$A$1:$I$89,3,0)*VLOOKUP('Données projet'!$B$12,Paramètres!$A$1:$I$89,5,0)</f>
        <v>4.0748727891632281</v>
      </c>
      <c r="CA17" s="14">
        <f t="shared" si="39"/>
        <v>1.5945892948181934</v>
      </c>
      <c r="CB17" s="22">
        <f t="shared" si="10"/>
        <v>9.8743131296009761</v>
      </c>
      <c r="CC17" s="62">
        <f t="shared" si="11"/>
        <v>283.65209090737875</v>
      </c>
      <c r="CD17" s="62">
        <f ca="1">AVERAGE(OFFSET($CC$3,0,0,'Données projet'!$E$12+1,1))-AVERAGE(OFFSET($H$3,0,0,'Données projet'!$E$12+1,1))</f>
        <v>179.14256291235466</v>
      </c>
      <c r="CE17" s="62">
        <f t="shared" si="40"/>
        <v>107.5256983607585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5.9083916083916082</v>
      </c>
      <c r="CT17" s="13">
        <f>IF('Données projet'!$A$140&gt;35,CT16+CS17-DB16,IF(A17&lt;'Données projet'!$A$140,$CQ$205^A17,IF(A17='Données projet'!$A$140,'Données projet'!$B$140,CT16+CS17-DB16)))</f>
        <v>22.141343539670387</v>
      </c>
      <c r="CU17" s="18">
        <f>CT17*VLOOKUP('Données projet'!$B$13,Paramètres!$A$1:$I$89,3,0)*VLOOKUP('Données projet'!$B$13,Paramètres!$A$1:$I$89,5,0)</f>
        <v>13.240523436722894</v>
      </c>
      <c r="CV17" s="14">
        <f t="shared" si="41"/>
        <v>4.5171806517541881</v>
      </c>
      <c r="CW17" s="22">
        <f t="shared" si="13"/>
        <v>30.928001287430916</v>
      </c>
      <c r="CX17" s="62">
        <f t="shared" si="14"/>
        <v>304.70577906520867</v>
      </c>
      <c r="CY17" s="62">
        <f ca="1">AVERAGE(OFFSET($CX$3,0,0,'Données projet'!$E$13+1,1))-AVERAGE(OFFSET($H$3,0,0,'Données projet'!$E$13+1,1))</f>
        <v>237.03649693529445</v>
      </c>
      <c r="CZ17" s="62">
        <f t="shared" si="42"/>
        <v>191.04289411674887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4.694</v>
      </c>
      <c r="DO17" s="13">
        <f>IF('Données projet'!$A$166&gt;35,DO16+DN17-DW16,IF(A17&lt;'Données projet'!$A$166,$DL$205^A17,IF(A17='Données projet'!$A$166,'Données projet'!$B$166,DO16+DN17-DW16)))</f>
        <v>50.996000000000009</v>
      </c>
      <c r="DP17" s="18">
        <f>DO17*VLOOKUP('Données projet'!$B$14,Paramètres!$A$1:$I$89,3,0)*VLOOKUP('Données projet'!$B$14,Paramètres!$A$1:$I$89,5,0)</f>
        <v>58.747392000000005</v>
      </c>
      <c r="DQ17" s="14">
        <f t="shared" si="43"/>
        <v>16.851182588368523</v>
      </c>
      <c r="DR17" s="22">
        <f t="shared" si="16"/>
        <v>131.66751740807521</v>
      </c>
      <c r="DS17" s="62">
        <f t="shared" si="17"/>
        <v>405.44529518585296</v>
      </c>
      <c r="DT17" s="62">
        <f ca="1">AVERAGE(OFFSET($DS$3,0,0,'Données projet'!$E$14+1,1))-AVERAGE(OFFSET($H$3,0,0,'Données projet'!$E$14+1,1))</f>
        <v>431.38469096974364</v>
      </c>
      <c r="DU17" s="62">
        <f t="shared" si="44"/>
        <v>295.48627059086647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0.81248989670499194</v>
      </c>
      <c r="ED17" s="24">
        <f t="shared" si="18"/>
        <v>0.81248989670499194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1.05</v>
      </c>
      <c r="EJ17" s="13">
        <f>IF('Données projet'!$A$192&gt;35,EJ16+EI17-ER16,IF(A17&lt;'Données projet'!$A$192,$EG$205^A17,IF(A17='Données projet'!$A$192,'Données projet'!$B$192,EJ16+EI17-ER16)))</f>
        <v>8.4246817951744681</v>
      </c>
      <c r="EK17" s="18">
        <f>EJ17*VLOOKUP('Données projet'!$B$15,Paramètres!$A$1:$I$89,3,0)*VLOOKUP('Données projet'!$B$15,Paramètres!$A$1:$I$89,5,0)</f>
        <v>9.5940276283446835</v>
      </c>
      <c r="EL17" s="14">
        <f t="shared" si="45"/>
        <v>3.3981935979244091</v>
      </c>
      <c r="EM17" s="22">
        <f t="shared" si="19"/>
        <v>22.628118635752003</v>
      </c>
      <c r="EN17" s="62">
        <f t="shared" si="20"/>
        <v>296.40589641352977</v>
      </c>
      <c r="EO17" s="62">
        <f ca="1">AVERAGE(OFFSET($EN$3,0,0,'Données projet'!$E$15+1,1))-AVERAGE(OFFSET($H$3,0,0,'Données projet'!$E$15+1,1))</f>
        <v>220.03635832253951</v>
      </c>
      <c r="EP17" s="62">
        <f t="shared" si="46"/>
        <v>136.30639155882233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3.1333333333333333</v>
      </c>
      <c r="FE17" s="13">
        <f>IF('Données projet'!$A$218&gt;35,FE16+FD17-FM16,IF(A17&lt;'Données projet'!$A$218,$FB$205^A17,IF(A17='Données projet'!$A$218,'Données projet'!$B$218,FE16+FD17-FM16)))</f>
        <v>36.360066379607787</v>
      </c>
      <c r="FF17" s="18">
        <f>FE17*VLOOKUP('Données projet'!$B$16,Paramètres!$A$1:$I$89,3,0)*VLOOKUP('Données projet'!$B$16,Paramètres!$A$1:$I$89,5,0)</f>
        <v>38.003541379966066</v>
      </c>
      <c r="FG17" s="14">
        <f t="shared" si="47"/>
        <v>11.467918867396628</v>
      </c>
      <c r="FH17" s="22">
        <f t="shared" si="22"/>
        <v>86.16279326415669</v>
      </c>
      <c r="FI17" s="62">
        <f t="shared" si="23"/>
        <v>359.94057104193445</v>
      </c>
      <c r="FJ17" s="62">
        <f ca="1">AVERAGE(OFFSET($FI$3,0,0,'Données projet'!$E$16+1,1))-AVERAGE(OFFSET($H$3,0,0,'Données projet'!$E$16+1,1))</f>
        <v>641.62708445664862</v>
      </c>
      <c r="FK17" s="62">
        <f t="shared" si="48"/>
        <v>379.46845863546929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1.05</v>
      </c>
      <c r="FZ17" s="13">
        <f>IF('Données projet'!$A$244&gt;35,FZ16+FY17-GH16,IF(A17&lt;'Données projet'!$A$244,$FW$205^A17,IF(A17='Données projet'!$A$244,'Données projet'!$B$244,FZ16+FY17-GH16)))</f>
        <v>8.4246817951744681</v>
      </c>
      <c r="GA17" s="18">
        <f>FZ17*VLOOKUP('Données projet'!$B$17,Paramètres!$A$1:$I$89,3,0)*VLOOKUP('Données projet'!$B$17,Paramètres!$A$1:$I$89,5,0)</f>
        <v>8.148352232292746</v>
      </c>
      <c r="GB17" s="14">
        <f t="shared" si="49"/>
        <v>2.9415303588242718</v>
      </c>
      <c r="GC17" s="22">
        <f t="shared" si="25"/>
        <v>19.314878846195473</v>
      </c>
      <c r="GD17" s="62">
        <f t="shared" si="26"/>
        <v>293.09265662397326</v>
      </c>
      <c r="GE17" s="62">
        <f ca="1">AVERAGE(OFFSET($GD$3,0,0,'Données projet'!$E$17+1,1))-AVERAGE(OFFSET($H$3,0,0,'Données projet'!$E$17+1,1))</f>
        <v>181.39066880931728</v>
      </c>
      <c r="GF17" s="62">
        <f t="shared" si="50"/>
        <v>116.06078566855524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0.9</v>
      </c>
      <c r="GU17" s="13">
        <f>IF('Données projet'!$A$270&gt;35,GU16+GT17-HC16,IF(A17&lt;'Données projet'!$A$270,$GR$205^A17,IF(A17='Données projet'!$A$270,'Données projet'!$B$270,GU16+GT17-HC16)))</f>
        <v>7.5629417171254145</v>
      </c>
      <c r="GV17" s="18">
        <f>GU17*VLOOKUP('Données projet'!$B$18,Paramètres!$A$1:$I$89,3,0)*VLOOKUP('Données projet'!$B$18,Paramètres!$A$1:$I$89,5,0)</f>
        <v>6.6069858840807631</v>
      </c>
      <c r="GW17" s="14">
        <f t="shared" si="51"/>
        <v>2.4440329151477385</v>
      </c>
      <c r="GX17" s="22">
        <f t="shared" si="28"/>
        <v>15.763857741989639</v>
      </c>
      <c r="GY17" s="62">
        <f t="shared" si="29"/>
        <v>289.5416355197674</v>
      </c>
      <c r="GZ17" s="62">
        <f ca="1">AVERAGE(OFFSET($GY$3,0,0,'Données projet'!$E$18+1,1))-AVERAGE(OFFSET($H$3,0,0,'Données projet'!$E$18+1,1))</f>
        <v>152.84277478695606</v>
      </c>
      <c r="HA17" s="62">
        <f t="shared" si="52"/>
        <v>179.22995976651015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9">
        <f t="shared" si="1"/>
        <v>276.07721264982155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2">
        <f t="shared" si="0"/>
        <v>313.81008211298388</v>
      </c>
      <c r="S18" s="62">
        <f ca="1">AVERAGE(OFFSET($R$3,0,0,'Données projet'!$E$9+1,1))-AVERAGE(OFFSET($H$3,0,0,'Données projet'!$E$9+1,1))</f>
        <v>383.26814640166805</v>
      </c>
      <c r="T18" s="62">
        <f t="shared" si="34"/>
        <v>233.71216103405249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1.05</v>
      </c>
      <c r="AI18" s="14">
        <f>IF('Données projet'!$A$62&gt;35,AI17+AH18-AQ17,IF(A18&lt;'Données projet'!$A$62,$AF$205^A18,IF(A18='Données projet'!$A$62,'Données projet'!$B$62,AI17+AH18-AQ17)))</f>
        <v>9.8098975322922115</v>
      </c>
      <c r="AJ18" s="14">
        <f>AI18*VLOOKUP('Données projet'!$B$10,Paramètres!$A$1:$I$89,3,0)*VLOOKUP('Données projet'!$B$10,Paramètres!$A$1:$I$89,5,0)</f>
        <v>10.559373703759336</v>
      </c>
      <c r="AK18" s="14">
        <f t="shared" si="35"/>
        <v>3.6986117341982632</v>
      </c>
      <c r="AL18" s="22">
        <f t="shared" si="4"/>
        <v>24.832657971109484</v>
      </c>
      <c r="AM18" s="62">
        <f t="shared" si="5"/>
        <v>299.83265797110948</v>
      </c>
      <c r="AN18" s="62">
        <f ca="1">AVERAGE(OFFSET($AM$3,0,0,'Données projet'!$E$10+1,1))-AVERAGE(OFFSET($H$3,0,0,'Données projet'!$E$10+1,1))</f>
        <v>205.99910063756408</v>
      </c>
      <c r="AO18" s="62">
        <f t="shared" si="36"/>
        <v>128.95330275493671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7.4312217194570129</v>
      </c>
      <c r="BD18" s="13">
        <f>IF('Données projet'!$A$88&gt;35,BD17+BC18-BL17,IF(A18&lt;'Données projet'!$A$88,$BA$205^A18,IF(A18='Données projet'!$A$88,'Données projet'!$B$88,BD17+BC18-BL17)))</f>
        <v>71.494522692931866</v>
      </c>
      <c r="BE18" s="14">
        <f>BD18*VLOOKUP('Données projet'!$B$11,Paramètres!$A$1:$I$89,3,0)*VLOOKUP('Données projet'!$B$11,Paramètres!$A$1:$I$89,5,0)</f>
        <v>42.753724570373258</v>
      </c>
      <c r="BF18" s="14">
        <f t="shared" si="37"/>
        <v>12.725669841487028</v>
      </c>
      <c r="BG18" s="22">
        <f t="shared" si="7"/>
        <v>96.626611933989992</v>
      </c>
      <c r="BH18" s="62">
        <f t="shared" si="8"/>
        <v>371.62661193398998</v>
      </c>
      <c r="BI18" s="62">
        <f ca="1">AVERAGE(OFFSET($BH$3,0,0,'Données projet'!$E$11+1,1))-AVERAGE(OFFSET($H$3,0,0,'Données projet'!$E$11+1,1))</f>
        <v>222.20580087523689</v>
      </c>
      <c r="BJ18" s="62">
        <f t="shared" si="38"/>
        <v>232.08940427392253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3.4425641025641025</v>
      </c>
      <c r="BY18" s="13">
        <f>IF('Données projet'!$A$114&gt;35,BY17+BX18-CG17,IF(A18&lt;'Données projet'!$A$114,$BV$205^A18,IF(A18='Données projet'!$A$114,'Données projet'!$B$114,BY17+BX18-CG17)))</f>
        <v>10.162525428107084</v>
      </c>
      <c r="BZ18" s="14">
        <f>BY18*VLOOKUP('Données projet'!$B$12,Paramètres!$A$1:$I$89,3,0)*VLOOKUP('Données projet'!$B$12,Paramètres!$A$1:$I$89,5,0)</f>
        <v>4.7560619003541156</v>
      </c>
      <c r="CA18" s="14">
        <f t="shared" si="39"/>
        <v>1.8279653298016947</v>
      </c>
      <c r="CB18" s="22">
        <f t="shared" si="10"/>
        <v>11.467180759188034</v>
      </c>
      <c r="CC18" s="62">
        <f t="shared" si="11"/>
        <v>286.46718075918801</v>
      </c>
      <c r="CD18" s="62">
        <f ca="1">AVERAGE(OFFSET($CC$3,0,0,'Données projet'!$E$12+1,1))-AVERAGE(OFFSET($H$3,0,0,'Données projet'!$E$12+1,1))</f>
        <v>179.14256291235466</v>
      </c>
      <c r="CE18" s="62">
        <f t="shared" si="40"/>
        <v>107.5256983607585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5.9083916083916082</v>
      </c>
      <c r="CT18" s="13">
        <f>IF('Données projet'!$A$140&gt;35,CT17+CS18-DB17,IF(A18&lt;'Données projet'!$A$140,$CQ$205^A18,IF(A18='Données projet'!$A$140,'Données projet'!$B$140,CT17+CS18-DB17)))</f>
        <v>27.62421644986637</v>
      </c>
      <c r="CU18" s="18">
        <f>CT18*VLOOKUP('Données projet'!$B$13,Paramètres!$A$1:$I$89,3,0)*VLOOKUP('Données projet'!$B$13,Paramètres!$A$1:$I$89,5,0)</f>
        <v>16.519281437020091</v>
      </c>
      <c r="CV18" s="14">
        <f t="shared" si="41"/>
        <v>5.4924871180381194</v>
      </c>
      <c r="CW18" s="22">
        <f t="shared" si="13"/>
        <v>38.337163566726382</v>
      </c>
      <c r="CX18" s="62">
        <f t="shared" si="14"/>
        <v>313.33716356672636</v>
      </c>
      <c r="CY18" s="62">
        <f ca="1">AVERAGE(OFFSET($CX$3,0,0,'Données projet'!$E$13+1,1))-AVERAGE(OFFSET($H$3,0,0,'Données projet'!$E$13+1,1))</f>
        <v>237.03649693529445</v>
      </c>
      <c r="CZ18" s="62">
        <f t="shared" si="42"/>
        <v>191.04289411674887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4.694</v>
      </c>
      <c r="DO18" s="13">
        <f>IF('Données projet'!$A$166&gt;35,DO17+DN18-DW17,IF(A18&lt;'Données projet'!$A$166,$DL$205^A18,IF(A18='Données projet'!$A$166,'Données projet'!$B$166,DO17+DN18-DW17)))</f>
        <v>55.690000000000012</v>
      </c>
      <c r="DP18" s="18">
        <f>DO18*VLOOKUP('Données projet'!$B$14,Paramètres!$A$1:$I$89,3,0)*VLOOKUP('Données projet'!$B$14,Paramètres!$A$1:$I$89,5,0)</f>
        <v>64.154880000000006</v>
      </c>
      <c r="DQ18" s="14">
        <f t="shared" si="43"/>
        <v>18.214624607386234</v>
      </c>
      <c r="DR18" s="22">
        <f t="shared" si="16"/>
        <v>143.46022052453102</v>
      </c>
      <c r="DS18" s="62">
        <f t="shared" si="17"/>
        <v>418.460220524531</v>
      </c>
      <c r="DT18" s="62">
        <f ca="1">AVERAGE(OFFSET($DS$3,0,0,'Données projet'!$E$14+1,1))-AVERAGE(OFFSET($H$3,0,0,'Données projet'!$E$14+1,1))</f>
        <v>431.38469096974364</v>
      </c>
      <c r="DU18" s="62">
        <f t="shared" si="44"/>
        <v>295.48627059086647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0.57451711560565732</v>
      </c>
      <c r="ED18" s="24">
        <f t="shared" si="18"/>
        <v>0.57451711560565732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1.05</v>
      </c>
      <c r="EJ18" s="13">
        <f>IF('Données projet'!$A$192&gt;35,EJ17+EI18-ER17,IF(A18&lt;'Données projet'!$A$192,$EG$205^A18,IF(A18='Données projet'!$A$192,'Données projet'!$B$192,EJ17+EI18-ER17)))</f>
        <v>9.8098975322922115</v>
      </c>
      <c r="EK18" s="18">
        <f>EJ18*VLOOKUP('Données projet'!$B$15,Paramètres!$A$1:$I$89,3,0)*VLOOKUP('Données projet'!$B$15,Paramètres!$A$1:$I$89,5,0)</f>
        <v>11.17151130977437</v>
      </c>
      <c r="EL18" s="14">
        <f t="shared" si="45"/>
        <v>3.8874405975109365</v>
      </c>
      <c r="EM18" s="22">
        <f t="shared" si="19"/>
        <v>26.227674571855243</v>
      </c>
      <c r="EN18" s="62">
        <f t="shared" si="20"/>
        <v>301.22767457185523</v>
      </c>
      <c r="EO18" s="62">
        <f ca="1">AVERAGE(OFFSET($EN$3,0,0,'Données projet'!$E$15+1,1))-AVERAGE(OFFSET($H$3,0,0,'Données projet'!$E$15+1,1))</f>
        <v>220.03635832253951</v>
      </c>
      <c r="EP18" s="62">
        <f t="shared" si="46"/>
        <v>136.30639155882233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47</v>
      </c>
      <c r="FC18" s="13">
        <f>VLOOKUP(A18,'Données projet'!$A$217:$I$237,9,0)</f>
        <v>3.1333333333333333</v>
      </c>
      <c r="FD18" s="13">
        <f t="array" ref="FD18">INDEX(FC:FC,MIN(IF(ISNUMBER(FC18:FC214),ROW(FC18:FC214),"")))</f>
        <v>3.1333333333333333</v>
      </c>
      <c r="FE18" s="13">
        <f>IF('Données projet'!$A$218&gt;35,FE17+FD18-FM17,IF(A18&lt;'Données projet'!$A$218,$FB$205^A18,IF(A18='Données projet'!$A$218,'Données projet'!$B$218,FE17+FD18-FM17)))</f>
        <v>47</v>
      </c>
      <c r="FF18" s="18">
        <f>FE18*VLOOKUP('Données projet'!$B$16,Paramètres!$A$1:$I$89,3,0)*VLOOKUP('Données projet'!$B$16,Paramètres!$A$1:$I$89,5,0)</f>
        <v>49.124400000000001</v>
      </c>
      <c r="FG18" s="14">
        <f t="shared" si="47"/>
        <v>14.38740016036772</v>
      </c>
      <c r="FH18" s="22">
        <f t="shared" si="22"/>
        <v>110.61638527930711</v>
      </c>
      <c r="FI18" s="62">
        <f t="shared" si="23"/>
        <v>385.61638527930711</v>
      </c>
      <c r="FJ18" s="62">
        <f ca="1">AVERAGE(OFFSET($FI$3,0,0,'Données projet'!$E$16+1,1))-AVERAGE(OFFSET($H$3,0,0,'Données projet'!$E$16+1,1))</f>
        <v>641.62708445664862</v>
      </c>
      <c r="FK18" s="62">
        <f t="shared" si="48"/>
        <v>379.46845863546929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1.05</v>
      </c>
      <c r="FZ18" s="13">
        <f>IF('Données projet'!$A$244&gt;35,FZ17+FY18-GH17,IF(A18&lt;'Données projet'!$A$244,$FW$205^A18,IF(A18='Données projet'!$A$244,'Données projet'!$B$244,FZ17+FY18-GH17)))</f>
        <v>9.8098975322922115</v>
      </c>
      <c r="GA18" s="18">
        <f>FZ18*VLOOKUP('Données projet'!$B$17,Paramètres!$A$1:$I$89,3,0)*VLOOKUP('Données projet'!$B$17,Paramètres!$A$1:$I$89,5,0)</f>
        <v>9.4881328932330273</v>
      </c>
      <c r="GB18" s="14">
        <f t="shared" si="49"/>
        <v>3.3650303333773621</v>
      </c>
      <c r="GC18" s="22">
        <f t="shared" si="25"/>
        <v>22.385925953013096</v>
      </c>
      <c r="GD18" s="62">
        <f t="shared" si="26"/>
        <v>297.3859259530131</v>
      </c>
      <c r="GE18" s="62">
        <f ca="1">AVERAGE(OFFSET($GD$3,0,0,'Données projet'!$E$17+1,1))-AVERAGE(OFFSET($H$3,0,0,'Données projet'!$E$17+1,1))</f>
        <v>181.39066880931728</v>
      </c>
      <c r="GF18" s="62">
        <f t="shared" si="50"/>
        <v>116.06078566855524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0.9</v>
      </c>
      <c r="GU18" s="13">
        <f>IF('Données projet'!$A$270&gt;35,GU17+GT18-HC17,IF(A18&lt;'Données projet'!$A$270,$GR$205^A18,IF(A18='Données projet'!$A$270,'Données projet'!$B$270,GU17+GT18-HC17)))</f>
        <v>8.7388518907318247</v>
      </c>
      <c r="GV18" s="18">
        <f>GU18*VLOOKUP('Données projet'!$B$18,Paramètres!$A$1:$I$89,3,0)*VLOOKUP('Données projet'!$B$18,Paramètres!$A$1:$I$89,5,0)</f>
        <v>7.6342610117433241</v>
      </c>
      <c r="GW18" s="14">
        <f t="shared" si="51"/>
        <v>2.7769303673043324</v>
      </c>
      <c r="GX18" s="22">
        <f t="shared" si="28"/>
        <v>18.132824985174668</v>
      </c>
      <c r="GY18" s="62">
        <f t="shared" si="29"/>
        <v>293.13282498517469</v>
      </c>
      <c r="GZ18" s="62">
        <f ca="1">AVERAGE(OFFSET($GY$3,0,0,'Données projet'!$E$18+1,1))-AVERAGE(OFFSET($H$3,0,0,'Données projet'!$E$18+1,1))</f>
        <v>152.84277478695606</v>
      </c>
      <c r="HA18" s="62">
        <f t="shared" si="52"/>
        <v>179.22995976651015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9">
        <f t="shared" si="1"/>
        <v>277.33016575790663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2">
        <f t="shared" si="0"/>
        <v>322.75633550905911</v>
      </c>
      <c r="S19" s="62">
        <f ca="1">AVERAGE(OFFSET($R$3,0,0,'Données projet'!$E$9+1,1))-AVERAGE(OFFSET($H$3,0,0,'Données projet'!$E$9+1,1))</f>
        <v>383.26814640166805</v>
      </c>
      <c r="T19" s="62">
        <f t="shared" si="34"/>
        <v>233.71216103405249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1.05</v>
      </c>
      <c r="AI19" s="14">
        <f>IF('Données projet'!$A$62&gt;35,AI18+AH19-AQ18,IF(A19&lt;'Données projet'!$A$62,$AF$205^A19,IF(A19='Données projet'!$A$62,'Données projet'!$B$62,AI18+AH19-AQ18)))</f>
        <v>11.42287530066646</v>
      </c>
      <c r="AJ19" s="14">
        <f>AI19*VLOOKUP('Données projet'!$B$10,Paramètres!$A$1:$I$89,3,0)*VLOOKUP('Données projet'!$B$10,Paramètres!$A$1:$I$89,5,0)</f>
        <v>12.295582973637377</v>
      </c>
      <c r="AK19" s="14">
        <f t="shared" si="35"/>
        <v>4.2311107344604242</v>
      </c>
      <c r="AL19" s="22">
        <f t="shared" si="4"/>
        <v>28.783991541603669</v>
      </c>
      <c r="AM19" s="62">
        <f t="shared" si="5"/>
        <v>305.00621376382588</v>
      </c>
      <c r="AN19" s="62">
        <f ca="1">AVERAGE(OFFSET($AM$3,0,0,'Données projet'!$E$10+1,1))-AVERAGE(OFFSET($H$3,0,0,'Données projet'!$E$10+1,1))</f>
        <v>205.99910063756408</v>
      </c>
      <c r="AO19" s="62">
        <f t="shared" si="36"/>
        <v>128.95330275493671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7.4312217194570129</v>
      </c>
      <c r="BD19" s="13">
        <f>IF('Données projet'!$A$88&gt;35,BD18+BC19-BL18,IF(A19&lt;'Données projet'!$A$88,$BA$205^A19,IF(A19='Données projet'!$A$88,'Données projet'!$B$88,BD18+BC19-BL18)))</f>
        <v>95.036614247271999</v>
      </c>
      <c r="BE19" s="14">
        <f>BD19*VLOOKUP('Données projet'!$B$11,Paramètres!$A$1:$I$89,3,0)*VLOOKUP('Données projet'!$B$11,Paramètres!$A$1:$I$89,5,0)</f>
        <v>56.831895319868664</v>
      </c>
      <c r="BF19" s="14">
        <f t="shared" si="37"/>
        <v>16.364761474967661</v>
      </c>
      <c r="BG19" s="22">
        <f t="shared" si="7"/>
        <v>127.4841772510066</v>
      </c>
      <c r="BH19" s="62">
        <f t="shared" si="8"/>
        <v>403.70639947322883</v>
      </c>
      <c r="BI19" s="62">
        <f ca="1">AVERAGE(OFFSET($BH$3,0,0,'Données projet'!$E$11+1,1))-AVERAGE(OFFSET($H$3,0,0,'Données projet'!$E$11+1,1))</f>
        <v>222.20580087523689</v>
      </c>
      <c r="BJ19" s="62">
        <f t="shared" si="38"/>
        <v>232.08940427392253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3.4425641025641025</v>
      </c>
      <c r="BY19" s="13">
        <f>IF('Données projet'!$A$114&gt;35,BY18+BX19-CG18,IF(A19&lt;'Données projet'!$A$114,$BV$205^A19,IF(A19='Données projet'!$A$114,'Données projet'!$B$114,BY18+BX19-CG18)))</f>
        <v>11.861376416102864</v>
      </c>
      <c r="BZ19" s="14">
        <f>BY19*VLOOKUP('Données projet'!$B$12,Paramètres!$A$1:$I$89,3,0)*VLOOKUP('Données projet'!$B$12,Paramètres!$A$1:$I$89,5,0)</f>
        <v>5.5511241627361398</v>
      </c>
      <c r="CA19" s="14">
        <f t="shared" si="39"/>
        <v>2.0954971024924585</v>
      </c>
      <c r="CB19" s="22">
        <f t="shared" si="10"/>
        <v>13.31786537027314</v>
      </c>
      <c r="CC19" s="62">
        <f t="shared" si="11"/>
        <v>289.54008759249535</v>
      </c>
      <c r="CD19" s="62">
        <f ca="1">AVERAGE(OFFSET($CC$3,0,0,'Données projet'!$E$12+1,1))-AVERAGE(OFFSET($H$3,0,0,'Données projet'!$E$12+1,1))</f>
        <v>179.14256291235466</v>
      </c>
      <c r="CE19" s="62">
        <f t="shared" si="40"/>
        <v>107.5256983607585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5.9083916083916082</v>
      </c>
      <c r="CT19" s="13">
        <f>IF('Données projet'!$A$140&gt;35,CT18+CS19-DB18,IF(A19&lt;'Données projet'!$A$140,$CQ$205^A19,IF(A19='Données projet'!$A$140,'Données projet'!$B$140,CT18+CS19-DB18)))</f>
        <v>34.464816152725106</v>
      </c>
      <c r="CU19" s="18">
        <f>CT19*VLOOKUP('Données projet'!$B$13,Paramètres!$A$1:$I$89,3,0)*VLOOKUP('Données projet'!$B$13,Paramètres!$A$1:$I$89,5,0)</f>
        <v>20.609960059329616</v>
      </c>
      <c r="CV19" s="14">
        <f t="shared" si="41"/>
        <v>6.6783724334999919</v>
      </c>
      <c r="CW19" s="22">
        <f t="shared" si="13"/>
        <v>47.527179091678228</v>
      </c>
      <c r="CX19" s="62">
        <f t="shared" si="14"/>
        <v>323.74940131390048</v>
      </c>
      <c r="CY19" s="62">
        <f ca="1">AVERAGE(OFFSET($CX$3,0,0,'Données projet'!$E$13+1,1))-AVERAGE(OFFSET($H$3,0,0,'Données projet'!$E$13+1,1))</f>
        <v>237.03649693529445</v>
      </c>
      <c r="CZ19" s="62">
        <f t="shared" si="42"/>
        <v>191.04289411674887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4.694</v>
      </c>
      <c r="DO19" s="13">
        <f>IF('Données projet'!$A$166&gt;35,DO18+DN19-DW18,IF(A19&lt;'Données projet'!$A$166,$DL$205^A19,IF(A19='Données projet'!$A$166,'Données projet'!$B$166,DO18+DN19-DW18)))</f>
        <v>60.384000000000015</v>
      </c>
      <c r="DP19" s="18">
        <f>DO19*VLOOKUP('Données projet'!$B$14,Paramètres!$A$1:$I$89,3,0)*VLOOKUP('Données projet'!$B$14,Paramètres!$A$1:$I$89,5,0)</f>
        <v>69.562368000000021</v>
      </c>
      <c r="DQ19" s="14">
        <f t="shared" si="43"/>
        <v>19.564738485305391</v>
      </c>
      <c r="DR19" s="22">
        <f t="shared" si="16"/>
        <v>155.2297104619069</v>
      </c>
      <c r="DS19" s="62">
        <f t="shared" si="17"/>
        <v>431.45193268412913</v>
      </c>
      <c r="DT19" s="62">
        <f ca="1">AVERAGE(OFFSET($DS$3,0,0,'Données projet'!$E$14+1,1))-AVERAGE(OFFSET($H$3,0,0,'Données projet'!$E$14+1,1))</f>
        <v>431.38469096974364</v>
      </c>
      <c r="DU19" s="62">
        <f t="shared" si="44"/>
        <v>295.48627059086647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0.40624494835249597</v>
      </c>
      <c r="ED19" s="24">
        <f t="shared" si="18"/>
        <v>0.40624494835249597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1.05</v>
      </c>
      <c r="EJ19" s="13">
        <f>IF('Données projet'!$A$192&gt;35,EJ18+EI19-ER18,IF(A19&lt;'Données projet'!$A$192,$EG$205^A19,IF(A19='Données projet'!$A$192,'Données projet'!$B$192,EJ18+EI19-ER18)))</f>
        <v>11.42287530066646</v>
      </c>
      <c r="EK19" s="18">
        <f>EJ19*VLOOKUP('Données projet'!$B$15,Paramètres!$A$1:$I$89,3,0)*VLOOKUP('Données projet'!$B$15,Paramètres!$A$1:$I$89,5,0)</f>
        <v>13.008370392398964</v>
      </c>
      <c r="EL19" s="14">
        <f t="shared" si="45"/>
        <v>4.447125793070354</v>
      </c>
      <c r="EM19" s="22">
        <f t="shared" si="19"/>
        <v>30.40165585635906</v>
      </c>
      <c r="EN19" s="62">
        <f t="shared" si="20"/>
        <v>306.6238780785813</v>
      </c>
      <c r="EO19" s="62">
        <f ca="1">AVERAGE(OFFSET($EN$3,0,0,'Données projet'!$E$15+1,1))-AVERAGE(OFFSET($H$3,0,0,'Données projet'!$E$15+1,1))</f>
        <v>220.03635832253951</v>
      </c>
      <c r="EP19" s="62">
        <f t="shared" si="46"/>
        <v>136.30639155882233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7.8</v>
      </c>
      <c r="FE19" s="13">
        <f>IF('Données projet'!$A$218&gt;35,FE18+FD19-FM18,IF(A19&lt;'Données projet'!$A$218,$FB$205^A19,IF(A19='Données projet'!$A$218,'Données projet'!$B$218,FE18+FD19-FM18)))</f>
        <v>54.8</v>
      </c>
      <c r="FF19" s="18">
        <f>FE19*VLOOKUP('Données projet'!$B$16,Paramètres!$A$1:$I$89,3,0)*VLOOKUP('Données projet'!$B$16,Paramètres!$A$1:$I$89,5,0)</f>
        <v>57.276960000000003</v>
      </c>
      <c r="FG19" s="14">
        <f t="shared" si="47"/>
        <v>16.477949104574304</v>
      </c>
      <c r="FH19" s="22">
        <f t="shared" si="22"/>
        <v>128.4564666904669</v>
      </c>
      <c r="FI19" s="62">
        <f t="shared" si="23"/>
        <v>404.67868891268915</v>
      </c>
      <c r="FJ19" s="62">
        <f ca="1">AVERAGE(OFFSET($FI$3,0,0,'Données projet'!$E$16+1,1))-AVERAGE(OFFSET($H$3,0,0,'Données projet'!$E$16+1,1))</f>
        <v>641.62708445664862</v>
      </c>
      <c r="FK19" s="62">
        <f t="shared" si="48"/>
        <v>379.46845863546929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1.05</v>
      </c>
      <c r="FZ19" s="13">
        <f>IF('Données projet'!$A$244&gt;35,FZ18+FY19-GH18,IF(A19&lt;'Données projet'!$A$244,$FW$205^A19,IF(A19='Données projet'!$A$244,'Données projet'!$B$244,FZ18+FY19-GH18)))</f>
        <v>11.42287530066646</v>
      </c>
      <c r="GA19" s="18">
        <f>FZ19*VLOOKUP('Données projet'!$B$17,Paramètres!$A$1:$I$89,3,0)*VLOOKUP('Données projet'!$B$17,Paramètres!$A$1:$I$89,5,0)</f>
        <v>11.048204990804599</v>
      </c>
      <c r="GB19" s="14">
        <f t="shared" si="49"/>
        <v>3.8495027292785511</v>
      </c>
      <c r="GC19" s="22">
        <f t="shared" si="25"/>
        <v>25.946840945811488</v>
      </c>
      <c r="GD19" s="62">
        <f t="shared" si="26"/>
        <v>302.16906316803374</v>
      </c>
      <c r="GE19" s="62">
        <f ca="1">AVERAGE(OFFSET($GD$3,0,0,'Données projet'!$E$17+1,1))-AVERAGE(OFFSET($H$3,0,0,'Données projet'!$E$17+1,1))</f>
        <v>181.39066880931728</v>
      </c>
      <c r="GF19" s="62">
        <f t="shared" si="50"/>
        <v>116.06078566855524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0.9</v>
      </c>
      <c r="GU19" s="13">
        <f>IF('Données projet'!$A$270&gt;35,GU18+GT19-HC18,IF(A19&lt;'Données projet'!$A$270,$GR$205^A19,IF(A19='Données projet'!$A$270,'Données projet'!$B$270,GU18+GT19-HC18)))</f>
        <v>10.097596309015799</v>
      </c>
      <c r="GV19" s="18">
        <f>GU19*VLOOKUP('Données projet'!$B$18,Paramètres!$A$1:$I$89,3,0)*VLOOKUP('Données projet'!$B$18,Paramètres!$A$1:$I$89,5,0)</f>
        <v>8.8212601355562033</v>
      </c>
      <c r="GW19" s="14">
        <f t="shared" si="51"/>
        <v>3.1551711996443523</v>
      </c>
      <c r="GX19" s="22">
        <f t="shared" si="28"/>
        <v>20.858951242140964</v>
      </c>
      <c r="GY19" s="62">
        <f t="shared" si="29"/>
        <v>297.08117346436319</v>
      </c>
      <c r="GZ19" s="62">
        <f ca="1">AVERAGE(OFFSET($GY$3,0,0,'Données projet'!$E$18+1,1))-AVERAGE(OFFSET($H$3,0,0,'Données projet'!$E$18+1,1))</f>
        <v>152.84277478695606</v>
      </c>
      <c r="HA19" s="62">
        <f t="shared" si="52"/>
        <v>179.22995976651015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9">
        <f t="shared" si="1"/>
        <v>278.58092826076489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2">
        <f t="shared" si="0"/>
        <v>333.24472198839982</v>
      </c>
      <c r="S20" s="62">
        <f ca="1">AVERAGE(OFFSET($R$3,0,0,'Données projet'!$E$9+1,1))-AVERAGE(OFFSET($H$3,0,0,'Données projet'!$E$9+1,1))</f>
        <v>383.26814640166805</v>
      </c>
      <c r="T20" s="62">
        <f t="shared" si="34"/>
        <v>233.71216103405249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1.05</v>
      </c>
      <c r="AI20" s="14">
        <f>IF('Données projet'!$A$62&gt;35,AI19+AH20-AQ19,IF(A20&lt;'Données projet'!$A$62,$AF$205^A20,IF(A20='Données projet'!$A$62,'Données projet'!$B$62,AI19+AH20-AQ19)))</f>
        <v>13.301064532535134</v>
      </c>
      <c r="AJ20" s="14">
        <f>AI20*VLOOKUP('Données projet'!$B$10,Paramètres!$A$1:$I$89,3,0)*VLOOKUP('Données projet'!$B$10,Paramètres!$A$1:$I$89,5,0)</f>
        <v>14.317265862820818</v>
      </c>
      <c r="AK20" s="14">
        <f t="shared" si="35"/>
        <v>4.8402750366406995</v>
      </c>
      <c r="AL20" s="22">
        <f t="shared" si="4"/>
        <v>33.366050399895471</v>
      </c>
      <c r="AM20" s="62">
        <f t="shared" si="5"/>
        <v>310.81049484433993</v>
      </c>
      <c r="AN20" s="62">
        <f ca="1">AVERAGE(OFFSET($AM$3,0,0,'Données projet'!$E$10+1,1))-AVERAGE(OFFSET($H$3,0,0,'Données projet'!$E$10+1,1))</f>
        <v>205.99910063756408</v>
      </c>
      <c r="AO20" s="62">
        <f t="shared" si="36"/>
        <v>128.95330275493671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126.33076923076922</v>
      </c>
      <c r="BB20" s="13">
        <f>VLOOKUP(A20,'Données projet'!$A$87:$I$107,9,0)</f>
        <v>7.4312217194570129</v>
      </c>
      <c r="BC20" s="13">
        <f t="array" ref="BC20">INDEX(BB:BB,MIN(IF(ISNUMBER(BB20:BB216),ROW(BB20:BB216),"")))</f>
        <v>7.4312217194570129</v>
      </c>
      <c r="BD20" s="13">
        <f>IF('Données projet'!$A$88&gt;35,BD19+BC20-BL19,IF(A20&lt;'Données projet'!$A$88,$BA$205^A20,IF(A20='Données projet'!$A$88,'Données projet'!$B$88,BD19+BC20-BL19)))</f>
        <v>126.33076923076922</v>
      </c>
      <c r="BE20" s="14">
        <f>BD20*VLOOKUP('Données projet'!$B$11,Paramètres!$A$1:$I$89,3,0)*VLOOKUP('Données projet'!$B$11,Paramètres!$A$1:$I$89,5,0)</f>
        <v>75.5458</v>
      </c>
      <c r="BF20" s="14">
        <f t="shared" si="37"/>
        <v>21.044504648353485</v>
      </c>
      <c r="BG20" s="22">
        <f t="shared" si="7"/>
        <v>168.22811392921565</v>
      </c>
      <c r="BH20" s="62">
        <f t="shared" si="8"/>
        <v>445.67255837366008</v>
      </c>
      <c r="BI20" s="62">
        <f ca="1">AVERAGE(OFFSET($BH$3,0,0,'Données projet'!$E$11+1,1))-AVERAGE(OFFSET($H$3,0,0,'Données projet'!$E$11+1,1))</f>
        <v>222.20580087523689</v>
      </c>
      <c r="BJ20" s="62">
        <f t="shared" si="38"/>
        <v>232.08940427392253</v>
      </c>
      <c r="BK20" s="16">
        <f>IF(ISNA(VLOOKUP(A20,'Données projet'!$A$87:$I$107,3,0)),0,VLOOKUP(A20,'Données projet'!$A$87:$I$107,3,0))</f>
        <v>1</v>
      </c>
      <c r="BL20" s="16">
        <f>IF(ISNA(VLOOKUP(A20,'Données projet'!$A$87:$I$107,4,0)),0,VLOOKUP(A20,'Données projet'!$A$87:$I$107,4,0))</f>
        <v>42.084615384615375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0.22500000000000001</v>
      </c>
      <c r="BO20" s="17">
        <f>IF(ISNA(VLOOKUP(A20,'Données projet'!$A$87:$I$107,7,0)),0%,VLOOKUP(A20,'Données projet'!$A$87:$I$107,7,0))</f>
        <v>0.5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7.4820750970079972</v>
      </c>
      <c r="BR20" s="23">
        <f>EXP(-LN(2)/2)*BR19+(1-EXP(-LN(2)/2))/(LN(2)/2)*BL20*BO20*VLOOKUP('Données projet'!$B$11,Paramètres!$A$1:$I$89,3,0)*0.475*44/12</f>
        <v>14.247218669464777</v>
      </c>
      <c r="BS20" s="24">
        <f t="shared" si="9"/>
        <v>21.729293766472775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3.4425641025641025</v>
      </c>
      <c r="BY20" s="13">
        <f>IF('Données projet'!$A$114&gt;35,BY19+BX20-CG19,IF(A20&lt;'Données projet'!$A$114,$BV$205^A20,IF(A20='Données projet'!$A$114,'Données projet'!$B$114,BY19+BX20-CG19)))</f>
        <v>13.84422124990315</v>
      </c>
      <c r="BZ20" s="14">
        <f>BY20*VLOOKUP('Données projet'!$B$12,Paramètres!$A$1:$I$89,3,0)*VLOOKUP('Données projet'!$B$12,Paramètres!$A$1:$I$89,5,0)</f>
        <v>6.4790955449546734</v>
      </c>
      <c r="CA20" s="14">
        <f t="shared" si="39"/>
        <v>2.4021834741420709</v>
      </c>
      <c r="CB20" s="22">
        <f t="shared" si="10"/>
        <v>15.468227624926827</v>
      </c>
      <c r="CC20" s="62">
        <f t="shared" si="11"/>
        <v>292.9126720693713</v>
      </c>
      <c r="CD20" s="62">
        <f ca="1">AVERAGE(OFFSET($CC$3,0,0,'Données projet'!$E$12+1,1))-AVERAGE(OFFSET($H$3,0,0,'Données projet'!$E$12+1,1))</f>
        <v>179.14256291235466</v>
      </c>
      <c r="CE20" s="62">
        <f t="shared" si="40"/>
        <v>107.5256983607585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5.9083916083916082</v>
      </c>
      <c r="CT20" s="13">
        <f>IF('Données projet'!$A$140&gt;35,CT19+CS20-DB19,IF(A20&lt;'Données projet'!$A$140,$CQ$205^A20,IF(A20='Données projet'!$A$140,'Données projet'!$B$140,CT19+CS20-DB19)))</f>
        <v>42.999357270344852</v>
      </c>
      <c r="CU20" s="18">
        <f>CT20*VLOOKUP('Données projet'!$B$13,Paramètres!$A$1:$I$89,3,0)*VLOOKUP('Données projet'!$B$13,Paramètres!$A$1:$I$89,5,0)</f>
        <v>25.71361564766622</v>
      </c>
      <c r="CV20" s="14">
        <f t="shared" si="41"/>
        <v>8.1203027703164814</v>
      </c>
      <c r="CW20" s="22">
        <f t="shared" si="13"/>
        <v>58.927407911319868</v>
      </c>
      <c r="CX20" s="62">
        <f t="shared" si="14"/>
        <v>336.3718523557643</v>
      </c>
      <c r="CY20" s="62">
        <f ca="1">AVERAGE(OFFSET($CX$3,0,0,'Données projet'!$E$13+1,1))-AVERAGE(OFFSET($H$3,0,0,'Données projet'!$E$13+1,1))</f>
        <v>237.03649693529445</v>
      </c>
      <c r="CZ20" s="62">
        <f t="shared" si="42"/>
        <v>191.04289411674887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4.694</v>
      </c>
      <c r="DO20" s="13">
        <f>IF('Données projet'!$A$166&gt;35,DO19+DN20-DW19,IF(A20&lt;'Données projet'!$A$166,$DL$205^A20,IF(A20='Données projet'!$A$166,'Données projet'!$B$166,DO19+DN20-DW19)))</f>
        <v>65.078000000000017</v>
      </c>
      <c r="DP20" s="18">
        <f>DO20*VLOOKUP('Données projet'!$B$14,Paramètres!$A$1:$I$89,3,0)*VLOOKUP('Données projet'!$B$14,Paramètres!$A$1:$I$89,5,0)</f>
        <v>74.969856000000007</v>
      </c>
      <c r="DQ20" s="14">
        <f t="shared" si="43"/>
        <v>20.902678093805381</v>
      </c>
      <c r="DR20" s="22">
        <f t="shared" si="16"/>
        <v>166.97799688004437</v>
      </c>
      <c r="DS20" s="62">
        <f t="shared" si="17"/>
        <v>444.42244132448883</v>
      </c>
      <c r="DT20" s="62">
        <f ca="1">AVERAGE(OFFSET($DS$3,0,0,'Données projet'!$E$14+1,1))-AVERAGE(OFFSET($H$3,0,0,'Données projet'!$E$14+1,1))</f>
        <v>431.38469096974364</v>
      </c>
      <c r="DU20" s="62">
        <f t="shared" si="44"/>
        <v>295.48627059086647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0.28725855780282866</v>
      </c>
      <c r="ED20" s="24">
        <f t="shared" si="18"/>
        <v>0.28725855780282866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1.05</v>
      </c>
      <c r="EJ20" s="13">
        <f>IF('Données projet'!$A$192&gt;35,EJ19+EI20-ER19,IF(A20&lt;'Données projet'!$A$192,$EG$205^A20,IF(A20='Données projet'!$A$192,'Données projet'!$B$192,EJ19+EI20-ER19)))</f>
        <v>13.301064532535134</v>
      </c>
      <c r="EK20" s="18">
        <f>EJ20*VLOOKUP('Données projet'!$B$15,Paramètres!$A$1:$I$89,3,0)*VLOOKUP('Données projet'!$B$15,Paramètres!$A$1:$I$89,5,0)</f>
        <v>15.147252289651012</v>
      </c>
      <c r="EL20" s="14">
        <f t="shared" si="45"/>
        <v>5.0873903596249086</v>
      </c>
      <c r="EM20" s="22">
        <f t="shared" si="19"/>
        <v>35.242002614155552</v>
      </c>
      <c r="EN20" s="62">
        <f t="shared" si="20"/>
        <v>312.68644705860004</v>
      </c>
      <c r="EO20" s="62">
        <f ca="1">AVERAGE(OFFSET($EN$3,0,0,'Données projet'!$E$15+1,1))-AVERAGE(OFFSET($H$3,0,0,'Données projet'!$E$15+1,1))</f>
        <v>220.03635832253951</v>
      </c>
      <c r="EP20" s="62">
        <f t="shared" si="46"/>
        <v>136.30639155882233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7.8</v>
      </c>
      <c r="FE20" s="13">
        <f>IF('Données projet'!$A$218&gt;35,FE19+FD20-FM19,IF(A20&lt;'Données projet'!$A$218,$FB$205^A20,IF(A20='Données projet'!$A$218,'Données projet'!$B$218,FE19+FD20-FM19)))</f>
        <v>62.599999999999994</v>
      </c>
      <c r="FF20" s="18">
        <f>FE20*VLOOKUP('Données projet'!$B$16,Paramètres!$A$1:$I$89,3,0)*VLOOKUP('Données projet'!$B$16,Paramètres!$A$1:$I$89,5,0)</f>
        <v>65.429519999999997</v>
      </c>
      <c r="FG20" s="14">
        <f t="shared" si="47"/>
        <v>18.534024657490654</v>
      </c>
      <c r="FH20" s="22">
        <f t="shared" si="22"/>
        <v>146.23650694512952</v>
      </c>
      <c r="FI20" s="62">
        <f t="shared" si="23"/>
        <v>423.68095138957398</v>
      </c>
      <c r="FJ20" s="62">
        <f ca="1">AVERAGE(OFFSET($FI$3,0,0,'Données projet'!$E$16+1,1))-AVERAGE(OFFSET($H$3,0,0,'Données projet'!$E$16+1,1))</f>
        <v>641.62708445664862</v>
      </c>
      <c r="FK20" s="62">
        <f t="shared" si="48"/>
        <v>379.46845863546929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1.05</v>
      </c>
      <c r="FZ20" s="13">
        <f>IF('Données projet'!$A$244&gt;35,FZ19+FY20-GH19,IF(A20&lt;'Données projet'!$A$244,$FW$205^A20,IF(A20='Données projet'!$A$244,'Données projet'!$B$244,FZ19+FY20-GH19)))</f>
        <v>13.301064532535134</v>
      </c>
      <c r="GA20" s="18">
        <f>FZ20*VLOOKUP('Données projet'!$B$17,Paramètres!$A$1:$I$89,3,0)*VLOOKUP('Données projet'!$B$17,Paramètres!$A$1:$I$89,5,0)</f>
        <v>12.864789615867982</v>
      </c>
      <c r="GB20" s="14">
        <f t="shared" si="49"/>
        <v>4.4037259087201281</v>
      </c>
      <c r="GC20" s="22">
        <f t="shared" si="25"/>
        <v>30.07599787199096</v>
      </c>
      <c r="GD20" s="62">
        <f t="shared" si="26"/>
        <v>307.52044231643544</v>
      </c>
      <c r="GE20" s="62">
        <f ca="1">AVERAGE(OFFSET($GD$3,0,0,'Données projet'!$E$17+1,1))-AVERAGE(OFFSET($H$3,0,0,'Données projet'!$E$17+1,1))</f>
        <v>181.39066880931728</v>
      </c>
      <c r="GF20" s="62">
        <f t="shared" si="50"/>
        <v>116.06078566855524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0.9</v>
      </c>
      <c r="GU20" s="13">
        <f>IF('Données projet'!$A$270&gt;35,GU19+GT20-HC19,IF(A20&lt;'Données projet'!$A$270,$GR$205^A20,IF(A20='Données projet'!$A$270,'Données projet'!$B$270,GU19+GT20-HC19)))</f>
        <v>11.667602620429678</v>
      </c>
      <c r="GV20" s="18">
        <f>GU20*VLOOKUP('Données projet'!$B$18,Paramètres!$A$1:$I$89,3,0)*VLOOKUP('Données projet'!$B$18,Paramètres!$A$1:$I$89,5,0)</f>
        <v>10.192817649207369</v>
      </c>
      <c r="GW20" s="14">
        <f t="shared" si="51"/>
        <v>3.5849315547400531</v>
      </c>
      <c r="GX20" s="22">
        <f t="shared" si="28"/>
        <v>23.996246530208428</v>
      </c>
      <c r="GY20" s="62">
        <f t="shared" si="29"/>
        <v>301.44069097465291</v>
      </c>
      <c r="GZ20" s="62">
        <f ca="1">AVERAGE(OFFSET($GY$3,0,0,'Données projet'!$E$18+1,1))-AVERAGE(OFFSET($H$3,0,0,'Données projet'!$E$18+1,1))</f>
        <v>152.84277478695606</v>
      </c>
      <c r="HA20" s="62">
        <f t="shared" si="52"/>
        <v>179.22995976651015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9">
        <f t="shared" si="1"/>
        <v>279.82964369567594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2">
        <f t="shared" si="0"/>
        <v>345.58404036091088</v>
      </c>
      <c r="S21" s="62">
        <f ca="1">AVERAGE(OFFSET($R$3,0,0,'Données projet'!$E$9+1,1))-AVERAGE(OFFSET($H$3,0,0,'Données projet'!$E$9+1,1))</f>
        <v>383.26814640166805</v>
      </c>
      <c r="T21" s="62">
        <f t="shared" si="34"/>
        <v>233.71216103405249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1.05</v>
      </c>
      <c r="AI21" s="14">
        <f>IF('Données projet'!$A$62&gt;35,AI20+AH21-AQ20,IF(A21&lt;'Données projet'!$A$62,$AF$205^A21,IF(A21='Données projet'!$A$62,'Données projet'!$B$62,AI20+AH21-AQ20)))</f>
        <v>15.48807222716875</v>
      </c>
      <c r="AJ21" s="14">
        <f>AI21*VLOOKUP('Données projet'!$B$10,Paramètres!$A$1:$I$89,3,0)*VLOOKUP('Données projet'!$B$10,Paramètres!$A$1:$I$89,5,0)</f>
        <v>16.671360945324444</v>
      </c>
      <c r="AK21" s="14">
        <f t="shared" si="35"/>
        <v>5.5371423488198674</v>
      </c>
      <c r="AL21" s="22">
        <f t="shared" si="4"/>
        <v>38.679809903968007</v>
      </c>
      <c r="AM21" s="62">
        <f t="shared" si="5"/>
        <v>317.34647657063471</v>
      </c>
      <c r="AN21" s="62">
        <f ca="1">AVERAGE(OFFSET($AM$3,0,0,'Données projet'!$E$10+1,1))-AVERAGE(OFFSET($H$3,0,0,'Données projet'!$E$10+1,1))</f>
        <v>205.99910063756408</v>
      </c>
      <c r="AO21" s="62">
        <f t="shared" si="36"/>
        <v>128.95330275493671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14.926923076923075</v>
      </c>
      <c r="BD21" s="13">
        <f>IF('Données projet'!$A$88&gt;35,BD20+BC21-BL20,IF(A21&lt;'Données projet'!$A$88,$BA$205^A21,IF(A21='Données projet'!$A$88,'Données projet'!$B$88,BD20+BC21-BL20)))</f>
        <v>99.173076923076934</v>
      </c>
      <c r="BE21" s="14">
        <f>BD21*VLOOKUP('Données projet'!$B$11,Paramètres!$A$1:$I$89,3,0)*VLOOKUP('Données projet'!$B$11,Paramètres!$A$1:$I$89,5,0)</f>
        <v>59.305500000000016</v>
      </c>
      <c r="BF21" s="14">
        <f t="shared" si="37"/>
        <v>16.992558820122873</v>
      </c>
      <c r="BG21" s="22">
        <f t="shared" si="7"/>
        <v>132.88578577838067</v>
      </c>
      <c r="BH21" s="62">
        <f t="shared" si="8"/>
        <v>411.55245244504738</v>
      </c>
      <c r="BI21" s="62">
        <f ca="1">AVERAGE(OFFSET($BH$3,0,0,'Données projet'!$E$11+1,1))-AVERAGE(OFFSET($H$3,0,0,'Données projet'!$E$11+1,1))</f>
        <v>222.20580087523689</v>
      </c>
      <c r="BJ21" s="62">
        <f t="shared" si="38"/>
        <v>232.08940427392253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7.2774773600150846</v>
      </c>
      <c r="BR21" s="23">
        <f>EXP(-LN(2)/2)*BR20+(1-EXP(-LN(2)/2))/(LN(2)/2)*BL21*BO21*VLOOKUP('Données projet'!$B$11,Paramètres!$A$1:$I$89,3,0)*0.475*44/12</f>
        <v>10.074304934226125</v>
      </c>
      <c r="BS21" s="24">
        <f t="shared" si="9"/>
        <v>17.351782294241211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3.4425641025641025</v>
      </c>
      <c r="BY21" s="13">
        <f>IF('Données projet'!$A$114&gt;35,BY20+BX21-CG20,IF(A21&lt;'Données projet'!$A$114,$BV$205^A21,IF(A21='Données projet'!$A$114,'Données projet'!$B$114,BY20+BX21-CG20)))</f>
        <v>16.158534666859676</v>
      </c>
      <c r="BZ21" s="14">
        <f>BY21*VLOOKUP('Données projet'!$B$12,Paramètres!$A$1:$I$89,3,0)*VLOOKUP('Données projet'!$B$12,Paramètres!$A$1:$I$89,5,0)</f>
        <v>7.5621942240903284</v>
      </c>
      <c r="CA21" s="14">
        <f t="shared" si="39"/>
        <v>2.7537549140858508</v>
      </c>
      <c r="CB21" s="22">
        <f t="shared" si="10"/>
        <v>17.96694474899018</v>
      </c>
      <c r="CC21" s="62">
        <f t="shared" si="11"/>
        <v>296.63361141565684</v>
      </c>
      <c r="CD21" s="62">
        <f ca="1">AVERAGE(OFFSET($CC$3,0,0,'Données projet'!$E$12+1,1))-AVERAGE(OFFSET($H$3,0,0,'Données projet'!$E$12+1,1))</f>
        <v>179.14256291235466</v>
      </c>
      <c r="CE21" s="62">
        <f t="shared" si="40"/>
        <v>107.5256983607585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5.9083916083916082</v>
      </c>
      <c r="CT21" s="13">
        <f>IF('Données projet'!$A$140&gt;35,CT20+CS21-DB20,IF(A21&lt;'Données projet'!$A$140,$CQ$205^A21,IF(A21='Données projet'!$A$140,'Données projet'!$B$140,CT20+CS21-DB20)))</f>
        <v>53.64731143405691</v>
      </c>
      <c r="CU21" s="18">
        <f>CT21*VLOOKUP('Données projet'!$B$13,Paramètres!$A$1:$I$89,3,0)*VLOOKUP('Données projet'!$B$13,Paramètres!$A$1:$I$89,5,0)</f>
        <v>32.081092237566033</v>
      </c>
      <c r="CV21" s="14">
        <f t="shared" si="41"/>
        <v>9.8735609219464049</v>
      </c>
      <c r="CW21" s="22">
        <f t="shared" si="13"/>
        <v>73.071020919484155</v>
      </c>
      <c r="CX21" s="62">
        <f t="shared" si="14"/>
        <v>351.73768758615086</v>
      </c>
      <c r="CY21" s="62">
        <f ca="1">AVERAGE(OFFSET($CX$3,0,0,'Données projet'!$E$13+1,1))-AVERAGE(OFFSET($H$3,0,0,'Données projet'!$E$13+1,1))</f>
        <v>237.03649693529445</v>
      </c>
      <c r="CZ21" s="62">
        <f t="shared" si="42"/>
        <v>191.04289411674887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4.694</v>
      </c>
      <c r="DO21" s="13">
        <f>IF('Données projet'!$A$166&gt;35,DO20+DN21-DW20,IF(A21&lt;'Données projet'!$A$166,$DL$205^A21,IF(A21='Données projet'!$A$166,'Données projet'!$B$166,DO20+DN21-DW20)))</f>
        <v>69.77200000000002</v>
      </c>
      <c r="DP21" s="18">
        <f>DO21*VLOOKUP('Données projet'!$B$14,Paramètres!$A$1:$I$89,3,0)*VLOOKUP('Données projet'!$B$14,Paramètres!$A$1:$I$89,5,0)</f>
        <v>80.377344000000022</v>
      </c>
      <c r="DQ21" s="14">
        <f t="shared" si="43"/>
        <v>22.229421414992608</v>
      </c>
      <c r="DR21" s="22">
        <f t="shared" si="16"/>
        <v>178.70678309777881</v>
      </c>
      <c r="DS21" s="62">
        <f t="shared" si="17"/>
        <v>457.37344976444547</v>
      </c>
      <c r="DT21" s="62">
        <f ca="1">AVERAGE(OFFSET($DS$3,0,0,'Données projet'!$E$14+1,1))-AVERAGE(OFFSET($H$3,0,0,'Données projet'!$E$14+1,1))</f>
        <v>431.38469096974364</v>
      </c>
      <c r="DU21" s="62">
        <f t="shared" si="44"/>
        <v>295.48627059086647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0.20312247417624799</v>
      </c>
      <c r="ED21" s="24">
        <f t="shared" si="18"/>
        <v>0.20312247417624799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1.05</v>
      </c>
      <c r="EJ21" s="13">
        <f>IF('Données projet'!$A$192&gt;35,EJ20+EI21-ER20,IF(A21&lt;'Données projet'!$A$192,$EG$205^A21,IF(A21='Données projet'!$A$192,'Données projet'!$B$192,EJ20+EI21-ER20)))</f>
        <v>15.48807222716875</v>
      </c>
      <c r="EK21" s="18">
        <f>EJ21*VLOOKUP('Données projet'!$B$15,Paramètres!$A$1:$I$89,3,0)*VLOOKUP('Données projet'!$B$15,Paramètres!$A$1:$I$89,5,0)</f>
        <v>17.637816652299776</v>
      </c>
      <c r="EL21" s="14">
        <f t="shared" si="45"/>
        <v>5.8198355242241728</v>
      </c>
      <c r="EM21" s="22">
        <f t="shared" si="19"/>
        <v>40.855410874112543</v>
      </c>
      <c r="EN21" s="62">
        <f t="shared" si="20"/>
        <v>319.52207754077921</v>
      </c>
      <c r="EO21" s="62">
        <f ca="1">AVERAGE(OFFSET($EN$3,0,0,'Données projet'!$E$15+1,1))-AVERAGE(OFFSET($H$3,0,0,'Données projet'!$E$15+1,1))</f>
        <v>220.03635832253951</v>
      </c>
      <c r="EP21" s="62">
        <f t="shared" si="46"/>
        <v>136.30639155882233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7.8</v>
      </c>
      <c r="FE21" s="13">
        <f>IF('Données projet'!$A$218&gt;35,FE20+FD21-FM20,IF(A21&lt;'Données projet'!$A$218,$FB$205^A21,IF(A21='Données projet'!$A$218,'Données projet'!$B$218,FE20+FD21-FM20)))</f>
        <v>70.399999999999991</v>
      </c>
      <c r="FF21" s="18">
        <f>FE21*VLOOKUP('Données projet'!$B$16,Paramètres!$A$1:$I$89,3,0)*VLOOKUP('Données projet'!$B$16,Paramètres!$A$1:$I$89,5,0)</f>
        <v>73.582080000000005</v>
      </c>
      <c r="FG21" s="14">
        <f t="shared" si="47"/>
        <v>20.560414094209804</v>
      </c>
      <c r="FH21" s="22">
        <f t="shared" si="22"/>
        <v>163.96484388074876</v>
      </c>
      <c r="FI21" s="62">
        <f t="shared" si="23"/>
        <v>442.63151054741547</v>
      </c>
      <c r="FJ21" s="62">
        <f ca="1">AVERAGE(OFFSET($FI$3,0,0,'Données projet'!$E$16+1,1))-AVERAGE(OFFSET($H$3,0,0,'Données projet'!$E$16+1,1))</f>
        <v>641.62708445664862</v>
      </c>
      <c r="FK21" s="62">
        <f t="shared" si="48"/>
        <v>379.46845863546929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1.05</v>
      </c>
      <c r="FZ21" s="13">
        <f>IF('Données projet'!$A$244&gt;35,FZ20+FY21-GH20,IF(A21&lt;'Données projet'!$A$244,$FW$205^A21,IF(A21='Données projet'!$A$244,'Données projet'!$B$244,FZ20+FY21-GH20)))</f>
        <v>15.48807222716875</v>
      </c>
      <c r="GA21" s="18">
        <f>FZ21*VLOOKUP('Données projet'!$B$17,Paramètres!$A$1:$I$89,3,0)*VLOOKUP('Données projet'!$B$17,Paramètres!$A$1:$I$89,5,0)</f>
        <v>14.980063458117616</v>
      </c>
      <c r="GB21" s="14">
        <f t="shared" si="49"/>
        <v>5.0377420781222293</v>
      </c>
      <c r="GC21" s="22">
        <f t="shared" si="25"/>
        <v>34.864344642284394</v>
      </c>
      <c r="GD21" s="62">
        <f t="shared" si="26"/>
        <v>313.53101130895107</v>
      </c>
      <c r="GE21" s="62">
        <f ca="1">AVERAGE(OFFSET($GD$3,0,0,'Données projet'!$E$17+1,1))-AVERAGE(OFFSET($H$3,0,0,'Données projet'!$E$17+1,1))</f>
        <v>181.39066880931728</v>
      </c>
      <c r="GF21" s="62">
        <f t="shared" si="50"/>
        <v>116.06078566855524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0.9</v>
      </c>
      <c r="GU21" s="13">
        <f>IF('Données projet'!$A$270&gt;35,GU20+GT21-HC20,IF(A21&lt;'Données projet'!$A$270,$GR$205^A21,IF(A21='Données projet'!$A$270,'Données projet'!$B$270,GU20+GT21-HC20)))</f>
        <v>13.48171849440139</v>
      </c>
      <c r="GV21" s="18">
        <f>GU21*VLOOKUP('Données projet'!$B$18,Paramètres!$A$1:$I$89,3,0)*VLOOKUP('Données projet'!$B$18,Paramètres!$A$1:$I$89,5,0)</f>
        <v>11.777629276709055</v>
      </c>
      <c r="GW21" s="14">
        <f t="shared" si="51"/>
        <v>4.0732288167499631</v>
      </c>
      <c r="GX21" s="22">
        <f t="shared" si="28"/>
        <v>27.606911179441123</v>
      </c>
      <c r="GY21" s="62">
        <f t="shared" si="29"/>
        <v>306.2735778461078</v>
      </c>
      <c r="GZ21" s="62">
        <f ca="1">AVERAGE(OFFSET($GY$3,0,0,'Données projet'!$E$18+1,1))-AVERAGE(OFFSET($H$3,0,0,'Données projet'!$E$18+1,1))</f>
        <v>152.84277478695606</v>
      </c>
      <c r="HA21" s="62">
        <f t="shared" si="52"/>
        <v>179.22995976651015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9">
        <f t="shared" si="1"/>
        <v>281.07643875057323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2">
        <f t="shared" si="0"/>
        <v>360.14509112992164</v>
      </c>
      <c r="S22" s="62">
        <f ca="1">AVERAGE(OFFSET($R$3,0,0,'Données projet'!$E$9+1,1))-AVERAGE(OFFSET($H$3,0,0,'Données projet'!$E$9+1,1))</f>
        <v>383.26814640166805</v>
      </c>
      <c r="T22" s="62">
        <f t="shared" si="34"/>
        <v>233.71216103405249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1.05</v>
      </c>
      <c r="AI22" s="14">
        <f>IF('Données projet'!$A$62&gt;35,AI21+AH22-AQ21,IF(A22&lt;'Données projet'!$A$62,$AF$205^A22,IF(A22='Données projet'!$A$62,'Données projet'!$B$62,AI21+AH22-AQ21)))</f>
        <v>18.034675399644545</v>
      </c>
      <c r="AJ22" s="14">
        <f>AI22*VLOOKUP('Données projet'!$B$10,Paramètres!$A$1:$I$89,3,0)*VLOOKUP('Données projet'!$B$10,Paramètres!$A$1:$I$89,5,0)</f>
        <v>19.412524600177388</v>
      </c>
      <c r="AK22" s="14">
        <f t="shared" si="35"/>
        <v>6.3343395073626514</v>
      </c>
      <c r="AL22" s="22">
        <f t="shared" si="4"/>
        <v>44.842454987298908</v>
      </c>
      <c r="AM22" s="62">
        <f t="shared" si="5"/>
        <v>324.73134387618779</v>
      </c>
      <c r="AN22" s="62">
        <f ca="1">AVERAGE(OFFSET($AM$3,0,0,'Données projet'!$E$10+1,1))-AVERAGE(OFFSET($H$3,0,0,'Données projet'!$E$10+1,1))</f>
        <v>205.99910063756408</v>
      </c>
      <c r="AO22" s="62">
        <f t="shared" si="36"/>
        <v>128.95330275493671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14.926923076923075</v>
      </c>
      <c r="BD22" s="13">
        <f>IF('Données projet'!$A$88&gt;35,BD21+BC22-BL21,IF(A22&lt;'Données projet'!$A$88,$BA$205^A22,IF(A22='Données projet'!$A$88,'Données projet'!$B$88,BD21+BC22-BL21)))</f>
        <v>114.10000000000001</v>
      </c>
      <c r="BE22" s="14">
        <f>BD22*VLOOKUP('Données projet'!$B$11,Paramètres!$A$1:$I$89,3,0)*VLOOKUP('Données projet'!$B$11,Paramètres!$A$1:$I$89,5,0)</f>
        <v>68.231800000000007</v>
      </c>
      <c r="BF22" s="14">
        <f t="shared" si="37"/>
        <v>19.233699497264624</v>
      </c>
      <c r="BG22" s="22">
        <f t="shared" si="7"/>
        <v>152.3357449577359</v>
      </c>
      <c r="BH22" s="62">
        <f t="shared" si="8"/>
        <v>432.22463384662478</v>
      </c>
      <c r="BI22" s="62">
        <f ca="1">AVERAGE(OFFSET($BH$3,0,0,'Données projet'!$E$11+1,1))-AVERAGE(OFFSET($H$3,0,0,'Données projet'!$E$11+1,1))</f>
        <v>222.20580087523689</v>
      </c>
      <c r="BJ22" s="62">
        <f t="shared" si="38"/>
        <v>232.08940427392253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7.0784743588995704</v>
      </c>
      <c r="BR22" s="23">
        <f>EXP(-LN(2)/2)*BR21+(1-EXP(-LN(2)/2))/(LN(2)/2)*BL22*BO22*VLOOKUP('Données projet'!$B$11,Paramètres!$A$1:$I$89,3,0)*0.475*44/12</f>
        <v>7.1236093347323894</v>
      </c>
      <c r="BS22" s="24">
        <f t="shared" si="9"/>
        <v>14.202083693631959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3.4425641025641025</v>
      </c>
      <c r="BY22" s="13">
        <f>IF('Données projet'!$A$114&gt;35,BY21+BX22-CG21,IF(A22&lt;'Données projet'!$A$114,$BV$205^A22,IF(A22='Données projet'!$A$114,'Données projet'!$B$114,BY21+BX22-CG21)))</f>
        <v>18.859727670267663</v>
      </c>
      <c r="BZ22" s="14">
        <f>BY22*VLOOKUP('Données projet'!$B$12,Paramètres!$A$1:$I$89,3,0)*VLOOKUP('Données projet'!$B$12,Paramètres!$A$1:$I$89,5,0)</f>
        <v>8.8263525496852662</v>
      </c>
      <c r="CA22" s="14">
        <f t="shared" si="39"/>
        <v>3.1567805742066648</v>
      </c>
      <c r="CB22" s="22">
        <f t="shared" si="10"/>
        <v>20.870623524111782</v>
      </c>
      <c r="CC22" s="62">
        <f t="shared" si="11"/>
        <v>300.75951241300066</v>
      </c>
      <c r="CD22" s="62">
        <f ca="1">AVERAGE(OFFSET($CC$3,0,0,'Données projet'!$E$12+1,1))-AVERAGE(OFFSET($H$3,0,0,'Données projet'!$E$12+1,1))</f>
        <v>179.14256291235466</v>
      </c>
      <c r="CE22" s="62">
        <f t="shared" si="40"/>
        <v>107.5256983607585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5.9083916083916082</v>
      </c>
      <c r="CT22" s="13">
        <f>IF('Données projet'!$A$140&gt;35,CT21+CS22-DB21,IF(A22&lt;'Données projet'!$A$140,$CQ$205^A22,IF(A22='Données projet'!$A$140,'Données projet'!$B$140,CT21+CS22-DB21)))</f>
        <v>66.932024262780615</v>
      </c>
      <c r="CU22" s="18">
        <f>CT22*VLOOKUP('Données projet'!$B$13,Paramètres!$A$1:$I$89,3,0)*VLOOKUP('Données projet'!$B$13,Paramètres!$A$1:$I$89,5,0)</f>
        <v>40.025350509142811</v>
      </c>
      <c r="CV22" s="14">
        <f t="shared" si="41"/>
        <v>12.005365814160106</v>
      </c>
      <c r="CW22" s="22">
        <f t="shared" si="13"/>
        <v>90.620164263085925</v>
      </c>
      <c r="CX22" s="62">
        <f t="shared" si="14"/>
        <v>370.5090531519748</v>
      </c>
      <c r="CY22" s="62">
        <f ca="1">AVERAGE(OFFSET($CX$3,0,0,'Données projet'!$E$13+1,1))-AVERAGE(OFFSET($H$3,0,0,'Données projet'!$E$13+1,1))</f>
        <v>237.03649693529445</v>
      </c>
      <c r="CZ22" s="62">
        <f t="shared" si="42"/>
        <v>191.04289411674887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4.694</v>
      </c>
      <c r="DO22" s="13">
        <f>IF('Données projet'!$A$166&gt;35,DO21+DN22-DW21,IF(A22&lt;'Données projet'!$A$166,$DL$205^A22,IF(A22='Données projet'!$A$166,'Données projet'!$B$166,DO21+DN22-DW21)))</f>
        <v>74.466000000000022</v>
      </c>
      <c r="DP22" s="18">
        <f>DO22*VLOOKUP('Données projet'!$B$14,Paramètres!$A$1:$I$89,3,0)*VLOOKUP('Données projet'!$B$14,Paramètres!$A$1:$I$89,5,0)</f>
        <v>85.784832000000023</v>
      </c>
      <c r="DQ22" s="14">
        <f t="shared" si="43"/>
        <v>23.545807395043994</v>
      </c>
      <c r="DR22" s="22">
        <f t="shared" si="16"/>
        <v>190.41753027970165</v>
      </c>
      <c r="DS22" s="62">
        <f t="shared" si="17"/>
        <v>470.30641916859054</v>
      </c>
      <c r="DT22" s="62">
        <f ca="1">AVERAGE(OFFSET($DS$3,0,0,'Données projet'!$E$14+1,1))-AVERAGE(OFFSET($H$3,0,0,'Données projet'!$E$14+1,1))</f>
        <v>431.38469096974364</v>
      </c>
      <c r="DU22" s="62">
        <f t="shared" si="44"/>
        <v>295.48627059086647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0.14362927890141433</v>
      </c>
      <c r="ED22" s="24">
        <f t="shared" si="18"/>
        <v>0.14362927890141433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1.05</v>
      </c>
      <c r="EJ22" s="13">
        <f>IF('Données projet'!$A$192&gt;35,EJ21+EI22-ER21,IF(A22&lt;'Données projet'!$A$192,$EG$205^A22,IF(A22='Données projet'!$A$192,'Données projet'!$B$192,EJ21+EI22-ER21)))</f>
        <v>18.034675399644545</v>
      </c>
      <c r="EK22" s="18">
        <f>EJ22*VLOOKUP('Données projet'!$B$15,Paramètres!$A$1:$I$89,3,0)*VLOOKUP('Données projet'!$B$15,Paramètres!$A$1:$I$89,5,0)</f>
        <v>20.53788834511521</v>
      </c>
      <c r="EL22" s="14">
        <f t="shared" si="45"/>
        <v>6.657732773531241</v>
      </c>
      <c r="EM22" s="22">
        <f t="shared" si="19"/>
        <v>47.365706781642565</v>
      </c>
      <c r="EN22" s="62">
        <f t="shared" si="20"/>
        <v>327.25459567053144</v>
      </c>
      <c r="EO22" s="62">
        <f ca="1">AVERAGE(OFFSET($EN$3,0,0,'Données projet'!$E$15+1,1))-AVERAGE(OFFSET($H$3,0,0,'Données projet'!$E$15+1,1))</f>
        <v>220.03635832253951</v>
      </c>
      <c r="EP22" s="62">
        <f t="shared" si="46"/>
        <v>136.30639155882233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7.8</v>
      </c>
      <c r="FE22" s="13">
        <f>IF('Données projet'!$A$218&gt;35,FE21+FD22-FM21,IF(A22&lt;'Données projet'!$A$218,$FB$205^A22,IF(A22='Données projet'!$A$218,'Données projet'!$B$218,FE21+FD22-FM21)))</f>
        <v>78.199999999999989</v>
      </c>
      <c r="FF22" s="18">
        <f>FE22*VLOOKUP('Données projet'!$B$16,Paramètres!$A$1:$I$89,3,0)*VLOOKUP('Données projet'!$B$16,Paramètres!$A$1:$I$89,5,0)</f>
        <v>81.734639999999999</v>
      </c>
      <c r="FG22" s="14">
        <f t="shared" si="47"/>
        <v>22.560781667183747</v>
      </c>
      <c r="FH22" s="22">
        <f t="shared" si="22"/>
        <v>181.64785940367835</v>
      </c>
      <c r="FI22" s="62">
        <f t="shared" si="23"/>
        <v>461.53674829256721</v>
      </c>
      <c r="FJ22" s="62">
        <f ca="1">AVERAGE(OFFSET($FI$3,0,0,'Données projet'!$E$16+1,1))-AVERAGE(OFFSET($H$3,0,0,'Données projet'!$E$16+1,1))</f>
        <v>641.62708445664862</v>
      </c>
      <c r="FK22" s="62">
        <f t="shared" si="48"/>
        <v>379.46845863546929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1.05</v>
      </c>
      <c r="FZ22" s="13">
        <f>IF('Données projet'!$A$244&gt;35,FZ21+FY22-GH21,IF(A22&lt;'Données projet'!$A$244,$FW$205^A22,IF(A22='Données projet'!$A$244,'Données projet'!$B$244,FZ21+FY22-GH21)))</f>
        <v>18.034675399644545</v>
      </c>
      <c r="GA22" s="18">
        <f>FZ22*VLOOKUP('Données projet'!$B$17,Paramètres!$A$1:$I$89,3,0)*VLOOKUP('Données projet'!$B$17,Paramètres!$A$1:$I$89,5,0)</f>
        <v>17.443138046536202</v>
      </c>
      <c r="GB22" s="14">
        <f t="shared" si="49"/>
        <v>5.7630392471586012</v>
      </c>
      <c r="GC22" s="22">
        <f t="shared" si="25"/>
        <v>40.417425453185118</v>
      </c>
      <c r="GD22" s="62">
        <f t="shared" si="26"/>
        <v>320.30631434207396</v>
      </c>
      <c r="GE22" s="62">
        <f ca="1">AVERAGE(OFFSET($GD$3,0,0,'Données projet'!$E$17+1,1))-AVERAGE(OFFSET($H$3,0,0,'Données projet'!$E$17+1,1))</f>
        <v>181.39066880931728</v>
      </c>
      <c r="GF22" s="62">
        <f t="shared" si="50"/>
        <v>116.06078566855524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0.9</v>
      </c>
      <c r="GU22" s="13">
        <f>IF('Données projet'!$A$270&gt;35,GU21+GT22-HC21,IF(A22&lt;'Données projet'!$A$270,$GR$205^A22,IF(A22='Données projet'!$A$270,'Données projet'!$B$270,GU21+GT22-HC21)))</f>
        <v>15.577898860219406</v>
      </c>
      <c r="GV22" s="18">
        <f>GU22*VLOOKUP('Données projet'!$B$18,Paramètres!$A$1:$I$89,3,0)*VLOOKUP('Données projet'!$B$18,Paramètres!$A$1:$I$89,5,0)</f>
        <v>13.608852444287676</v>
      </c>
      <c r="GW22" s="14">
        <f t="shared" si="51"/>
        <v>4.6280361954652021</v>
      </c>
      <c r="GX22" s="22">
        <f t="shared" si="28"/>
        <v>31.762581047569586</v>
      </c>
      <c r="GY22" s="62">
        <f t="shared" si="29"/>
        <v>311.65146993645845</v>
      </c>
      <c r="GZ22" s="62">
        <f ca="1">AVERAGE(OFFSET($GY$3,0,0,'Données projet'!$E$18+1,1))-AVERAGE(OFFSET($H$3,0,0,'Données projet'!$E$18+1,1))</f>
        <v>152.84277478695606</v>
      </c>
      <c r="HA22" s="62">
        <f t="shared" si="52"/>
        <v>179.22995976651015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9">
        <f t="shared" si="1"/>
        <v>282.32142602462875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2">
        <f t="shared" si="0"/>
        <v>377.37315625071483</v>
      </c>
      <c r="S23" s="62">
        <f ca="1">AVERAGE(OFFSET($R$3,0,0,'Données projet'!$E$9+1,1))-AVERAGE(OFFSET($H$3,0,0,'Données projet'!$E$9+1,1))</f>
        <v>383.26814640166805</v>
      </c>
      <c r="T23" s="62">
        <f t="shared" si="34"/>
        <v>233.71216103405249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21</v>
      </c>
      <c r="AG23" s="13">
        <f>VLOOKUP(A23,'Données projet'!$A$61:$I$81,9,0)</f>
        <v>1.05</v>
      </c>
      <c r="AH23" s="13">
        <f t="array" ref="AH23">INDEX(AG:AG,MIN(IF(ISNUMBER(AG23:AG219),ROW(AG23:AG219),"")))</f>
        <v>1.05</v>
      </c>
      <c r="AI23" s="14">
        <f>IF('Données projet'!$A$62&gt;35,AI22+AH23-AQ22,IF(A23&lt;'Données projet'!$A$62,$AF$205^A23,IF(A23='Données projet'!$A$62,'Données projet'!$B$62,AI22+AH23-AQ22)))</f>
        <v>21</v>
      </c>
      <c r="AJ23" s="14">
        <f>AI23*VLOOKUP('Données projet'!$B$10,Paramètres!$A$1:$I$89,3,0)*VLOOKUP('Données projet'!$B$10,Paramètres!$A$1:$I$89,5,0)</f>
        <v>22.604399999999998</v>
      </c>
      <c r="AK23" s="14">
        <f t="shared" si="35"/>
        <v>7.2463112679569939</v>
      </c>
      <c r="AL23" s="22">
        <f t="shared" si="4"/>
        <v>51.989988791691758</v>
      </c>
      <c r="AM23" s="62">
        <f t="shared" si="5"/>
        <v>333.1010999028029</v>
      </c>
      <c r="AN23" s="62">
        <f ca="1">AVERAGE(OFFSET($AM$3,0,0,'Données projet'!$E$10+1,1))-AVERAGE(OFFSET($H$3,0,0,'Données projet'!$E$10+1,1))</f>
        <v>205.99910063756408</v>
      </c>
      <c r="AO23" s="62">
        <f t="shared" si="36"/>
        <v>128.95330275493671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14.926923076923075</v>
      </c>
      <c r="BD23" s="13">
        <f>IF('Données projet'!$A$88&gt;35,BD22+BC23-BL22,IF(A23&lt;'Données projet'!$A$88,$BA$205^A23,IF(A23='Données projet'!$A$88,'Données projet'!$B$88,BD22+BC23-BL22)))</f>
        <v>129.02692307692308</v>
      </c>
      <c r="BE23" s="14">
        <f>BD23*VLOOKUP('Données projet'!$B$11,Paramètres!$A$1:$I$89,3,0)*VLOOKUP('Données projet'!$B$11,Paramètres!$A$1:$I$89,5,0)</f>
        <v>77.158100000000005</v>
      </c>
      <c r="BF23" s="14">
        <f t="shared" si="37"/>
        <v>21.440868838738705</v>
      </c>
      <c r="BG23" s="22">
        <f t="shared" si="7"/>
        <v>171.72653739413659</v>
      </c>
      <c r="BH23" s="62">
        <f t="shared" si="8"/>
        <v>452.83764850524773</v>
      </c>
      <c r="BI23" s="62">
        <f ca="1">AVERAGE(OFFSET($BH$3,0,0,'Données projet'!$E$11+1,1))-AVERAGE(OFFSET($H$3,0,0,'Données projet'!$E$11+1,1))</f>
        <v>222.20580087523689</v>
      </c>
      <c r="BJ23" s="62">
        <f t="shared" si="38"/>
        <v>232.08940427392253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6.8849131053146735</v>
      </c>
      <c r="BR23" s="23">
        <f>EXP(-LN(2)/2)*BR22+(1-EXP(-LN(2)/2))/(LN(2)/2)*BL23*BO23*VLOOKUP('Données projet'!$B$11,Paramètres!$A$1:$I$89,3,0)*0.475*44/12</f>
        <v>5.0371524671130636</v>
      </c>
      <c r="BS23" s="24">
        <f t="shared" si="9"/>
        <v>11.922065572427737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3.4425641025641025</v>
      </c>
      <c r="BY23" s="13">
        <f>IF('Données projet'!$A$114&gt;35,BY22+BX23-CG22,IF(A23&lt;'Données projet'!$A$114,$BV$205^A23,IF(A23='Données projet'!$A$114,'Données projet'!$B$114,BY22+BX23-CG22)))</f>
        <v>22.012474220583886</v>
      </c>
      <c r="BZ23" s="14">
        <f>BY23*VLOOKUP('Données projet'!$B$12,Paramètres!$A$1:$I$89,3,0)*VLOOKUP('Données projet'!$B$12,Paramètres!$A$1:$I$89,5,0)</f>
        <v>10.301837935233259</v>
      </c>
      <c r="CA23" s="14">
        <f t="shared" si="39"/>
        <v>3.6187910342764393</v>
      </c>
      <c r="CB23" s="22">
        <f t="shared" si="10"/>
        <v>24.245095455229389</v>
      </c>
      <c r="CC23" s="62">
        <f t="shared" si="11"/>
        <v>305.35620656634052</v>
      </c>
      <c r="CD23" s="62">
        <f ca="1">AVERAGE(OFFSET($CC$3,0,0,'Données projet'!$E$12+1,1))-AVERAGE(OFFSET($H$3,0,0,'Données projet'!$E$12+1,1))</f>
        <v>179.14256291235466</v>
      </c>
      <c r="CE23" s="62">
        <f t="shared" si="40"/>
        <v>107.5256983607585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5.9083916083916082</v>
      </c>
      <c r="CT23" s="13">
        <f>IF('Données projet'!$A$140&gt;35,CT22+CS23-DB22,IF(A23&lt;'Données projet'!$A$140,$CQ$205^A23,IF(A23='Données projet'!$A$140,'Données projet'!$B$140,CT22+CS23-DB22)))</f>
        <v>83.506437734910989</v>
      </c>
      <c r="CU23" s="18">
        <f>CT23*VLOOKUP('Données projet'!$B$13,Paramètres!$A$1:$I$89,3,0)*VLOOKUP('Données projet'!$B$13,Paramètres!$A$1:$I$89,5,0)</f>
        <v>49.936849765476779</v>
      </c>
      <c r="CV23" s="14">
        <f t="shared" si="41"/>
        <v>14.597449640629918</v>
      </c>
      <c r="CW23" s="22">
        <f t="shared" si="13"/>
        <v>112.39723813230249</v>
      </c>
      <c r="CX23" s="62">
        <f t="shared" si="14"/>
        <v>393.50834924341365</v>
      </c>
      <c r="CY23" s="62">
        <f ca="1">AVERAGE(OFFSET($CX$3,0,0,'Données projet'!$E$13+1,1))-AVERAGE(OFFSET($H$3,0,0,'Données projet'!$E$13+1,1))</f>
        <v>237.03649693529445</v>
      </c>
      <c r="CZ23" s="62">
        <f t="shared" si="42"/>
        <v>191.04289411674887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79.16</v>
      </c>
      <c r="DM23" s="13">
        <f>VLOOKUP(A23,'Données projet'!$A$165:$I$185,9,0)</f>
        <v>4.694</v>
      </c>
      <c r="DN23" s="13">
        <f t="array" ref="DN23">INDEX(DM:DM,MIN(IF(ISNUMBER(DM23:DM219),ROW(DM23:DM219),"")))</f>
        <v>4.694</v>
      </c>
      <c r="DO23" s="13">
        <f>IF('Données projet'!$A$166&gt;35,DO22+DN23-DW22,IF(A23&lt;'Données projet'!$A$166,$DL$205^A23,IF(A23='Données projet'!$A$166,'Données projet'!$B$166,DO22+DN23-DW22)))</f>
        <v>79.160000000000025</v>
      </c>
      <c r="DP23" s="18">
        <f>DO23*VLOOKUP('Données projet'!$B$14,Paramètres!$A$1:$I$89,3,0)*VLOOKUP('Données projet'!$B$14,Paramètres!$A$1:$I$89,5,0)</f>
        <v>91.192320000000009</v>
      </c>
      <c r="DQ23" s="14">
        <f t="shared" si="43"/>
        <v>24.852563234825251</v>
      </c>
      <c r="DR23" s="22">
        <f t="shared" si="16"/>
        <v>202.11150496732066</v>
      </c>
      <c r="DS23" s="62">
        <f t="shared" si="17"/>
        <v>483.22261607843177</v>
      </c>
      <c r="DT23" s="62">
        <f ca="1">AVERAGE(OFFSET($DS$3,0,0,'Données projet'!$E$14+1,1))-AVERAGE(OFFSET($H$3,0,0,'Données projet'!$E$14+1,1))</f>
        <v>431.38469096974364</v>
      </c>
      <c r="DU23" s="62">
        <f t="shared" si="44"/>
        <v>295.48627059086647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9.5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0.5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3.4574977669565694</v>
      </c>
      <c r="ED23" s="24">
        <f t="shared" si="18"/>
        <v>3.4574977669565694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21</v>
      </c>
      <c r="EH23" s="13">
        <f>VLOOKUP(A23,'Données projet'!$A$191:$I$211,9,0)</f>
        <v>1.05</v>
      </c>
      <c r="EI23" s="13">
        <f t="array" ref="EI23">INDEX(EH:EH,MIN(IF(ISNUMBER(EH23:EH219),ROW(EH23:EH219),"")))</f>
        <v>1.05</v>
      </c>
      <c r="EJ23" s="13">
        <f>IF('Données projet'!$A$192&gt;35,EJ22+EI23-ER22,IF(A23&lt;'Données projet'!$A$192,$EG$205^A23,IF(A23='Données projet'!$A$192,'Données projet'!$B$192,EJ22+EI23-ER22)))</f>
        <v>21</v>
      </c>
      <c r="EK23" s="18">
        <f>EJ23*VLOOKUP('Données projet'!$B$15,Paramètres!$A$1:$I$89,3,0)*VLOOKUP('Données projet'!$B$15,Paramètres!$A$1:$I$89,5,0)</f>
        <v>23.9148</v>
      </c>
      <c r="EL23" s="14">
        <f t="shared" si="45"/>
        <v>7.6162643255559814</v>
      </c>
      <c r="EM23" s="22">
        <f t="shared" si="19"/>
        <v>54.91660370034333</v>
      </c>
      <c r="EN23" s="62">
        <f t="shared" si="20"/>
        <v>336.02771481145447</v>
      </c>
      <c r="EO23" s="62">
        <f ca="1">AVERAGE(OFFSET($EN$3,0,0,'Données projet'!$E$15+1,1))-AVERAGE(OFFSET($H$3,0,0,'Données projet'!$E$15+1,1))</f>
        <v>220.03635832253951</v>
      </c>
      <c r="EP23" s="62">
        <f t="shared" si="46"/>
        <v>136.30639155882233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86</v>
      </c>
      <c r="FC23" s="13">
        <f>VLOOKUP(A23,'Données projet'!$A$217:$I$237,9,0)</f>
        <v>7.8</v>
      </c>
      <c r="FD23" s="13">
        <f t="array" ref="FD23">INDEX(FC:FC,MIN(IF(ISNUMBER(FC23:FC219),ROW(FC23:FC219),"")))</f>
        <v>7.8</v>
      </c>
      <c r="FE23" s="13">
        <f>IF('Données projet'!$A$218&gt;35,FE22+FD23-FM22,IF(A23&lt;'Données projet'!$A$218,$FB$205^A23,IF(A23='Données projet'!$A$218,'Données projet'!$B$218,FE22+FD23-FM22)))</f>
        <v>85.999999999999986</v>
      </c>
      <c r="FF23" s="18">
        <f>FE23*VLOOKUP('Données projet'!$B$16,Paramètres!$A$1:$I$89,3,0)*VLOOKUP('Données projet'!$B$16,Paramètres!$A$1:$I$89,5,0)</f>
        <v>89.887199999999993</v>
      </c>
      <c r="FG23" s="14">
        <f t="shared" si="47"/>
        <v>24.538018364785955</v>
      </c>
      <c r="FH23" s="22">
        <f t="shared" si="22"/>
        <v>199.29058865200216</v>
      </c>
      <c r="FI23" s="62">
        <f t="shared" si="23"/>
        <v>480.4016997631133</v>
      </c>
      <c r="FJ23" s="62">
        <f ca="1">AVERAGE(OFFSET($FI$3,0,0,'Données projet'!$E$16+1,1))-AVERAGE(OFFSET($H$3,0,0,'Données projet'!$E$16+1,1))</f>
        <v>641.62708445664862</v>
      </c>
      <c r="FK23" s="62">
        <f t="shared" si="48"/>
        <v>379.46845863546929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21</v>
      </c>
      <c r="FX23" s="13">
        <f>VLOOKUP(A23,'Données projet'!$A$243:$I$263,9,0)</f>
        <v>1.05</v>
      </c>
      <c r="FY23" s="13">
        <f t="array" ref="FY23">INDEX(FX:FX,MIN(IF(ISNUMBER(FX23:FX219),ROW(FX23:FX219),"")))</f>
        <v>1.05</v>
      </c>
      <c r="FZ23" s="13">
        <f>IF('Données projet'!$A$244&gt;35,FZ22+FY23-GH22,IF(A23&lt;'Données projet'!$A$244,$FW$205^A23,IF(A23='Données projet'!$A$244,'Données projet'!$B$244,FZ22+FY23-GH22)))</f>
        <v>21</v>
      </c>
      <c r="GA23" s="18">
        <f>FZ23*VLOOKUP('Données projet'!$B$17,Paramètres!$A$1:$I$89,3,0)*VLOOKUP('Données projet'!$B$17,Paramètres!$A$1:$I$89,5,0)</f>
        <v>20.311199999999999</v>
      </c>
      <c r="GB23" s="14">
        <f t="shared" si="49"/>
        <v>6.5927593849088089</v>
      </c>
      <c r="GC23" s="22">
        <f t="shared" si="25"/>
        <v>46.85772926204951</v>
      </c>
      <c r="GD23" s="62">
        <f t="shared" si="26"/>
        <v>327.96884037316067</v>
      </c>
      <c r="GE23" s="62">
        <f ca="1">AVERAGE(OFFSET($GD$3,0,0,'Données projet'!$E$17+1,1))-AVERAGE(OFFSET($H$3,0,0,'Données projet'!$E$17+1,1))</f>
        <v>181.39066880931728</v>
      </c>
      <c r="GF23" s="62">
        <f t="shared" si="50"/>
        <v>116.06078566855524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18</v>
      </c>
      <c r="GS23" s="13">
        <f>VLOOKUP(A23,'Données projet'!$A$269:$I$289,9,0)</f>
        <v>0.9</v>
      </c>
      <c r="GT23" s="13">
        <f t="array" ref="GT23">INDEX(GS:GS,MIN(IF(ISNUMBER(GS23:GS219),ROW(GS23:GS219),"")))</f>
        <v>0.9</v>
      </c>
      <c r="GU23" s="13">
        <f>IF('Données projet'!$A$270&gt;35,GU22+GT23-HC22,IF(A23&lt;'Données projet'!$A$270,$GR$205^A23,IF(A23='Données projet'!$A$270,'Données projet'!$B$270,GU22+GT23-HC22)))</f>
        <v>18</v>
      </c>
      <c r="GV23" s="18">
        <f>GU23*VLOOKUP('Données projet'!$B$18,Paramètres!$A$1:$I$89,3,0)*VLOOKUP('Données projet'!$B$18,Paramètres!$A$1:$I$89,5,0)</f>
        <v>15.724800000000004</v>
      </c>
      <c r="GW23" s="14">
        <f t="shared" si="51"/>
        <v>5.2584129176484753</v>
      </c>
      <c r="GX23" s="22">
        <f t="shared" si="28"/>
        <v>36.545762498237771</v>
      </c>
      <c r="GY23" s="62">
        <f t="shared" si="29"/>
        <v>317.65687360934891</v>
      </c>
      <c r="GZ23" s="62">
        <f ca="1">AVERAGE(OFFSET($GY$3,0,0,'Données projet'!$E$18+1,1))-AVERAGE(OFFSET($H$3,0,0,'Données projet'!$E$18+1,1))</f>
        <v>152.84277478695606</v>
      </c>
      <c r="HA23" s="62">
        <f t="shared" si="52"/>
        <v>179.22995976651015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9">
        <f t="shared" si="1"/>
        <v>283.56470622103035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2">
        <f t="shared" si="0"/>
        <v>391.06825607785231</v>
      </c>
      <c r="S24" s="62">
        <f ca="1">AVERAGE(OFFSET($R$3,0,0,'Données projet'!$E$9+1,1))-AVERAGE(OFFSET($H$3,0,0,'Données projet'!$E$9+1,1))</f>
        <v>383.26814640166805</v>
      </c>
      <c r="T24" s="62">
        <f t="shared" si="34"/>
        <v>233.71216103405249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</v>
      </c>
      <c r="AI24" s="14">
        <f>IF('Données projet'!$A$62&gt;35,AI23+AH24-AQ23,IF(A24&lt;'Données projet'!$A$62,$AF$205^A24,IF(A24='Données projet'!$A$62,'Données projet'!$B$62,AI23+AH24-AQ23)))</f>
        <v>24</v>
      </c>
      <c r="AJ24" s="14">
        <f>AI24*VLOOKUP('Données projet'!$B$10,Paramètres!$A$1:$I$89,3,0)*VLOOKUP('Données projet'!$B$10,Paramètres!$A$1:$I$89,5,0)</f>
        <v>25.833600000000001</v>
      </c>
      <c r="AK24" s="14">
        <f t="shared" si="35"/>
        <v>8.1537739978012986</v>
      </c>
      <c r="AL24" s="22">
        <f t="shared" si="4"/>
        <v>59.194676379503932</v>
      </c>
      <c r="AM24" s="62">
        <f t="shared" si="5"/>
        <v>341.52800971283727</v>
      </c>
      <c r="AN24" s="62">
        <f ca="1">AVERAGE(OFFSET($AM$3,0,0,'Données projet'!$E$10+1,1))-AVERAGE(OFFSET($H$3,0,0,'Données projet'!$E$10+1,1))</f>
        <v>205.99910063756408</v>
      </c>
      <c r="AO24" s="62">
        <f t="shared" si="36"/>
        <v>128.95330275493671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14.926923076923075</v>
      </c>
      <c r="BD24" s="13">
        <f>IF('Données projet'!$A$88&gt;35,BD23+BC24-BL23,IF(A24&lt;'Données projet'!$A$88,$BA$205^A24,IF(A24='Données projet'!$A$88,'Données projet'!$B$88,BD23+BC24-BL23)))</f>
        <v>143.95384615384614</v>
      </c>
      <c r="BE24" s="14">
        <f>BD24*VLOOKUP('Données projet'!$B$11,Paramètres!$A$1:$I$89,3,0)*VLOOKUP('Données projet'!$B$11,Paramètres!$A$1:$I$89,5,0)</f>
        <v>86.084400000000002</v>
      </c>
      <c r="BF24" s="14">
        <f t="shared" si="37"/>
        <v>23.618445758177199</v>
      </c>
      <c r="BG24" s="22">
        <f t="shared" si="7"/>
        <v>191.06578969549196</v>
      </c>
      <c r="BH24" s="62">
        <f t="shared" si="8"/>
        <v>473.39912302882527</v>
      </c>
      <c r="BI24" s="62">
        <f ca="1">AVERAGE(OFFSET($BH$3,0,0,'Données projet'!$E$11+1,1))-AVERAGE(OFFSET($H$3,0,0,'Données projet'!$E$11+1,1))</f>
        <v>222.20580087523689</v>
      </c>
      <c r="BJ24" s="62">
        <f t="shared" si="38"/>
        <v>232.08940427392253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6.696644794387999</v>
      </c>
      <c r="BR24" s="23">
        <f>EXP(-LN(2)/2)*BR23+(1-EXP(-LN(2)/2))/(LN(2)/2)*BL24*BO24*VLOOKUP('Données projet'!$B$11,Paramètres!$A$1:$I$89,3,0)*0.475*44/12</f>
        <v>3.5618046673661952</v>
      </c>
      <c r="BS24" s="24">
        <f t="shared" si="9"/>
        <v>10.258449461754195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3.4425641025641025</v>
      </c>
      <c r="BY24" s="13">
        <f>IF('Données projet'!$A$114&gt;35,BY23+BX24-CG23,IF(A24&lt;'Données projet'!$A$114,$BV$205^A24,IF(A24='Données projet'!$A$114,'Données projet'!$B$114,BY23+BX24-CG23)))</f>
        <v>25.692259707215236</v>
      </c>
      <c r="BZ24" s="14">
        <f>BY24*VLOOKUP('Données projet'!$B$12,Paramètres!$A$1:$I$89,3,0)*VLOOKUP('Données projet'!$B$12,Paramètres!$A$1:$I$89,5,0)</f>
        <v>12.023977542976729</v>
      </c>
      <c r="CA24" s="14">
        <f t="shared" si="39"/>
        <v>4.1484190116858626</v>
      </c>
      <c r="CB24" s="22">
        <f t="shared" si="10"/>
        <v>28.166923999370677</v>
      </c>
      <c r="CC24" s="62">
        <f t="shared" si="11"/>
        <v>310.500257332704</v>
      </c>
      <c r="CD24" s="62">
        <f ca="1">AVERAGE(OFFSET($CC$3,0,0,'Données projet'!$E$12+1,1))-AVERAGE(OFFSET($H$3,0,0,'Données projet'!$E$12+1,1))</f>
        <v>179.14256291235466</v>
      </c>
      <c r="CE24" s="62">
        <f t="shared" si="40"/>
        <v>107.5256983607585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5.9083916083916082</v>
      </c>
      <c r="CT24" s="13">
        <f>IF('Données projet'!$A$140&gt;35,CT23+CS24-DB23,IF(A24&lt;'Données projet'!$A$140,$CQ$205^A24,IF(A24='Données projet'!$A$140,'Données projet'!$B$140,CT23+CS24-DB23)))</f>
        <v>104.18518220510889</v>
      </c>
      <c r="CU24" s="18">
        <f>CT24*VLOOKUP('Données projet'!$B$13,Paramètres!$A$1:$I$89,3,0)*VLOOKUP('Données projet'!$B$13,Paramètres!$A$1:$I$89,5,0)</f>
        <v>62.302738958655119</v>
      </c>
      <c r="CV24" s="14">
        <f t="shared" si="41"/>
        <v>17.749191429002199</v>
      </c>
      <c r="CW24" s="22">
        <f t="shared" si="13"/>
        <v>139.42377875850318</v>
      </c>
      <c r="CX24" s="62">
        <f t="shared" si="14"/>
        <v>421.75711209183646</v>
      </c>
      <c r="CY24" s="62">
        <f ca="1">AVERAGE(OFFSET($CX$3,0,0,'Données projet'!$E$13+1,1))-AVERAGE(OFFSET($H$3,0,0,'Données projet'!$E$13+1,1))</f>
        <v>237.03649693529445</v>
      </c>
      <c r="CZ24" s="62">
        <f t="shared" si="42"/>
        <v>191.04289411674887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4.7730000000000006</v>
      </c>
      <c r="DO24" s="13">
        <f>IF('Données projet'!$A$166&gt;35,DO23+DN24-DW23,IF(A24&lt;'Données projet'!$A$166,$DL$205^A24,IF(A24='Données projet'!$A$166,'Données projet'!$B$166,DO23+DN24-DW23)))</f>
        <v>74.433000000000021</v>
      </c>
      <c r="DP24" s="18">
        <f>DO24*VLOOKUP('Données projet'!$B$14,Paramètres!$A$1:$I$89,3,0)*VLOOKUP('Données projet'!$B$14,Paramètres!$A$1:$I$89,5,0)</f>
        <v>85.74681600000001</v>
      </c>
      <c r="DQ24" s="14">
        <f t="shared" si="43"/>
        <v>23.536587278490256</v>
      </c>
      <c r="DR24" s="22">
        <f t="shared" si="16"/>
        <v>190.3352607100372</v>
      </c>
      <c r="DS24" s="62">
        <f t="shared" si="17"/>
        <v>472.66859404337049</v>
      </c>
      <c r="DT24" s="62">
        <f ca="1">AVERAGE(OFFSET($DS$3,0,0,'Données projet'!$E$14+1,1))-AVERAGE(OFFSET($H$3,0,0,'Données projet'!$E$14+1,1))</f>
        <v>431.38469096974364</v>
      </c>
      <c r="DU24" s="62">
        <f t="shared" si="44"/>
        <v>295.48627059086647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2.4448201169523358</v>
      </c>
      <c r="ED24" s="24">
        <f t="shared" si="18"/>
        <v>2.4448201169523358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3</v>
      </c>
      <c r="EJ24" s="13">
        <f>IF('Données projet'!$A$192&gt;35,EJ23+EI24-ER23,IF(A24&lt;'Données projet'!$A$192,$EG$205^A24,IF(A24='Données projet'!$A$192,'Données projet'!$B$192,EJ23+EI24-ER23)))</f>
        <v>24</v>
      </c>
      <c r="EK24" s="18">
        <f>EJ24*VLOOKUP('Données projet'!$B$15,Paramètres!$A$1:$I$89,3,0)*VLOOKUP('Données projet'!$B$15,Paramètres!$A$1:$I$89,5,0)</f>
        <v>27.331199999999999</v>
      </c>
      <c r="EL24" s="14">
        <f t="shared" si="45"/>
        <v>8.5700566428481206</v>
      </c>
      <c r="EM24" s="22">
        <f t="shared" si="19"/>
        <v>62.528021986293801</v>
      </c>
      <c r="EN24" s="62">
        <f t="shared" si="20"/>
        <v>344.86135531962714</v>
      </c>
      <c r="EO24" s="62">
        <f ca="1">AVERAGE(OFFSET($EN$3,0,0,'Données projet'!$E$15+1,1))-AVERAGE(OFFSET($H$3,0,0,'Données projet'!$E$15+1,1))</f>
        <v>220.03635832253951</v>
      </c>
      <c r="EP24" s="62">
        <f t="shared" si="46"/>
        <v>136.30639155882233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8.1999999999999993</v>
      </c>
      <c r="FE24" s="13">
        <f>IF('Données projet'!$A$218&gt;35,FE23+FD24-FM23,IF(A24&lt;'Données projet'!$A$218,$FB$205^A24,IF(A24='Données projet'!$A$218,'Données projet'!$B$218,FE23+FD24-FM23)))</f>
        <v>94.199999999999989</v>
      </c>
      <c r="FF24" s="18">
        <f>FE24*VLOOKUP('Données projet'!$B$16,Paramètres!$A$1:$I$89,3,0)*VLOOKUP('Données projet'!$B$16,Paramètres!$A$1:$I$89,5,0)</f>
        <v>98.457840000000004</v>
      </c>
      <c r="FG24" s="14">
        <f t="shared" si="47"/>
        <v>26.59426753254488</v>
      </c>
      <c r="FH24" s="22">
        <f t="shared" si="22"/>
        <v>217.79908728584903</v>
      </c>
      <c r="FI24" s="62">
        <f t="shared" si="23"/>
        <v>500.13242061918231</v>
      </c>
      <c r="FJ24" s="62">
        <f ca="1">AVERAGE(OFFSET($FI$3,0,0,'Données projet'!$E$16+1,1))-AVERAGE(OFFSET($H$3,0,0,'Données projet'!$E$16+1,1))</f>
        <v>641.62708445664862</v>
      </c>
      <c r="FK24" s="62">
        <f t="shared" si="48"/>
        <v>379.46845863546929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3</v>
      </c>
      <c r="FZ24" s="13">
        <f>IF('Données projet'!$A$244&gt;35,FZ23+FY24-GH23,IF(A24&lt;'Données projet'!$A$244,$FW$205^A24,IF(A24='Données projet'!$A$244,'Données projet'!$B$244,FZ23+FY24-GH23)))</f>
        <v>24</v>
      </c>
      <c r="GA24" s="18">
        <f>FZ24*VLOOKUP('Données projet'!$B$17,Paramètres!$A$1:$I$89,3,0)*VLOOKUP('Données projet'!$B$17,Paramètres!$A$1:$I$89,5,0)</f>
        <v>23.212799999999998</v>
      </c>
      <c r="GB24" s="14">
        <f t="shared" si="49"/>
        <v>7.4183771657915161</v>
      </c>
      <c r="GC24" s="22">
        <f t="shared" si="25"/>
        <v>53.349300230420219</v>
      </c>
      <c r="GD24" s="62">
        <f t="shared" si="26"/>
        <v>335.68263356375354</v>
      </c>
      <c r="GE24" s="62">
        <f ca="1">AVERAGE(OFFSET($GD$3,0,0,'Données projet'!$E$17+1,1))-AVERAGE(OFFSET($H$3,0,0,'Données projet'!$E$17+1,1))</f>
        <v>181.39066880931728</v>
      </c>
      <c r="GF24" s="62">
        <f t="shared" si="50"/>
        <v>116.06078566855524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7.6</v>
      </c>
      <c r="GU24" s="13">
        <f>IF('Données projet'!$A$270&gt;35,GU23+GT24-HC23,IF(A24&lt;'Données projet'!$A$270,$GR$205^A24,IF(A24='Données projet'!$A$270,'Données projet'!$B$270,GU23+GT24-HC23)))</f>
        <v>25.6</v>
      </c>
      <c r="GV24" s="18">
        <f>GU24*VLOOKUP('Données projet'!$B$18,Paramètres!$A$1:$I$89,3,0)*VLOOKUP('Données projet'!$B$18,Paramètres!$A$1:$I$89,5,0)</f>
        <v>22.364160000000005</v>
      </c>
      <c r="GW24" s="14">
        <f t="shared" si="51"/>
        <v>7.1782194944528523</v>
      </c>
      <c r="GX24" s="22">
        <f t="shared" si="28"/>
        <v>51.452977619505397</v>
      </c>
      <c r="GY24" s="62">
        <f t="shared" si="29"/>
        <v>333.78631095283873</v>
      </c>
      <c r="GZ24" s="62">
        <f ca="1">AVERAGE(OFFSET($GY$3,0,0,'Données projet'!$E$18+1,1))-AVERAGE(OFFSET($H$3,0,0,'Données projet'!$E$18+1,1))</f>
        <v>152.84277478695606</v>
      </c>
      <c r="HA24" s="62">
        <f t="shared" si="52"/>
        <v>179.22995976651015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9">
        <f t="shared" si="1"/>
        <v>284.8063699102529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2">
        <f t="shared" si="0"/>
        <v>404.72813945687091</v>
      </c>
      <c r="S25" s="62">
        <f ca="1">AVERAGE(OFFSET($R$3,0,0,'Données projet'!$E$9+1,1))-AVERAGE(OFFSET($H$3,0,0,'Données projet'!$E$9+1,1))</f>
        <v>383.26814640166805</v>
      </c>
      <c r="T25" s="62">
        <f t="shared" si="34"/>
        <v>233.71216103405249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</v>
      </c>
      <c r="AI25" s="14">
        <f>IF('Données projet'!$A$62&gt;35,AI24+AH25-AQ24,IF(A25&lt;'Données projet'!$A$62,$AF$205^A25,IF(A25='Données projet'!$A$62,'Données projet'!$B$62,AI24+AH25-AQ24)))</f>
        <v>27</v>
      </c>
      <c r="AJ25" s="14">
        <f>AI25*VLOOKUP('Données projet'!$B$10,Paramètres!$A$1:$I$89,3,0)*VLOOKUP('Données projet'!$B$10,Paramètres!$A$1:$I$89,5,0)</f>
        <v>29.062799999999999</v>
      </c>
      <c r="AK25" s="14">
        <f t="shared" si="35"/>
        <v>9.0480926409310953</v>
      </c>
      <c r="AL25" s="22">
        <f t="shared" si="4"/>
        <v>66.376471349621667</v>
      </c>
      <c r="AM25" s="62">
        <f t="shared" si="5"/>
        <v>349.93202690517722</v>
      </c>
      <c r="AN25" s="62">
        <f ca="1">AVERAGE(OFFSET($AM$3,0,0,'Données projet'!$E$10+1,1))-AVERAGE(OFFSET($H$3,0,0,'Données projet'!$E$10+1,1))</f>
        <v>205.99910063756408</v>
      </c>
      <c r="AO25" s="62">
        <f t="shared" si="36"/>
        <v>128.95330275493671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14.926923076923075</v>
      </c>
      <c r="BD25" s="13">
        <f>IF('Données projet'!$A$88&gt;35,BD24+BC25-BL24,IF(A25&lt;'Données projet'!$A$88,$BA$205^A25,IF(A25='Données projet'!$A$88,'Données projet'!$B$88,BD24+BC25-BL24)))</f>
        <v>158.8807692307692</v>
      </c>
      <c r="BE25" s="14">
        <f>BD25*VLOOKUP('Données projet'!$B$11,Paramètres!$A$1:$I$89,3,0)*VLOOKUP('Données projet'!$B$11,Paramètres!$A$1:$I$89,5,0)</f>
        <v>95.0107</v>
      </c>
      <c r="BF25" s="14">
        <f t="shared" si="37"/>
        <v>25.769848277327686</v>
      </c>
      <c r="BG25" s="22">
        <f t="shared" si="7"/>
        <v>210.3594549163457</v>
      </c>
      <c r="BH25" s="62">
        <f t="shared" si="8"/>
        <v>493.91501047190127</v>
      </c>
      <c r="BI25" s="62">
        <f ca="1">AVERAGE(OFFSET($BH$3,0,0,'Données projet'!$E$11+1,1))-AVERAGE(OFFSET($H$3,0,0,'Données projet'!$E$11+1,1))</f>
        <v>222.20580087523689</v>
      </c>
      <c r="BJ25" s="62">
        <f t="shared" si="38"/>
        <v>232.08940427392253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6.513524690324215</v>
      </c>
      <c r="BR25" s="23">
        <f>EXP(-LN(2)/2)*BR24+(1-EXP(-LN(2)/2))/(LN(2)/2)*BL25*BO25*VLOOKUP('Données projet'!$B$11,Paramètres!$A$1:$I$89,3,0)*0.475*44/12</f>
        <v>2.5185762335565318</v>
      </c>
      <c r="BS25" s="24">
        <f t="shared" si="9"/>
        <v>9.0321009238807477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3.4425641025641025</v>
      </c>
      <c r="BY25" s="13">
        <f>IF('Données projet'!$A$114&gt;35,BY24+BX25-CG24,IF(A25&lt;'Données projet'!$A$114,$BV$205^A25,IF(A25='Données projet'!$A$114,'Données projet'!$B$114,BY24+BX25-CG24)))</f>
        <v>29.987188275534368</v>
      </c>
      <c r="BZ25" s="14">
        <f>BY25*VLOOKUP('Données projet'!$B$12,Paramètres!$A$1:$I$89,3,0)*VLOOKUP('Données projet'!$B$12,Paramètres!$A$1:$I$89,5,0)</f>
        <v>14.034004112950084</v>
      </c>
      <c r="CA25" s="14">
        <f t="shared" si="39"/>
        <v>4.7555606647394173</v>
      </c>
      <c r="CB25" s="22">
        <f t="shared" si="10"/>
        <v>32.725158654475884</v>
      </c>
      <c r="CC25" s="62">
        <f t="shared" si="11"/>
        <v>316.28071421003142</v>
      </c>
      <c r="CD25" s="62">
        <f ca="1">AVERAGE(OFFSET($CC$3,0,0,'Données projet'!$E$12+1,1))-AVERAGE(OFFSET($H$3,0,0,'Données projet'!$E$12+1,1))</f>
        <v>179.14256291235466</v>
      </c>
      <c r="CE25" s="62">
        <f t="shared" si="40"/>
        <v>107.5256983607585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>
        <f>VLOOKUP(A25,'Données projet'!$A$139:$I$159,2,0)</f>
        <v>129.98461538461538</v>
      </c>
      <c r="CR25" s="13">
        <f>VLOOKUP(A25,'Données projet'!$A$139:$I$159,9,0)</f>
        <v>5.9083916083916082</v>
      </c>
      <c r="CS25" s="13">
        <f t="array" ref="CS25">INDEX(CR:CR,MIN(IF(ISNUMBER(CR25:CR221),ROW(CR25:CR221),"")))</f>
        <v>5.9083916083916082</v>
      </c>
      <c r="CT25" s="13">
        <f>IF('Données projet'!$A$140&gt;35,CT24+CS25-DB24,IF(A25&lt;'Données projet'!$A$140,$CQ$205^A25,IF(A25='Données projet'!$A$140,'Données projet'!$B$140,CT24+CS25-DB24)))</f>
        <v>129.98461538461538</v>
      </c>
      <c r="CU25" s="18">
        <f>CT25*VLOOKUP('Données projet'!$B$13,Paramètres!$A$1:$I$89,3,0)*VLOOKUP('Données projet'!$B$13,Paramètres!$A$1:$I$89,5,0)</f>
        <v>77.730800000000002</v>
      </c>
      <c r="CV25" s="14">
        <f t="shared" si="41"/>
        <v>21.581427176601697</v>
      </c>
      <c r="CW25" s="22">
        <f t="shared" si="13"/>
        <v>172.96879566591463</v>
      </c>
      <c r="CX25" s="62">
        <f t="shared" si="14"/>
        <v>456.52435122147017</v>
      </c>
      <c r="CY25" s="62">
        <f ca="1">AVERAGE(OFFSET($CX$3,0,0,'Données projet'!$E$13+1,1))-AVERAGE(OFFSET($H$3,0,0,'Données projet'!$E$13+1,1))</f>
        <v>237.03649693529445</v>
      </c>
      <c r="CZ25" s="62">
        <f t="shared" si="42"/>
        <v>191.04289411674887</v>
      </c>
      <c r="DA25" s="16">
        <f>IF(ISNA(VLOOKUP(A25,'Données projet'!$A$139:$I$159,3,0)),0,VLOOKUP(A25,'Données projet'!$A$139:$I$159,3,0))</f>
        <v>1</v>
      </c>
      <c r="DB25" s="16">
        <f>IF(ISNA(VLOOKUP(A25,'Données projet'!$A$139:$I$159,4,0)),0,VLOOKUP(A25,'Données projet'!$A$139:$I$159,4,0))</f>
        <v>52.746153846153838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0.5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17.856548787519642</v>
      </c>
      <c r="DI25" s="24">
        <f t="shared" si="15"/>
        <v>17.856548787519642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4.7730000000000006</v>
      </c>
      <c r="DO25" s="13">
        <f>IF('Données projet'!$A$166&gt;35,DO24+DN25-DW24,IF(A25&lt;'Données projet'!$A$166,$DL$205^A25,IF(A25='Données projet'!$A$166,'Données projet'!$B$166,DO24+DN25-DW24)))</f>
        <v>79.206000000000017</v>
      </c>
      <c r="DP25" s="18">
        <f>DO25*VLOOKUP('Données projet'!$B$14,Paramètres!$A$1:$I$89,3,0)*VLOOKUP('Données projet'!$B$14,Paramètres!$A$1:$I$89,5,0)</f>
        <v>91.245312000000027</v>
      </c>
      <c r="DQ25" s="14">
        <f t="shared" si="43"/>
        <v>24.865323633869071</v>
      </c>
      <c r="DR25" s="22">
        <f t="shared" si="16"/>
        <v>202.22602372898868</v>
      </c>
      <c r="DS25" s="62">
        <f t="shared" si="17"/>
        <v>485.78157928454425</v>
      </c>
      <c r="DT25" s="62">
        <f ca="1">AVERAGE(OFFSET($DS$3,0,0,'Données projet'!$E$14+1,1))-AVERAGE(OFFSET($H$3,0,0,'Données projet'!$E$14+1,1))</f>
        <v>431.38469096974364</v>
      </c>
      <c r="DU25" s="62">
        <f t="shared" si="44"/>
        <v>295.48627059086647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1.7287488834782849</v>
      </c>
      <c r="ED25" s="24">
        <f t="shared" si="18"/>
        <v>1.7287488834782849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3</v>
      </c>
      <c r="EJ25" s="13">
        <f>IF('Données projet'!$A$192&gt;35,EJ24+EI25-ER24,IF(A25&lt;'Données projet'!$A$192,$EG$205^A25,IF(A25='Données projet'!$A$192,'Données projet'!$B$192,EJ24+EI25-ER24)))</f>
        <v>27</v>
      </c>
      <c r="EK25" s="18">
        <f>EJ25*VLOOKUP('Données projet'!$B$15,Paramètres!$A$1:$I$89,3,0)*VLOOKUP('Données projet'!$B$15,Paramètres!$A$1:$I$89,5,0)</f>
        <v>30.747600000000002</v>
      </c>
      <c r="EL25" s="14">
        <f t="shared" si="45"/>
        <v>9.5100338154364366</v>
      </c>
      <c r="EM25" s="22">
        <f t="shared" si="19"/>
        <v>70.115378895218456</v>
      </c>
      <c r="EN25" s="62">
        <f t="shared" si="20"/>
        <v>353.67093445077398</v>
      </c>
      <c r="EO25" s="62">
        <f ca="1">AVERAGE(OFFSET($EN$3,0,0,'Données projet'!$E$15+1,1))-AVERAGE(OFFSET($H$3,0,0,'Données projet'!$E$15+1,1))</f>
        <v>220.03635832253951</v>
      </c>
      <c r="EP25" s="62">
        <f t="shared" si="46"/>
        <v>136.30639155882233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8.1999999999999993</v>
      </c>
      <c r="FE25" s="13">
        <f>IF('Données projet'!$A$218&gt;35,FE24+FD25-FM24,IF(A25&lt;'Données projet'!$A$218,$FB$205^A25,IF(A25='Données projet'!$A$218,'Données projet'!$B$218,FE24+FD25-FM24)))</f>
        <v>102.39999999999999</v>
      </c>
      <c r="FF25" s="18">
        <f>FE25*VLOOKUP('Données projet'!$B$16,Paramètres!$A$1:$I$89,3,0)*VLOOKUP('Données projet'!$B$16,Paramètres!$A$1:$I$89,5,0)</f>
        <v>107.02848000000002</v>
      </c>
      <c r="FG25" s="14">
        <f t="shared" si="47"/>
        <v>28.629759336358529</v>
      </c>
      <c r="FH25" s="22">
        <f t="shared" si="22"/>
        <v>236.27143351082449</v>
      </c>
      <c r="FI25" s="62">
        <f t="shared" si="23"/>
        <v>519.82698906638007</v>
      </c>
      <c r="FJ25" s="62">
        <f ca="1">AVERAGE(OFFSET($FI$3,0,0,'Données projet'!$E$16+1,1))-AVERAGE(OFFSET($H$3,0,0,'Données projet'!$E$16+1,1))</f>
        <v>641.62708445664862</v>
      </c>
      <c r="FK25" s="62">
        <f t="shared" si="48"/>
        <v>379.46845863546929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3</v>
      </c>
      <c r="FZ25" s="13">
        <f>IF('Données projet'!$A$244&gt;35,FZ24+FY25-GH24,IF(A25&lt;'Données projet'!$A$244,$FW$205^A25,IF(A25='Données projet'!$A$244,'Données projet'!$B$244,FZ24+FY25-GH24)))</f>
        <v>27</v>
      </c>
      <c r="GA25" s="18">
        <f>FZ25*VLOOKUP('Données projet'!$B$17,Paramètres!$A$1:$I$89,3,0)*VLOOKUP('Données projet'!$B$17,Paramètres!$A$1:$I$89,5,0)</f>
        <v>26.1144</v>
      </c>
      <c r="GB25" s="14">
        <f t="shared" si="49"/>
        <v>8.232036337964395</v>
      </c>
      <c r="GC25" s="22">
        <f t="shared" si="25"/>
        <v>59.820043288621314</v>
      </c>
      <c r="GD25" s="62">
        <f t="shared" si="26"/>
        <v>343.37559884417686</v>
      </c>
      <c r="GE25" s="62">
        <f ca="1">AVERAGE(OFFSET($GD$3,0,0,'Données projet'!$E$17+1,1))-AVERAGE(OFFSET($H$3,0,0,'Données projet'!$E$17+1,1))</f>
        <v>181.39066880931728</v>
      </c>
      <c r="GF25" s="62">
        <f t="shared" si="50"/>
        <v>116.06078566855524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7.6</v>
      </c>
      <c r="GU25" s="13">
        <f>IF('Données projet'!$A$270&gt;35,GU24+GT25-HC24,IF(A25&lt;'Données projet'!$A$270,$GR$205^A25,IF(A25='Données projet'!$A$270,'Données projet'!$B$270,GU24+GT25-HC24)))</f>
        <v>33.200000000000003</v>
      </c>
      <c r="GV25" s="18">
        <f>GU25*VLOOKUP('Données projet'!$B$18,Paramètres!$A$1:$I$89,3,0)*VLOOKUP('Données projet'!$B$18,Paramètres!$A$1:$I$89,5,0)</f>
        <v>29.003520000000005</v>
      </c>
      <c r="GW25" s="14">
        <f t="shared" si="51"/>
        <v>9.0317833500167612</v>
      </c>
      <c r="GX25" s="22">
        <f t="shared" si="28"/>
        <v>66.244820001279194</v>
      </c>
      <c r="GY25" s="62">
        <f t="shared" si="29"/>
        <v>349.80037555683475</v>
      </c>
      <c r="GZ25" s="62">
        <f ca="1">AVERAGE(OFFSET($GY$3,0,0,'Données projet'!$E$18+1,1))-AVERAGE(OFFSET($H$3,0,0,'Données projet'!$E$18+1,1))</f>
        <v>152.84277478695606</v>
      </c>
      <c r="HA25" s="62">
        <f t="shared" si="52"/>
        <v>179.22995976651015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9">
        <f t="shared" si="1"/>
        <v>286.04649896367255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2">
        <f t="shared" si="0"/>
        <v>418.35693573662502</v>
      </c>
      <c r="S26" s="62">
        <f ca="1">AVERAGE(OFFSET($R$3,0,0,'Données projet'!$E$9+1,1))-AVERAGE(OFFSET($H$3,0,0,'Données projet'!$E$9+1,1))</f>
        <v>383.26814640166805</v>
      </c>
      <c r="T26" s="62">
        <f t="shared" si="34"/>
        <v>233.71216103405249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</v>
      </c>
      <c r="AI26" s="14">
        <f>IF('Données projet'!$A$62&gt;35,AI25+AH26-AQ25,IF(A26&lt;'Données projet'!$A$62,$AF$205^A26,IF(A26='Données projet'!$A$62,'Données projet'!$B$62,AI25+AH26-AQ25)))</f>
        <v>30</v>
      </c>
      <c r="AJ26" s="14">
        <f>AI26*VLOOKUP('Données projet'!$B$10,Paramètres!$A$1:$I$89,3,0)*VLOOKUP('Données projet'!$B$10,Paramètres!$A$1:$I$89,5,0)</f>
        <v>32.292000000000002</v>
      </c>
      <c r="AK26" s="14">
        <f t="shared" si="35"/>
        <v>9.9308942483743401</v>
      </c>
      <c r="AL26" s="22">
        <f t="shared" si="4"/>
        <v>73.538207482585321</v>
      </c>
      <c r="AM26" s="62">
        <f t="shared" si="5"/>
        <v>358.31598526036311</v>
      </c>
      <c r="AN26" s="62">
        <f ca="1">AVERAGE(OFFSET($AM$3,0,0,'Données projet'!$E$10+1,1))-AVERAGE(OFFSET($H$3,0,0,'Données projet'!$E$10+1,1))</f>
        <v>205.99910063756408</v>
      </c>
      <c r="AO26" s="62">
        <f t="shared" si="36"/>
        <v>128.95330275493671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173.80769230769229</v>
      </c>
      <c r="BB26" s="13">
        <f>VLOOKUP(A26,'Données projet'!$A$87:$I$107,9,0)</f>
        <v>14.926923076923075</v>
      </c>
      <c r="BC26" s="13">
        <f t="array" ref="BC26">INDEX(BB:BB,MIN(IF(ISNUMBER(BB26:BB222),ROW(BB26:BB222),"")))</f>
        <v>14.926923076923075</v>
      </c>
      <c r="BD26" s="13">
        <f>IF('Données projet'!$A$88&gt;35,BD25+BC26-BL25,IF(A26&lt;'Données projet'!$A$88,$BA$205^A26,IF(A26='Données projet'!$A$88,'Données projet'!$B$88,BD25+BC26-BL25)))</f>
        <v>173.80769230769226</v>
      </c>
      <c r="BE26" s="14">
        <f>BD26*VLOOKUP('Données projet'!$B$11,Paramètres!$A$1:$I$89,3,0)*VLOOKUP('Données projet'!$B$11,Paramètres!$A$1:$I$89,5,0)</f>
        <v>103.93699999999998</v>
      </c>
      <c r="BF26" s="14">
        <f t="shared" si="37"/>
        <v>27.897815230264825</v>
      </c>
      <c r="BG26" s="22">
        <f t="shared" si="7"/>
        <v>229.61230319271121</v>
      </c>
      <c r="BH26" s="62">
        <f t="shared" si="8"/>
        <v>514.39008097048895</v>
      </c>
      <c r="BI26" s="62">
        <f ca="1">AVERAGE(OFFSET($BH$3,0,0,'Données projet'!$E$11+1,1))-AVERAGE(OFFSET($H$3,0,0,'Données projet'!$E$11+1,1))</f>
        <v>222.20580087523689</v>
      </c>
      <c r="BJ26" s="62">
        <f t="shared" si="38"/>
        <v>232.08940427392253</v>
      </c>
      <c r="BK26" s="16">
        <f>IF(ISNA(VLOOKUP(A26,'Données projet'!$A$87:$I$107,3,0)),0,VLOOKUP(A26,'Données projet'!$A$87:$I$107,3,0))</f>
        <v>2</v>
      </c>
      <c r="BL26" s="16">
        <f>IF(ISNA(VLOOKUP(A26,'Données projet'!$A$87:$I$107,4,0)),0,VLOOKUP(A26,'Données projet'!$A$87:$I$107,4,0))</f>
        <v>54.099999999999987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0.22500000000000001</v>
      </c>
      <c r="BO26" s="17">
        <f>IF(ISNA(VLOOKUP(A26,'Données projet'!$A$87:$I$107,7,0)),0%,VLOOKUP(A26,'Données projet'!$A$87:$I$107,7,0))</f>
        <v>0.5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15.953659896191899</v>
      </c>
      <c r="BR26" s="23">
        <f>EXP(-LN(2)/2)*BR25+(1-EXP(-LN(2)/2))/(LN(2)/2)*BL26*BO26*VLOOKUP('Données projet'!$B$11,Paramètres!$A$1:$I$89,3,0)*0.475*44/12</f>
        <v>20.095778755241454</v>
      </c>
      <c r="BS26" s="24">
        <f t="shared" si="9"/>
        <v>36.049438651433356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3.4425641025641025</v>
      </c>
      <c r="BY26" s="13">
        <f>IF('Données projet'!$A$114&gt;35,BY25+BX26-CG25,IF(A26&lt;'Données projet'!$A$114,$BV$205^A26,IF(A26='Données projet'!$A$114,'Données projet'!$B$114,BY25+BX26-CG25)))</f>
        <v>35.000092281482424</v>
      </c>
      <c r="BZ26" s="14">
        <f>BY26*VLOOKUP('Données projet'!$B$12,Paramètres!$A$1:$I$89,3,0)*VLOOKUP('Données projet'!$B$12,Paramètres!$A$1:$I$89,5,0)</f>
        <v>16.380043187733772</v>
      </c>
      <c r="CA26" s="14">
        <f t="shared" si="39"/>
        <v>5.4515605034859353</v>
      </c>
      <c r="CB26" s="22">
        <f t="shared" si="10"/>
        <v>38.023376428874322</v>
      </c>
      <c r="CC26" s="62">
        <f t="shared" si="11"/>
        <v>322.80115420665209</v>
      </c>
      <c r="CD26" s="62">
        <f ca="1">AVERAGE(OFFSET($CC$3,0,0,'Données projet'!$E$12+1,1))-AVERAGE(OFFSET($H$3,0,0,'Données projet'!$E$12+1,1))</f>
        <v>179.14256291235466</v>
      </c>
      <c r="CE26" s="62">
        <f t="shared" si="40"/>
        <v>107.5256983607585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12.695384615384615</v>
      </c>
      <c r="CT26" s="13">
        <f>IF('Données projet'!$A$140&gt;35,CT25+CS26-DB25,IF(A26&lt;'Données projet'!$A$140,$CQ$205^A26,IF(A26='Données projet'!$A$140,'Données projet'!$B$140,CT25+CS26-DB25)))</f>
        <v>89.933846153846162</v>
      </c>
      <c r="CU26" s="18">
        <f>CT26*VLOOKUP('Données projet'!$B$13,Paramètres!$A$1:$I$89,3,0)*VLOOKUP('Données projet'!$B$13,Paramètres!$A$1:$I$89,5,0)</f>
        <v>53.780440000000013</v>
      </c>
      <c r="CV26" s="14">
        <f t="shared" si="41"/>
        <v>15.5858948320701</v>
      </c>
      <c r="CW26" s="22">
        <f t="shared" si="13"/>
        <v>120.81303316585546</v>
      </c>
      <c r="CX26" s="62">
        <f t="shared" si="14"/>
        <v>405.59081094363324</v>
      </c>
      <c r="CY26" s="62">
        <f ca="1">AVERAGE(OFFSET($CX$3,0,0,'Données projet'!$E$13+1,1))-AVERAGE(OFFSET($H$3,0,0,'Données projet'!$E$13+1,1))</f>
        <v>237.03649693529445</v>
      </c>
      <c r="CZ26" s="62">
        <f t="shared" si="42"/>
        <v>191.04289411674887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12.626486736243564</v>
      </c>
      <c r="DI26" s="24">
        <f t="shared" si="15"/>
        <v>12.626486736243564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4.7730000000000006</v>
      </c>
      <c r="DO26" s="13">
        <f>IF('Données projet'!$A$166&gt;35,DO25+DN26-DW25,IF(A26&lt;'Données projet'!$A$166,$DL$205^A26,IF(A26='Données projet'!$A$166,'Données projet'!$B$166,DO25+DN26-DW25)))</f>
        <v>83.979000000000013</v>
      </c>
      <c r="DP26" s="18">
        <f>DO26*VLOOKUP('Données projet'!$B$14,Paramètres!$A$1:$I$89,3,0)*VLOOKUP('Données projet'!$B$14,Paramètres!$A$1:$I$89,5,0)</f>
        <v>96.743808000000016</v>
      </c>
      <c r="DQ26" s="14">
        <f t="shared" si="43"/>
        <v>26.184766465783699</v>
      </c>
      <c r="DR26" s="22">
        <f t="shared" si="16"/>
        <v>214.10060052790664</v>
      </c>
      <c r="DS26" s="62">
        <f t="shared" si="17"/>
        <v>498.87837830568441</v>
      </c>
      <c r="DT26" s="62">
        <f ca="1">AVERAGE(OFFSET($DS$3,0,0,'Données projet'!$E$14+1,1))-AVERAGE(OFFSET($H$3,0,0,'Données projet'!$E$14+1,1))</f>
        <v>431.38469096974364</v>
      </c>
      <c r="DU26" s="62">
        <f t="shared" si="44"/>
        <v>295.48627059086647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1.2224100584761681</v>
      </c>
      <c r="ED26" s="24">
        <f t="shared" si="18"/>
        <v>1.2224100584761681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3</v>
      </c>
      <c r="EJ26" s="13">
        <f>IF('Données projet'!$A$192&gt;35,EJ25+EI26-ER25,IF(A26&lt;'Données projet'!$A$192,$EG$205^A26,IF(A26='Données projet'!$A$192,'Données projet'!$B$192,EJ25+EI26-ER25)))</f>
        <v>30</v>
      </c>
      <c r="EK26" s="18">
        <f>EJ26*VLOOKUP('Données projet'!$B$15,Paramètres!$A$1:$I$89,3,0)*VLOOKUP('Données projet'!$B$15,Paramètres!$A$1:$I$89,5,0)</f>
        <v>34.164000000000001</v>
      </c>
      <c r="EL26" s="14">
        <f t="shared" si="45"/>
        <v>10.43790596178561</v>
      </c>
      <c r="EM26" s="22">
        <f t="shared" si="19"/>
        <v>77.681652883443277</v>
      </c>
      <c r="EN26" s="62">
        <f t="shared" si="20"/>
        <v>362.45943066122106</v>
      </c>
      <c r="EO26" s="62">
        <f ca="1">AVERAGE(OFFSET($EN$3,0,0,'Données projet'!$E$15+1,1))-AVERAGE(OFFSET($H$3,0,0,'Données projet'!$E$15+1,1))</f>
        <v>220.03635832253951</v>
      </c>
      <c r="EP26" s="62">
        <f t="shared" si="46"/>
        <v>136.30639155882233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8.1999999999999993</v>
      </c>
      <c r="FE26" s="13">
        <f>IF('Données projet'!$A$218&gt;35,FE25+FD26-FM25,IF(A26&lt;'Données projet'!$A$218,$FB$205^A26,IF(A26='Données projet'!$A$218,'Données projet'!$B$218,FE25+FD26-FM25)))</f>
        <v>110.6</v>
      </c>
      <c r="FF26" s="18">
        <f>FE26*VLOOKUP('Données projet'!$B$16,Paramètres!$A$1:$I$89,3,0)*VLOOKUP('Données projet'!$B$16,Paramètres!$A$1:$I$89,5,0)</f>
        <v>115.59912000000001</v>
      </c>
      <c r="FG26" s="14">
        <f t="shared" si="47"/>
        <v>30.646344965078637</v>
      </c>
      <c r="FH26" s="22">
        <f t="shared" si="22"/>
        <v>254.71085148084526</v>
      </c>
      <c r="FI26" s="62">
        <f t="shared" si="23"/>
        <v>539.48862925862306</v>
      </c>
      <c r="FJ26" s="62">
        <f ca="1">AVERAGE(OFFSET($FI$3,0,0,'Données projet'!$E$16+1,1))-AVERAGE(OFFSET($H$3,0,0,'Données projet'!$E$16+1,1))</f>
        <v>641.62708445664862</v>
      </c>
      <c r="FK26" s="62">
        <f t="shared" si="48"/>
        <v>379.46845863546929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3</v>
      </c>
      <c r="FZ26" s="13">
        <f>IF('Données projet'!$A$244&gt;35,FZ25+FY26-GH25,IF(A26&lt;'Données projet'!$A$244,$FW$205^A26,IF(A26='Données projet'!$A$244,'Données projet'!$B$244,FZ25+FY26-GH25)))</f>
        <v>30</v>
      </c>
      <c r="GA26" s="18">
        <f>FZ26*VLOOKUP('Données projet'!$B$17,Paramètres!$A$1:$I$89,3,0)*VLOOKUP('Données projet'!$B$17,Paramètres!$A$1:$I$89,5,0)</f>
        <v>29.016000000000002</v>
      </c>
      <c r="GB26" s="14">
        <f t="shared" si="49"/>
        <v>9.0352172071357728</v>
      </c>
      <c r="GC26" s="22">
        <f t="shared" si="25"/>
        <v>66.272536635761469</v>
      </c>
      <c r="GD26" s="62">
        <f t="shared" si="26"/>
        <v>351.05031441353924</v>
      </c>
      <c r="GE26" s="62">
        <f ca="1">AVERAGE(OFFSET($GD$3,0,0,'Données projet'!$E$17+1,1))-AVERAGE(OFFSET($H$3,0,0,'Données projet'!$E$17+1,1))</f>
        <v>181.39066880931728</v>
      </c>
      <c r="GF26" s="62">
        <f t="shared" si="50"/>
        <v>116.06078566855524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7.6</v>
      </c>
      <c r="GU26" s="13">
        <f>IF('Données projet'!$A$270&gt;35,GU25+GT26-HC25,IF(A26&lt;'Données projet'!$A$270,$GR$205^A26,IF(A26='Données projet'!$A$270,'Données projet'!$B$270,GU25+GT26-HC25)))</f>
        <v>40.800000000000004</v>
      </c>
      <c r="GV26" s="18">
        <f>GU26*VLOOKUP('Données projet'!$B$18,Paramètres!$A$1:$I$89,3,0)*VLOOKUP('Données projet'!$B$18,Paramètres!$A$1:$I$89,5,0)</f>
        <v>35.642880000000012</v>
      </c>
      <c r="GW26" s="14">
        <f t="shared" si="51"/>
        <v>10.836155304531358</v>
      </c>
      <c r="GX26" s="22">
        <f t="shared" si="28"/>
        <v>80.950986488725476</v>
      </c>
      <c r="GY26" s="62">
        <f t="shared" si="29"/>
        <v>365.72876426650328</v>
      </c>
      <c r="GZ26" s="62">
        <f ca="1">AVERAGE(OFFSET($GY$3,0,0,'Données projet'!$E$18+1,1))-AVERAGE(OFFSET($H$3,0,0,'Données projet'!$E$18+1,1))</f>
        <v>152.84277478695606</v>
      </c>
      <c r="HA26" s="62">
        <f t="shared" si="52"/>
        <v>179.22995976651015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9">
        <f t="shared" si="1"/>
        <v>287.28516773082151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2">
        <f t="shared" si="0"/>
        <v>431.95794243077449</v>
      </c>
      <c r="S27" s="62">
        <f ca="1">AVERAGE(OFFSET($R$3,0,0,'Données projet'!$E$9+1,1))-AVERAGE(OFFSET($H$3,0,0,'Données projet'!$E$9+1,1))</f>
        <v>383.26814640166805</v>
      </c>
      <c r="T27" s="62">
        <f t="shared" si="34"/>
        <v>233.71216103405249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</v>
      </c>
      <c r="AI27" s="14">
        <f>IF('Données projet'!$A$62&gt;35,AI26+AH27-AQ26,IF(A27&lt;'Données projet'!$A$62,$AF$205^A27,IF(A27='Données projet'!$A$62,'Données projet'!$B$62,AI26+AH27-AQ26)))</f>
        <v>33</v>
      </c>
      <c r="AJ27" s="14">
        <f>AI27*VLOOKUP('Données projet'!$B$10,Paramètres!$A$1:$I$89,3,0)*VLOOKUP('Données projet'!$B$10,Paramètres!$A$1:$I$89,5,0)</f>
        <v>35.5212</v>
      </c>
      <c r="AK27" s="14">
        <f t="shared" si="35"/>
        <v>10.803461630334509</v>
      </c>
      <c r="AL27" s="22">
        <f t="shared" si="4"/>
        <v>80.682119006165934</v>
      </c>
      <c r="AM27" s="62">
        <f t="shared" si="5"/>
        <v>366.68211900616592</v>
      </c>
      <c r="AN27" s="62">
        <f ca="1">AVERAGE(OFFSET($AM$3,0,0,'Données projet'!$E$10+1,1))-AVERAGE(OFFSET($H$3,0,0,'Données projet'!$E$10+1,1))</f>
        <v>205.99910063756408</v>
      </c>
      <c r="AO27" s="62">
        <f t="shared" si="36"/>
        <v>128.95330275493671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15.073076923076925</v>
      </c>
      <c r="BD27" s="13">
        <f>IF('Données projet'!$A$88&gt;35,BD26+BC27-BL26,IF(A27&lt;'Données projet'!$A$88,$BA$205^A27,IF(A27='Données projet'!$A$88,'Données projet'!$B$88,BD26+BC27-BL26)))</f>
        <v>134.78076923076921</v>
      </c>
      <c r="BE27" s="14">
        <f>BD27*VLOOKUP('Données projet'!$B$11,Paramètres!$A$1:$I$89,3,0)*VLOOKUP('Données projet'!$B$11,Paramètres!$A$1:$I$89,5,0)</f>
        <v>80.598899999999986</v>
      </c>
      <c r="BF27" s="14">
        <f t="shared" si="37"/>
        <v>22.283554667877272</v>
      </c>
      <c r="BG27" s="22">
        <f t="shared" si="7"/>
        <v>179.18694187988618</v>
      </c>
      <c r="BH27" s="62">
        <f t="shared" si="8"/>
        <v>465.18694187988615</v>
      </c>
      <c r="BI27" s="62">
        <f ca="1">AVERAGE(OFFSET($BH$3,0,0,'Données projet'!$E$11+1,1))-AVERAGE(OFFSET($H$3,0,0,'Données projet'!$E$11+1,1))</f>
        <v>222.20580087523689</v>
      </c>
      <c r="BJ27" s="62">
        <f t="shared" si="38"/>
        <v>232.08940427392253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15.51740622736402</v>
      </c>
      <c r="BR27" s="23">
        <f>EXP(-LN(2)/2)*BR26+(1-EXP(-LN(2)/2))/(LN(2)/2)*BL27*BO27*VLOOKUP('Données projet'!$B$11,Paramètres!$A$1:$I$89,3,0)*0.475*44/12</f>
        <v>14.20986143105579</v>
      </c>
      <c r="BS27" s="24">
        <f t="shared" si="9"/>
        <v>29.727267658419812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3.4425641025641025</v>
      </c>
      <c r="BY27" s="13">
        <f>IF('Données projet'!$A$114&gt;35,BY26+BX27-CG26,IF(A27&lt;'Données projet'!$A$114,$BV$205^A27,IF(A27='Données projet'!$A$114,'Données projet'!$B$114,BY26+BX27-CG26)))</f>
        <v>40.850994379880916</v>
      </c>
      <c r="BZ27" s="14">
        <f>BY27*VLOOKUP('Données projet'!$B$12,Paramètres!$A$1:$I$89,3,0)*VLOOKUP('Données projet'!$B$12,Paramètres!$A$1:$I$89,5,0)</f>
        <v>19.118265369784268</v>
      </c>
      <c r="CA27" s="14">
        <f t="shared" si="39"/>
        <v>6.2494233631643379</v>
      </c>
      <c r="CB27" s="22">
        <f t="shared" si="10"/>
        <v>44.182057876552157</v>
      </c>
      <c r="CC27" s="62">
        <f t="shared" si="11"/>
        <v>330.18205787655216</v>
      </c>
      <c r="CD27" s="62">
        <f ca="1">AVERAGE(OFFSET($CC$3,0,0,'Données projet'!$E$12+1,1))-AVERAGE(OFFSET($H$3,0,0,'Données projet'!$E$12+1,1))</f>
        <v>179.14256291235466</v>
      </c>
      <c r="CE27" s="62">
        <f t="shared" si="40"/>
        <v>107.5256983607585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12.695384615384615</v>
      </c>
      <c r="CT27" s="13">
        <f>IF('Données projet'!$A$140&gt;35,CT26+CS27-DB26,IF(A27&lt;'Données projet'!$A$140,$CQ$205^A27,IF(A27='Données projet'!$A$140,'Données projet'!$B$140,CT26+CS27-DB26)))</f>
        <v>102.62923076923077</v>
      </c>
      <c r="CU27" s="18">
        <f>CT27*VLOOKUP('Données projet'!$B$13,Paramètres!$A$1:$I$89,3,0)*VLOOKUP('Données projet'!$B$13,Paramètres!$A$1:$I$89,5,0)</f>
        <v>61.372280000000011</v>
      </c>
      <c r="CV27" s="14">
        <f t="shared" si="41"/>
        <v>17.514766499235456</v>
      </c>
      <c r="CW27" s="22">
        <f t="shared" si="13"/>
        <v>137.39493931950179</v>
      </c>
      <c r="CX27" s="62">
        <f t="shared" si="14"/>
        <v>423.39493931950176</v>
      </c>
      <c r="CY27" s="62">
        <f ca="1">AVERAGE(OFFSET($CX$3,0,0,'Données projet'!$E$13+1,1))-AVERAGE(OFFSET($H$3,0,0,'Données projet'!$E$13+1,1))</f>
        <v>237.03649693529445</v>
      </c>
      <c r="CZ27" s="62">
        <f t="shared" si="42"/>
        <v>191.04289411674887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8.928274393759823</v>
      </c>
      <c r="DI27" s="24">
        <f t="shared" si="15"/>
        <v>8.928274393759823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4.7730000000000006</v>
      </c>
      <c r="DO27" s="13">
        <f>IF('Données projet'!$A$166&gt;35,DO26+DN27-DW26,IF(A27&lt;'Données projet'!$A$166,$DL$205^A27,IF(A27='Données projet'!$A$166,'Données projet'!$B$166,DO26+DN27-DW26)))</f>
        <v>88.75200000000001</v>
      </c>
      <c r="DP27" s="18">
        <f>DO27*VLOOKUP('Données projet'!$B$14,Paramètres!$A$1:$I$89,3,0)*VLOOKUP('Données projet'!$B$14,Paramètres!$A$1:$I$89,5,0)</f>
        <v>102.242304</v>
      </c>
      <c r="DQ27" s="14">
        <f t="shared" si="43"/>
        <v>27.495504165274415</v>
      </c>
      <c r="DR27" s="22">
        <f t="shared" si="16"/>
        <v>225.96001588785293</v>
      </c>
      <c r="DS27" s="62">
        <f t="shared" si="17"/>
        <v>511.96001588785293</v>
      </c>
      <c r="DT27" s="62">
        <f ca="1">AVERAGE(OFFSET($DS$3,0,0,'Données projet'!$E$14+1,1))-AVERAGE(OFFSET($H$3,0,0,'Données projet'!$E$14+1,1))</f>
        <v>431.38469096974364</v>
      </c>
      <c r="DU27" s="62">
        <f t="shared" si="44"/>
        <v>295.48627059086647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0.86437444173914268</v>
      </c>
      <c r="ED27" s="24">
        <f t="shared" si="18"/>
        <v>0.86437444173914268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3</v>
      </c>
      <c r="EJ27" s="13">
        <f>IF('Données projet'!$A$192&gt;35,EJ26+EI27-ER26,IF(A27&lt;'Données projet'!$A$192,$EG$205^A27,IF(A27='Données projet'!$A$192,'Données projet'!$B$192,EJ26+EI27-ER26)))</f>
        <v>33</v>
      </c>
      <c r="EK27" s="18">
        <f>EJ27*VLOOKUP('Données projet'!$B$15,Paramètres!$A$1:$I$89,3,0)*VLOOKUP('Données projet'!$B$15,Paramètres!$A$1:$I$89,5,0)</f>
        <v>37.580400000000004</v>
      </c>
      <c r="EL27" s="14">
        <f t="shared" si="45"/>
        <v>11.35502138467038</v>
      </c>
      <c r="EM27" s="22">
        <f t="shared" si="19"/>
        <v>85.229192244967592</v>
      </c>
      <c r="EN27" s="62">
        <f t="shared" si="20"/>
        <v>371.22919224496758</v>
      </c>
      <c r="EO27" s="62">
        <f ca="1">AVERAGE(OFFSET($EN$3,0,0,'Données projet'!$E$15+1,1))-AVERAGE(OFFSET($H$3,0,0,'Données projet'!$E$15+1,1))</f>
        <v>220.03635832253951</v>
      </c>
      <c r="EP27" s="62">
        <f t="shared" si="46"/>
        <v>136.30639155882233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8.1999999999999993</v>
      </c>
      <c r="FE27" s="13">
        <f>IF('Données projet'!$A$218&gt;35,FE26+FD27-FM26,IF(A27&lt;'Données projet'!$A$218,$FB$205^A27,IF(A27='Données projet'!$A$218,'Données projet'!$B$218,FE26+FD27-FM26)))</f>
        <v>118.8</v>
      </c>
      <c r="FF27" s="18">
        <f>FE27*VLOOKUP('Données projet'!$B$16,Paramètres!$A$1:$I$89,3,0)*VLOOKUP('Données projet'!$B$16,Paramètres!$A$1:$I$89,5,0)</f>
        <v>124.16976000000001</v>
      </c>
      <c r="FG27" s="14">
        <f t="shared" si="47"/>
        <v>32.645585537229096</v>
      </c>
      <c r="FH27" s="22">
        <f t="shared" si="22"/>
        <v>273.12006014400737</v>
      </c>
      <c r="FI27" s="62">
        <f t="shared" si="23"/>
        <v>559.12006014400731</v>
      </c>
      <c r="FJ27" s="62">
        <f ca="1">AVERAGE(OFFSET($FI$3,0,0,'Données projet'!$E$16+1,1))-AVERAGE(OFFSET($H$3,0,0,'Données projet'!$E$16+1,1))</f>
        <v>641.62708445664862</v>
      </c>
      <c r="FK27" s="62">
        <f t="shared" si="48"/>
        <v>379.46845863546929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3</v>
      </c>
      <c r="FZ27" s="13">
        <f>IF('Données projet'!$A$244&gt;35,FZ26+FY27-GH26,IF(A27&lt;'Données projet'!$A$244,$FW$205^A27,IF(A27='Données projet'!$A$244,'Données projet'!$B$244,FZ26+FY27-GH26)))</f>
        <v>33</v>
      </c>
      <c r="GA27" s="18">
        <f>FZ27*VLOOKUP('Données projet'!$B$17,Paramètres!$A$1:$I$89,3,0)*VLOOKUP('Données projet'!$B$17,Paramètres!$A$1:$I$89,5,0)</f>
        <v>31.917600000000004</v>
      </c>
      <c r="GB27" s="14">
        <f t="shared" si="49"/>
        <v>9.829086885605312</v>
      </c>
      <c r="GC27" s="22">
        <f t="shared" si="25"/>
        <v>72.708812992429259</v>
      </c>
      <c r="GD27" s="62">
        <f t="shared" si="26"/>
        <v>358.70881299242927</v>
      </c>
      <c r="GE27" s="62">
        <f ca="1">AVERAGE(OFFSET($GD$3,0,0,'Données projet'!$E$17+1,1))-AVERAGE(OFFSET($H$3,0,0,'Données projet'!$E$17+1,1))</f>
        <v>181.39066880931728</v>
      </c>
      <c r="GF27" s="62">
        <f t="shared" si="50"/>
        <v>116.06078566855524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7.6</v>
      </c>
      <c r="GU27" s="13">
        <f>IF('Données projet'!$A$270&gt;35,GU26+GT27-HC26,IF(A27&lt;'Données projet'!$A$270,$GR$205^A27,IF(A27='Données projet'!$A$270,'Données projet'!$B$270,GU26+GT27-HC26)))</f>
        <v>48.400000000000006</v>
      </c>
      <c r="GV27" s="18">
        <f>GU27*VLOOKUP('Données projet'!$B$18,Paramètres!$A$1:$I$89,3,0)*VLOOKUP('Données projet'!$B$18,Paramètres!$A$1:$I$89,5,0)</f>
        <v>42.282240000000009</v>
      </c>
      <c r="GW27" s="14">
        <f t="shared" si="51"/>
        <v>12.60158758294113</v>
      </c>
      <c r="GX27" s="22">
        <f t="shared" si="28"/>
        <v>95.589333040289148</v>
      </c>
      <c r="GY27" s="62">
        <f t="shared" si="29"/>
        <v>381.58933304028915</v>
      </c>
      <c r="GZ27" s="62">
        <f ca="1">AVERAGE(OFFSET($GY$3,0,0,'Données projet'!$E$18+1,1))-AVERAGE(OFFSET($H$3,0,0,'Données projet'!$E$18+1,1))</f>
        <v>152.84277478695606</v>
      </c>
      <c r="HA27" s="62">
        <f t="shared" si="52"/>
        <v>179.22995976651015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9">
        <f t="shared" si="1"/>
        <v>288.52244401490464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2">
        <f t="shared" si="0"/>
        <v>445.53385078478129</v>
      </c>
      <c r="S28" s="62">
        <f ca="1">AVERAGE(OFFSET($R$3,0,0,'Données projet'!$E$9+1,1))-AVERAGE(OFFSET($H$3,0,0,'Données projet'!$E$9+1,1))</f>
        <v>383.26814640166805</v>
      </c>
      <c r="T28" s="62">
        <f t="shared" si="34"/>
        <v>233.71216103405249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36</v>
      </c>
      <c r="AG28" s="13">
        <f>VLOOKUP(A28,'Données projet'!$A$61:$I$81,9,0)</f>
        <v>3</v>
      </c>
      <c r="AH28" s="13">
        <f t="array" ref="AH28">INDEX(AG:AG,MIN(IF(ISNUMBER(AG28:AG224),ROW(AG28:AG224),"")))</f>
        <v>3</v>
      </c>
      <c r="AI28" s="14">
        <f>IF('Données projet'!$A$62&gt;35,AI27+AH28-AQ27,IF(A28&lt;'Données projet'!$A$62,$AF$205^A28,IF(A28='Données projet'!$A$62,'Données projet'!$B$62,AI27+AH28-AQ27)))</f>
        <v>36</v>
      </c>
      <c r="AJ28" s="14">
        <f>AI28*VLOOKUP('Données projet'!$B$10,Paramètres!$A$1:$I$89,3,0)*VLOOKUP('Données projet'!$B$10,Paramètres!$A$1:$I$89,5,0)</f>
        <v>38.750399999999999</v>
      </c>
      <c r="AK28" s="14">
        <f t="shared" si="35"/>
        <v>11.666830981019302</v>
      </c>
      <c r="AL28" s="22">
        <f t="shared" si="4"/>
        <v>87.810010625275268</v>
      </c>
      <c r="AM28" s="62">
        <f t="shared" si="5"/>
        <v>375.03223284749748</v>
      </c>
      <c r="AN28" s="62">
        <f ca="1">AVERAGE(OFFSET($AM$3,0,0,'Données projet'!$E$10+1,1))-AVERAGE(OFFSET($H$3,0,0,'Données projet'!$E$10+1,1))</f>
        <v>205.99910063756408</v>
      </c>
      <c r="AO28" s="62">
        <f t="shared" si="36"/>
        <v>128.95330275493671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15.073076923076925</v>
      </c>
      <c r="BD28" s="13">
        <f>IF('Données projet'!$A$88&gt;35,BD27+BC28-BL27,IF(A28&lt;'Données projet'!$A$88,$BA$205^A28,IF(A28='Données projet'!$A$88,'Données projet'!$B$88,BD27+BC28-BL27)))</f>
        <v>149.85384615384612</v>
      </c>
      <c r="BE28" s="14">
        <f>BD28*VLOOKUP('Données projet'!$B$11,Paramètres!$A$1:$I$89,3,0)*VLOOKUP('Données projet'!$B$11,Paramètres!$A$1:$I$89,5,0)</f>
        <v>89.6126</v>
      </c>
      <c r="BF28" s="14">
        <f t="shared" si="37"/>
        <v>24.471769998555317</v>
      </c>
      <c r="BG28" s="22">
        <f t="shared" si="7"/>
        <v>198.69694441415049</v>
      </c>
      <c r="BH28" s="62">
        <f t="shared" si="8"/>
        <v>485.91916663637272</v>
      </c>
      <c r="BI28" s="62">
        <f ca="1">AVERAGE(OFFSET($BH$3,0,0,'Données projet'!$E$11+1,1))-AVERAGE(OFFSET($H$3,0,0,'Données projet'!$E$11+1,1))</f>
        <v>222.20580087523689</v>
      </c>
      <c r="BJ28" s="62">
        <f t="shared" si="38"/>
        <v>232.08940427392253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15.093081938051823</v>
      </c>
      <c r="BR28" s="23">
        <f>EXP(-LN(2)/2)*BR27+(1-EXP(-LN(2)/2))/(LN(2)/2)*BL28*BO28*VLOOKUP('Données projet'!$B$11,Paramètres!$A$1:$I$89,3,0)*0.475*44/12</f>
        <v>10.047889377620729</v>
      </c>
      <c r="BS28" s="24">
        <f t="shared" si="9"/>
        <v>25.140971315672552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3.4425641025641025</v>
      </c>
      <c r="BY28" s="13">
        <f>IF('Données projet'!$A$114&gt;35,BY27+BX28-CG27,IF(A28&lt;'Données projet'!$A$114,$BV$205^A28,IF(A28='Données projet'!$A$114,'Données projet'!$B$114,BY27+BX28-CG27)))</f>
        <v>47.679981195591871</v>
      </c>
      <c r="BZ28" s="14">
        <f>BY28*VLOOKUP('Données projet'!$B$12,Paramètres!$A$1:$I$89,3,0)*VLOOKUP('Données projet'!$B$12,Paramètres!$A$1:$I$89,5,0)</f>
        <v>22.314231199536998</v>
      </c>
      <c r="CA28" s="14">
        <f t="shared" si="39"/>
        <v>7.1640574010122027</v>
      </c>
      <c r="CB28" s="22">
        <f t="shared" si="10"/>
        <v>51.341352645956526</v>
      </c>
      <c r="CC28" s="62">
        <f t="shared" si="11"/>
        <v>338.56357486817876</v>
      </c>
      <c r="CD28" s="62">
        <f ca="1">AVERAGE(OFFSET($CC$3,0,0,'Données projet'!$E$12+1,1))-AVERAGE(OFFSET($H$3,0,0,'Données projet'!$E$12+1,1))</f>
        <v>179.14256291235466</v>
      </c>
      <c r="CE28" s="62">
        <f t="shared" si="40"/>
        <v>107.5256983607585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12.695384615384615</v>
      </c>
      <c r="CT28" s="13">
        <f>IF('Données projet'!$A$140&gt;35,CT27+CS28-DB27,IF(A28&lt;'Données projet'!$A$140,$CQ$205^A28,IF(A28='Données projet'!$A$140,'Données projet'!$B$140,CT27+CS28-DB27)))</f>
        <v>115.32461538461538</v>
      </c>
      <c r="CU28" s="18">
        <f>CT28*VLOOKUP('Données projet'!$B$13,Paramètres!$A$1:$I$89,3,0)*VLOOKUP('Données projet'!$B$13,Paramètres!$A$1:$I$89,5,0)</f>
        <v>68.964120000000008</v>
      </c>
      <c r="CV28" s="14">
        <f t="shared" si="41"/>
        <v>19.415989273317052</v>
      </c>
      <c r="CW28" s="22">
        <f t="shared" si="13"/>
        <v>153.92869031769388</v>
      </c>
      <c r="CX28" s="62">
        <f t="shared" si="14"/>
        <v>441.15091253991613</v>
      </c>
      <c r="CY28" s="62">
        <f ca="1">AVERAGE(OFFSET($CX$3,0,0,'Données projet'!$E$13+1,1))-AVERAGE(OFFSET($H$3,0,0,'Données projet'!$E$13+1,1))</f>
        <v>237.03649693529445</v>
      </c>
      <c r="CZ28" s="62">
        <f t="shared" si="42"/>
        <v>191.04289411674887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6.3132433681217828</v>
      </c>
      <c r="DI28" s="24">
        <f t="shared" si="15"/>
        <v>6.3132433681217828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4.7730000000000006</v>
      </c>
      <c r="DO28" s="13">
        <f>IF('Données projet'!$A$166&gt;35,DO27+DN28-DW27,IF(A28&lt;'Données projet'!$A$166,$DL$205^A28,IF(A28='Données projet'!$A$166,'Données projet'!$B$166,DO27+DN28-DW27)))</f>
        <v>93.525000000000006</v>
      </c>
      <c r="DP28" s="18">
        <f>DO28*VLOOKUP('Données projet'!$B$14,Paramètres!$A$1:$I$89,3,0)*VLOOKUP('Données projet'!$B$14,Paramètres!$A$1:$I$89,5,0)</f>
        <v>107.74080000000001</v>
      </c>
      <c r="DQ28" s="14">
        <f t="shared" si="43"/>
        <v>28.798058262845242</v>
      </c>
      <c r="DR28" s="22">
        <f t="shared" si="16"/>
        <v>237.80517814112216</v>
      </c>
      <c r="DS28" s="62">
        <f t="shared" si="17"/>
        <v>525.02740036334444</v>
      </c>
      <c r="DT28" s="62">
        <f ca="1">AVERAGE(OFFSET($DS$3,0,0,'Données projet'!$E$14+1,1))-AVERAGE(OFFSET($H$3,0,0,'Données projet'!$E$14+1,1))</f>
        <v>431.38469096974364</v>
      </c>
      <c r="DU28" s="62">
        <f t="shared" si="44"/>
        <v>295.48627059086647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0.61120502923808417</v>
      </c>
      <c r="ED28" s="24">
        <f t="shared" si="18"/>
        <v>0.61120502923808417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36</v>
      </c>
      <c r="EH28" s="13">
        <f>VLOOKUP(A28,'Données projet'!$A$191:$I$211,9,0)</f>
        <v>3</v>
      </c>
      <c r="EI28" s="13">
        <f t="array" ref="EI28">INDEX(EH:EH,MIN(IF(ISNUMBER(EH28:EH224),ROW(EH28:EH224),"")))</f>
        <v>3</v>
      </c>
      <c r="EJ28" s="13">
        <f>IF('Données projet'!$A$192&gt;35,EJ27+EI28-ER27,IF(A28&lt;'Données projet'!$A$192,$EG$205^A28,IF(A28='Données projet'!$A$192,'Données projet'!$B$192,EJ27+EI28-ER27)))</f>
        <v>36</v>
      </c>
      <c r="EK28" s="18">
        <f>EJ28*VLOOKUP('Données projet'!$B$15,Paramètres!$A$1:$I$89,3,0)*VLOOKUP('Données projet'!$B$15,Paramètres!$A$1:$I$89,5,0)</f>
        <v>40.9968</v>
      </c>
      <c r="EL28" s="14">
        <f t="shared" si="45"/>
        <v>12.262469180140661</v>
      </c>
      <c r="EM28" s="22">
        <f t="shared" si="19"/>
        <v>92.759893822078311</v>
      </c>
      <c r="EN28" s="62">
        <f t="shared" si="20"/>
        <v>379.98211604430054</v>
      </c>
      <c r="EO28" s="62">
        <f ca="1">AVERAGE(OFFSET($EN$3,0,0,'Données projet'!$E$15+1,1))-AVERAGE(OFFSET($H$3,0,0,'Données projet'!$E$15+1,1))</f>
        <v>220.03635832253951</v>
      </c>
      <c r="EP28" s="62">
        <f t="shared" si="46"/>
        <v>136.30639155882233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127</v>
      </c>
      <c r="FC28" s="13">
        <f>VLOOKUP(A28,'Données projet'!$A$217:$I$237,9,0)</f>
        <v>8.1999999999999993</v>
      </c>
      <c r="FD28" s="13">
        <f t="array" ref="FD28">INDEX(FC:FC,MIN(IF(ISNUMBER(FC28:FC224),ROW(FC28:FC224),"")))</f>
        <v>8.1999999999999993</v>
      </c>
      <c r="FE28" s="13">
        <f>IF('Données projet'!$A$218&gt;35,FE27+FD28-FM27,IF(A28&lt;'Données projet'!$A$218,$FB$205^A28,IF(A28='Données projet'!$A$218,'Données projet'!$B$218,FE27+FD28-FM27)))</f>
        <v>127</v>
      </c>
      <c r="FF28" s="18">
        <f>FE28*VLOOKUP('Données projet'!$B$16,Paramètres!$A$1:$I$89,3,0)*VLOOKUP('Données projet'!$B$16,Paramètres!$A$1:$I$89,5,0)</f>
        <v>132.74040000000002</v>
      </c>
      <c r="FG28" s="14">
        <f t="shared" si="47"/>
        <v>34.62881446230849</v>
      </c>
      <c r="FH28" s="22">
        <f t="shared" si="22"/>
        <v>291.50138185518728</v>
      </c>
      <c r="FI28" s="62">
        <f t="shared" si="23"/>
        <v>578.7236040774095</v>
      </c>
      <c r="FJ28" s="62">
        <f ca="1">AVERAGE(OFFSET($FI$3,0,0,'Données projet'!$E$16+1,1))-AVERAGE(OFFSET($H$3,0,0,'Données projet'!$E$16+1,1))</f>
        <v>641.62708445664862</v>
      </c>
      <c r="FK28" s="62">
        <f t="shared" si="48"/>
        <v>379.46845863546929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36</v>
      </c>
      <c r="FX28" s="13">
        <f>VLOOKUP(A28,'Données projet'!$A$243:$I$263,9,0)</f>
        <v>3</v>
      </c>
      <c r="FY28" s="13">
        <f t="array" ref="FY28">INDEX(FX:FX,MIN(IF(ISNUMBER(FX28:FX224),ROW(FX28:FX224),"")))</f>
        <v>3</v>
      </c>
      <c r="FZ28" s="13">
        <f>IF('Données projet'!$A$244&gt;35,FZ27+FY28-GH27,IF(A28&lt;'Données projet'!$A$244,$FW$205^A28,IF(A28='Données projet'!$A$244,'Données projet'!$B$244,FZ27+FY28-GH27)))</f>
        <v>36</v>
      </c>
      <c r="GA28" s="18">
        <f>FZ28*VLOOKUP('Données projet'!$B$17,Paramètres!$A$1:$I$89,3,0)*VLOOKUP('Données projet'!$B$17,Paramètres!$A$1:$I$89,5,0)</f>
        <v>34.819200000000002</v>
      </c>
      <c r="GB28" s="14">
        <f t="shared" si="49"/>
        <v>10.61458811221417</v>
      </c>
      <c r="GC28" s="22">
        <f t="shared" si="25"/>
        <v>79.130514295439681</v>
      </c>
      <c r="GD28" s="62">
        <f t="shared" si="26"/>
        <v>366.35273651766192</v>
      </c>
      <c r="GE28" s="62">
        <f ca="1">AVERAGE(OFFSET($GD$3,0,0,'Données projet'!$E$17+1,1))-AVERAGE(OFFSET($H$3,0,0,'Données projet'!$E$17+1,1))</f>
        <v>181.39066880931728</v>
      </c>
      <c r="GF28" s="62">
        <f t="shared" si="50"/>
        <v>116.06078566855524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56</v>
      </c>
      <c r="GS28" s="13">
        <f>VLOOKUP(A28,'Données projet'!$A$269:$I$289,9,0)</f>
        <v>7.6</v>
      </c>
      <c r="GT28" s="13">
        <f t="array" ref="GT28">INDEX(GS:GS,MIN(IF(ISNUMBER(GS28:GS224),ROW(GS28:GS224),"")))</f>
        <v>7.6</v>
      </c>
      <c r="GU28" s="13">
        <f>IF('Données projet'!$A$270&gt;35,GU27+GT28-HC27,IF(A28&lt;'Données projet'!$A$270,$GR$205^A28,IF(A28='Données projet'!$A$270,'Données projet'!$B$270,GU27+GT28-HC27)))</f>
        <v>56.000000000000007</v>
      </c>
      <c r="GV28" s="18">
        <f>GU28*VLOOKUP('Données projet'!$B$18,Paramètres!$A$1:$I$89,3,0)*VLOOKUP('Données projet'!$B$18,Paramètres!$A$1:$I$89,5,0)</f>
        <v>48.921600000000012</v>
      </c>
      <c r="GW28" s="14">
        <f t="shared" si="51"/>
        <v>14.334905731333873</v>
      </c>
      <c r="GX28" s="22">
        <f t="shared" si="28"/>
        <v>110.1717474820732</v>
      </c>
      <c r="GY28" s="62">
        <f t="shared" si="29"/>
        <v>397.39396970429544</v>
      </c>
      <c r="GZ28" s="62">
        <f ca="1">AVERAGE(OFFSET($GY$3,0,0,'Données projet'!$E$18+1,1))-AVERAGE(OFFSET($H$3,0,0,'Données projet'!$E$18+1,1))</f>
        <v>152.84277478695606</v>
      </c>
      <c r="HA28" s="62">
        <f t="shared" si="52"/>
        <v>179.22995976651015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9">
        <f t="shared" si="1"/>
        <v>289.75838988784039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78.078000000000003</v>
      </c>
      <c r="P29" s="14">
        <f t="shared" si="33"/>
        <v>21.666582091642084</v>
      </c>
      <c r="Q29" s="22">
        <f t="shared" si="2"/>
        <v>173.72181380960993</v>
      </c>
      <c r="R29" s="62">
        <f t="shared" si="0"/>
        <v>462.16625825405436</v>
      </c>
      <c r="S29" s="62">
        <f ca="1">AVERAGE(OFFSET($R$3,0,0,'Données projet'!$E$9+1,1))-AVERAGE(OFFSET($H$3,0,0,'Données projet'!$E$9+1,1))</f>
        <v>383.26814640166805</v>
      </c>
      <c r="T29" s="62">
        <f t="shared" si="34"/>
        <v>233.71216103405249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3.6</v>
      </c>
      <c r="AI29" s="14">
        <f>IF('Données projet'!$A$62&gt;35,AI28+AH29-AQ28,IF(A29&lt;'Données projet'!$A$62,$AF$205^A29,IF(A29='Données projet'!$A$62,'Données projet'!$B$62,AI28+AH29-AQ28)))</f>
        <v>39.6</v>
      </c>
      <c r="AJ29" s="14">
        <f>AI29*VLOOKUP('Données projet'!$B$10,Paramètres!$A$1:$I$89,3,0)*VLOOKUP('Données projet'!$B$10,Paramètres!$A$1:$I$89,5,0)</f>
        <v>42.625439999999998</v>
      </c>
      <c r="AK29" s="14">
        <f t="shared" si="35"/>
        <v>12.691924583898647</v>
      </c>
      <c r="AL29" s="22">
        <f t="shared" si="4"/>
        <v>96.344409983623464</v>
      </c>
      <c r="AM29" s="62">
        <f t="shared" si="5"/>
        <v>384.78885442806791</v>
      </c>
      <c r="AN29" s="62">
        <f ca="1">AVERAGE(OFFSET($AM$3,0,0,'Données projet'!$E$10+1,1))-AVERAGE(OFFSET($H$3,0,0,'Données projet'!$E$10+1,1))</f>
        <v>205.99910063756408</v>
      </c>
      <c r="AO29" s="62">
        <f t="shared" si="36"/>
        <v>128.95330275493671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15.073076923076925</v>
      </c>
      <c r="BD29" s="13">
        <f>IF('Données projet'!$A$88&gt;35,BD28+BC29-BL28,IF(A29&lt;'Données projet'!$A$88,$BA$205^A29,IF(A29='Données projet'!$A$88,'Données projet'!$B$88,BD28+BC29-BL28)))</f>
        <v>164.92692307692306</v>
      </c>
      <c r="BE29" s="14">
        <f>BD29*VLOOKUP('Données projet'!$B$11,Paramètres!$A$1:$I$89,3,0)*VLOOKUP('Données projet'!$B$11,Paramètres!$A$1:$I$89,5,0)</f>
        <v>98.626300000000001</v>
      </c>
      <c r="BF29" s="14">
        <f t="shared" si="37"/>
        <v>26.634469472597342</v>
      </c>
      <c r="BG29" s="22">
        <f t="shared" si="7"/>
        <v>218.16250683144037</v>
      </c>
      <c r="BH29" s="62">
        <f t="shared" si="8"/>
        <v>506.60695127588485</v>
      </c>
      <c r="BI29" s="62">
        <f ca="1">AVERAGE(OFFSET($BH$3,0,0,'Données projet'!$E$11+1,1))-AVERAGE(OFFSET($H$3,0,0,'Données projet'!$E$11+1,1))</f>
        <v>222.20580087523689</v>
      </c>
      <c r="BJ29" s="62">
        <f t="shared" si="38"/>
        <v>232.08940427392253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14.680360818745113</v>
      </c>
      <c r="BR29" s="23">
        <f>EXP(-LN(2)/2)*BR28+(1-EXP(-LN(2)/2))/(LN(2)/2)*BL29*BO29*VLOOKUP('Données projet'!$B$11,Paramètres!$A$1:$I$89,3,0)*0.475*44/12</f>
        <v>7.1049307155278969</v>
      </c>
      <c r="BS29" s="24">
        <f t="shared" si="9"/>
        <v>21.785291534273011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3.4425641025641025</v>
      </c>
      <c r="BY29" s="13">
        <f>IF('Données projet'!$A$114&gt;35,BY28+BX29-CG28,IF(A29&lt;'Données projet'!$A$114,$BV$205^A29,IF(A29='Données projet'!$A$114,'Données projet'!$B$114,BY28+BX29-CG28)))</f>
        <v>55.650557381086244</v>
      </c>
      <c r="BZ29" s="14">
        <f>BY29*VLOOKUP('Données projet'!$B$12,Paramètres!$A$1:$I$89,3,0)*VLOOKUP('Données projet'!$B$12,Paramètres!$A$1:$I$89,5,0)</f>
        <v>26.044460854348362</v>
      </c>
      <c r="CA29" s="14">
        <f t="shared" si="39"/>
        <v>8.2125526568599181</v>
      </c>
      <c r="CB29" s="22">
        <f t="shared" si="10"/>
        <v>59.664298532021071</v>
      </c>
      <c r="CC29" s="62">
        <f t="shared" si="11"/>
        <v>348.10874297646552</v>
      </c>
      <c r="CD29" s="62">
        <f ca="1">AVERAGE(OFFSET($CC$3,0,0,'Données projet'!$E$12+1,1))-AVERAGE(OFFSET($H$3,0,0,'Données projet'!$E$12+1,1))</f>
        <v>179.14256291235466</v>
      </c>
      <c r="CE29" s="62">
        <f t="shared" si="40"/>
        <v>107.5256983607585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12.695384615384615</v>
      </c>
      <c r="CT29" s="13">
        <f>IF('Données projet'!$A$140&gt;35,CT28+CS29-DB28,IF(A29&lt;'Données projet'!$A$140,$CQ$205^A29,IF(A29='Données projet'!$A$140,'Données projet'!$B$140,CT28+CS29-DB28)))</f>
        <v>128.02000000000001</v>
      </c>
      <c r="CU29" s="18">
        <f>CT29*VLOOKUP('Données projet'!$B$13,Paramètres!$A$1:$I$89,3,0)*VLOOKUP('Données projet'!$B$13,Paramètres!$A$1:$I$89,5,0)</f>
        <v>76.555960000000013</v>
      </c>
      <c r="CV29" s="14">
        <f t="shared" si="41"/>
        <v>21.292953972936246</v>
      </c>
      <c r="CW29" s="22">
        <f t="shared" si="13"/>
        <v>170.42019183619729</v>
      </c>
      <c r="CX29" s="62">
        <f t="shared" si="14"/>
        <v>458.86463628064178</v>
      </c>
      <c r="CY29" s="62">
        <f ca="1">AVERAGE(OFFSET($CX$3,0,0,'Données projet'!$E$13+1,1))-AVERAGE(OFFSET($H$3,0,0,'Données projet'!$E$13+1,1))</f>
        <v>237.03649693529445</v>
      </c>
      <c r="CZ29" s="62">
        <f t="shared" si="42"/>
        <v>191.04289411674887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4.4641371968799124</v>
      </c>
      <c r="DI29" s="24">
        <f t="shared" si="15"/>
        <v>4.4641371968799124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4.7730000000000006</v>
      </c>
      <c r="DO29" s="13">
        <f>IF('Données projet'!$A$166&gt;35,DO28+DN29-DW28,IF(A29&lt;'Données projet'!$A$166,$DL$205^A29,IF(A29='Données projet'!$A$166,'Données projet'!$B$166,DO28+DN29-DW28)))</f>
        <v>98.298000000000002</v>
      </c>
      <c r="DP29" s="18">
        <f>DO29*VLOOKUP('Données projet'!$B$14,Paramètres!$A$1:$I$89,3,0)*VLOOKUP('Données projet'!$B$14,Paramètres!$A$1:$I$89,5,0)</f>
        <v>113.239296</v>
      </c>
      <c r="DQ29" s="14">
        <f t="shared" si="43"/>
        <v>30.092894050126194</v>
      </c>
      <c r="DR29" s="22">
        <f t="shared" si="16"/>
        <v>249.63689767063647</v>
      </c>
      <c r="DS29" s="62">
        <f t="shared" si="17"/>
        <v>538.08134211508093</v>
      </c>
      <c r="DT29" s="62">
        <f ca="1">AVERAGE(OFFSET($DS$3,0,0,'Données projet'!$E$14+1,1))-AVERAGE(OFFSET($H$3,0,0,'Données projet'!$E$14+1,1))</f>
        <v>431.38469096974364</v>
      </c>
      <c r="DU29" s="62">
        <f t="shared" si="44"/>
        <v>295.48627059086647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0.4321872208695714</v>
      </c>
      <c r="ED29" s="24">
        <f t="shared" si="18"/>
        <v>0.4321872208695714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3.6</v>
      </c>
      <c r="EJ29" s="13">
        <f>IF('Données projet'!$A$192&gt;35,EJ28+EI29-ER28,IF(A29&lt;'Données projet'!$A$192,$EG$205^A29,IF(A29='Données projet'!$A$192,'Données projet'!$B$192,EJ28+EI29-ER28)))</f>
        <v>39.6</v>
      </c>
      <c r="EK29" s="18">
        <f>EJ29*VLOOKUP('Données projet'!$B$15,Paramètres!$A$1:$I$89,3,0)*VLOOKUP('Données projet'!$B$15,Paramètres!$A$1:$I$89,5,0)</f>
        <v>45.096480000000007</v>
      </c>
      <c r="EL29" s="14">
        <f t="shared" si="45"/>
        <v>13.339897895146279</v>
      </c>
      <c r="EM29" s="22">
        <f t="shared" si="19"/>
        <v>101.77669150071311</v>
      </c>
      <c r="EN29" s="62">
        <f t="shared" si="20"/>
        <v>390.22113594515758</v>
      </c>
      <c r="EO29" s="62">
        <f ca="1">AVERAGE(OFFSET($EN$3,0,0,'Données projet'!$E$15+1,1))-AVERAGE(OFFSET($H$3,0,0,'Données projet'!$E$15+1,1))</f>
        <v>220.03635832253951</v>
      </c>
      <c r="EP29" s="62">
        <f t="shared" si="46"/>
        <v>136.30639155882233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8</v>
      </c>
      <c r="FE29" s="13">
        <f>IF('Données projet'!$A$218&gt;35,FE28+FD29-FM28,IF(A29&lt;'Données projet'!$A$218,$FB$205^A29,IF(A29='Données projet'!$A$218,'Données projet'!$B$218,FE28+FD29-FM28)))</f>
        <v>135</v>
      </c>
      <c r="FF29" s="18">
        <f>FE29*VLOOKUP('Données projet'!$B$16,Paramètres!$A$1:$I$89,3,0)*VLOOKUP('Données projet'!$B$16,Paramètres!$A$1:$I$89,5,0)</f>
        <v>141.102</v>
      </c>
      <c r="FG29" s="14">
        <f t="shared" si="47"/>
        <v>36.549342904663185</v>
      </c>
      <c r="FH29" s="22">
        <f t="shared" si="22"/>
        <v>309.40942222562171</v>
      </c>
      <c r="FI29" s="62">
        <f t="shared" si="23"/>
        <v>597.85386667006617</v>
      </c>
      <c r="FJ29" s="62">
        <f ca="1">AVERAGE(OFFSET($FI$3,0,0,'Données projet'!$E$16+1,1))-AVERAGE(OFFSET($H$3,0,0,'Données projet'!$E$16+1,1))</f>
        <v>641.62708445664862</v>
      </c>
      <c r="FK29" s="62">
        <f t="shared" si="48"/>
        <v>379.46845863546929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3.6</v>
      </c>
      <c r="FZ29" s="13">
        <f>IF('Données projet'!$A$244&gt;35,FZ28+FY29-GH28,IF(A29&lt;'Données projet'!$A$244,$FW$205^A29,IF(A29='Données projet'!$A$244,'Données projet'!$B$244,FZ28+FY29-GH28)))</f>
        <v>39.6</v>
      </c>
      <c r="GA29" s="18">
        <f>FZ29*VLOOKUP('Données projet'!$B$17,Paramètres!$A$1:$I$89,3,0)*VLOOKUP('Données projet'!$B$17,Paramètres!$A$1:$I$89,5,0)</f>
        <v>38.301119999999997</v>
      </c>
      <c r="GB29" s="14">
        <f t="shared" si="49"/>
        <v>11.547227522927502</v>
      </c>
      <c r="GC29" s="22">
        <f t="shared" si="25"/>
        <v>86.819205269098731</v>
      </c>
      <c r="GD29" s="62">
        <f t="shared" si="26"/>
        <v>375.2636497135432</v>
      </c>
      <c r="GE29" s="62">
        <f ca="1">AVERAGE(OFFSET($GD$3,0,0,'Données projet'!$E$17+1,1))-AVERAGE(OFFSET($H$3,0,0,'Données projet'!$E$17+1,1))</f>
        <v>181.39066880931728</v>
      </c>
      <c r="GF29" s="62">
        <f t="shared" si="50"/>
        <v>116.06078566855524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7.4</v>
      </c>
      <c r="GU29" s="13">
        <f>IF('Données projet'!$A$270&gt;35,GU28+GT29-HC28,IF(A29&lt;'Données projet'!$A$270,$GR$205^A29,IF(A29='Données projet'!$A$270,'Données projet'!$B$270,GU28+GT29-HC28)))</f>
        <v>63.400000000000006</v>
      </c>
      <c r="GV29" s="18">
        <f>GU29*VLOOKUP('Données projet'!$B$18,Paramètres!$A$1:$I$89,3,0)*VLOOKUP('Données projet'!$B$18,Paramètres!$A$1:$I$89,5,0)</f>
        <v>55.386240000000008</v>
      </c>
      <c r="GW29" s="14">
        <f t="shared" si="51"/>
        <v>15.996389447319554</v>
      </c>
      <c r="GX29" s="22">
        <f t="shared" si="28"/>
        <v>124.32474628741488</v>
      </c>
      <c r="GY29" s="62">
        <f t="shared" si="29"/>
        <v>412.76919073185934</v>
      </c>
      <c r="GZ29" s="62">
        <f ca="1">AVERAGE(OFFSET($GY$3,0,0,'Données projet'!$E$18+1,1))-AVERAGE(OFFSET($H$3,0,0,'Données projet'!$E$18+1,1))</f>
        <v>152.84277478695606</v>
      </c>
      <c r="HA29" s="62">
        <f t="shared" si="52"/>
        <v>179.22995976651015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9">
        <f t="shared" si="1"/>
        <v>290.99306237638319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85.176000000000002</v>
      </c>
      <c r="P30" s="14">
        <f t="shared" si="33"/>
        <v>23.398088487656441</v>
      </c>
      <c r="Q30" s="22">
        <f t="shared" si="2"/>
        <v>189.09987078266829</v>
      </c>
      <c r="R30" s="62">
        <f t="shared" si="0"/>
        <v>478.76653744933498</v>
      </c>
      <c r="S30" s="62">
        <f ca="1">AVERAGE(OFFSET($R$3,0,0,'Données projet'!$E$9+1,1))-AVERAGE(OFFSET($H$3,0,0,'Données projet'!$E$9+1,1))</f>
        <v>383.26814640166805</v>
      </c>
      <c r="T30" s="62">
        <f t="shared" si="34"/>
        <v>233.71216103405249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3.6</v>
      </c>
      <c r="AI30" s="14">
        <f>IF('Données projet'!$A$62&gt;35,AI29+AH30-AQ29,IF(A30&lt;'Données projet'!$A$62,$AF$205^A30,IF(A30='Données projet'!$A$62,'Données projet'!$B$62,AI29+AH30-AQ29)))</f>
        <v>43.2</v>
      </c>
      <c r="AJ30" s="14">
        <f>AI30*VLOOKUP('Données projet'!$B$10,Paramètres!$A$1:$I$89,3,0)*VLOOKUP('Données projet'!$B$10,Paramètres!$A$1:$I$89,5,0)</f>
        <v>46.500480000000003</v>
      </c>
      <c r="AK30" s="14">
        <f t="shared" si="35"/>
        <v>13.706212324429247</v>
      </c>
      <c r="AL30" s="22">
        <f t="shared" si="4"/>
        <v>104.85998913171427</v>
      </c>
      <c r="AM30" s="62">
        <f t="shared" si="5"/>
        <v>394.52665579838094</v>
      </c>
      <c r="AN30" s="62">
        <f ca="1">AVERAGE(OFFSET($AM$3,0,0,'Données projet'!$E$10+1,1))-AVERAGE(OFFSET($H$3,0,0,'Données projet'!$E$10+1,1))</f>
        <v>205.99910063756408</v>
      </c>
      <c r="AO30" s="62">
        <f t="shared" si="36"/>
        <v>128.95330275493671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15.073076923076925</v>
      </c>
      <c r="BD30" s="13">
        <f>IF('Données projet'!$A$88&gt;35,BD29+BC30-BL29,IF(A30&lt;'Données projet'!$A$88,$BA$205^A30,IF(A30='Données projet'!$A$88,'Données projet'!$B$88,BD29+BC30-BL29)))</f>
        <v>180</v>
      </c>
      <c r="BE30" s="14">
        <f>BD30*VLOOKUP('Données projet'!$B$11,Paramètres!$A$1:$I$89,3,0)*VLOOKUP('Données projet'!$B$11,Paramètres!$A$1:$I$89,5,0)</f>
        <v>107.64</v>
      </c>
      <c r="BF30" s="14">
        <f t="shared" si="37"/>
        <v>28.774250263353583</v>
      </c>
      <c r="BG30" s="22">
        <f t="shared" si="7"/>
        <v>237.58815254200749</v>
      </c>
      <c r="BH30" s="62">
        <f t="shared" si="8"/>
        <v>527.25481920867423</v>
      </c>
      <c r="BI30" s="62">
        <f ca="1">AVERAGE(OFFSET($BH$3,0,0,'Données projet'!$E$11+1,1))-AVERAGE(OFFSET($H$3,0,0,'Données projet'!$E$11+1,1))</f>
        <v>222.20580087523689</v>
      </c>
      <c r="BJ30" s="62">
        <f t="shared" si="38"/>
        <v>232.08940427392253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14.278925580149904</v>
      </c>
      <c r="BR30" s="23">
        <f>EXP(-LN(2)/2)*BR29+(1-EXP(-LN(2)/2))/(LN(2)/2)*BL30*BO30*VLOOKUP('Données projet'!$B$11,Paramètres!$A$1:$I$89,3,0)*0.475*44/12</f>
        <v>5.0239446888103654</v>
      </c>
      <c r="BS30" s="24">
        <f t="shared" si="9"/>
        <v>19.30287026896027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3.4425641025641025</v>
      </c>
      <c r="BY30" s="13">
        <f>IF('Données projet'!$A$114&gt;35,BY29+BX30-CG29,IF(A30&lt;'Données projet'!$A$114,$BV$205^A30,IF(A30='Données projet'!$A$114,'Données projet'!$B$114,BY29+BX30-CG29)))</f>
        <v>64.953560365747308</v>
      </c>
      <c r="BZ30" s="14">
        <f>BY30*VLOOKUP('Données projet'!$B$12,Paramètres!$A$1:$I$89,3,0)*VLOOKUP('Données projet'!$B$12,Paramètres!$A$1:$I$89,5,0)</f>
        <v>30.398266251169741</v>
      </c>
      <c r="CA30" s="14">
        <f t="shared" si="39"/>
        <v>9.4145003824463398</v>
      </c>
      <c r="CB30" s="22">
        <f t="shared" si="10"/>
        <v>69.340568553547996</v>
      </c>
      <c r="CC30" s="62">
        <f t="shared" si="11"/>
        <v>359.00723522021468</v>
      </c>
      <c r="CD30" s="62">
        <f ca="1">AVERAGE(OFFSET($CC$3,0,0,'Données projet'!$E$12+1,1))-AVERAGE(OFFSET($H$3,0,0,'Données projet'!$E$12+1,1))</f>
        <v>179.14256291235466</v>
      </c>
      <c r="CE30" s="62">
        <f t="shared" si="40"/>
        <v>107.5256983607585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>
        <f>VLOOKUP(A30,'Données projet'!$A$139:$I$159,2,0)</f>
        <v>140.71538461538461</v>
      </c>
      <c r="CR30" s="13">
        <f>VLOOKUP(A30,'Données projet'!$A$139:$I$159,9,0)</f>
        <v>12.695384615384615</v>
      </c>
      <c r="CS30" s="13">
        <f t="array" ref="CS30">INDEX(CR:CR,MIN(IF(ISNUMBER(CR30:CR226),ROW(CR30:CR226),"")))</f>
        <v>12.695384615384615</v>
      </c>
      <c r="CT30" s="13">
        <f>IF('Données projet'!$A$140&gt;35,CT29+CS30-DB29,IF(A30&lt;'Données projet'!$A$140,$CQ$205^A30,IF(A30='Données projet'!$A$140,'Données projet'!$B$140,CT29+CS30-DB29)))</f>
        <v>140.71538461538464</v>
      </c>
      <c r="CU30" s="18">
        <f>CT30*VLOOKUP('Données projet'!$B$13,Paramètres!$A$1:$I$89,3,0)*VLOOKUP('Données projet'!$B$13,Paramètres!$A$1:$I$89,5,0)</f>
        <v>84.147800000000018</v>
      </c>
      <c r="CV30" s="14">
        <f t="shared" si="41"/>
        <v>23.148340019013897</v>
      </c>
      <c r="CW30" s="22">
        <f t="shared" si="13"/>
        <v>186.8741105331159</v>
      </c>
      <c r="CX30" s="62">
        <f t="shared" si="14"/>
        <v>476.54077719978261</v>
      </c>
      <c r="CY30" s="62">
        <f ca="1">AVERAGE(OFFSET($CX$3,0,0,'Données projet'!$E$13+1,1))-AVERAGE(OFFSET($H$3,0,0,'Données projet'!$E$13+1,1))</f>
        <v>237.03649693529445</v>
      </c>
      <c r="CZ30" s="62">
        <f t="shared" si="42"/>
        <v>191.04289411674887</v>
      </c>
      <c r="DA30" s="16">
        <f>IF(ISNA(VLOOKUP(A30,'Données projet'!$A$139:$I$159,3,0)),0,VLOOKUP(A30,'Données projet'!$A$139:$I$159,3,0))</f>
        <v>2</v>
      </c>
      <c r="DB30" s="16">
        <f>IF(ISNA(VLOOKUP(A30,'Données projet'!$A$139:$I$159,4,0)),0,VLOOKUP(A30,'Données projet'!$A$139:$I$159,4,0))</f>
        <v>34.646153846153844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0.5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14.885642500597056</v>
      </c>
      <c r="DI30" s="24">
        <f t="shared" si="15"/>
        <v>14.885642500597056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4.7730000000000006</v>
      </c>
      <c r="DO30" s="13">
        <f>IF('Données projet'!$A$166&gt;35,DO29+DN30-DW29,IF(A30&lt;'Données projet'!$A$166,$DL$205^A30,IF(A30='Données projet'!$A$166,'Données projet'!$B$166,DO29+DN30-DW29)))</f>
        <v>103.071</v>
      </c>
      <c r="DP30" s="18">
        <f>DO30*VLOOKUP('Données projet'!$B$14,Paramètres!$A$1:$I$89,3,0)*VLOOKUP('Données projet'!$B$14,Paramètres!$A$1:$I$89,5,0)</f>
        <v>118.737792</v>
      </c>
      <c r="DQ30" s="14">
        <f t="shared" si="43"/>
        <v>31.380429080018022</v>
      </c>
      <c r="DR30" s="22">
        <f t="shared" si="16"/>
        <v>261.45590171436476</v>
      </c>
      <c r="DS30" s="62">
        <f t="shared" si="17"/>
        <v>551.12256838103144</v>
      </c>
      <c r="DT30" s="62">
        <f ca="1">AVERAGE(OFFSET($DS$3,0,0,'Données projet'!$E$14+1,1))-AVERAGE(OFFSET($H$3,0,0,'Données projet'!$E$14+1,1))</f>
        <v>431.38469096974364</v>
      </c>
      <c r="DU30" s="62">
        <f t="shared" si="44"/>
        <v>295.48627059086647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0.30560251461904214</v>
      </c>
      <c r="ED30" s="24">
        <f t="shared" si="18"/>
        <v>0.30560251461904214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3.6</v>
      </c>
      <c r="EJ30" s="13">
        <f>IF('Données projet'!$A$192&gt;35,EJ29+EI30-ER29,IF(A30&lt;'Données projet'!$A$192,$EG$205^A30,IF(A30='Données projet'!$A$192,'Données projet'!$B$192,EJ29+EI30-ER29)))</f>
        <v>43.2</v>
      </c>
      <c r="EK30" s="18">
        <f>EJ30*VLOOKUP('Données projet'!$B$15,Paramètres!$A$1:$I$89,3,0)*VLOOKUP('Données projet'!$B$15,Paramètres!$A$1:$I$89,5,0)</f>
        <v>49.196160000000006</v>
      </c>
      <c r="EL30" s="14">
        <f t="shared" si="45"/>
        <v>14.405969065482568</v>
      </c>
      <c r="EM30" s="22">
        <f t="shared" si="19"/>
        <v>110.77370812238216</v>
      </c>
      <c r="EN30" s="62">
        <f t="shared" si="20"/>
        <v>400.44037478904886</v>
      </c>
      <c r="EO30" s="62">
        <f ca="1">AVERAGE(OFFSET($EN$3,0,0,'Données projet'!$E$15+1,1))-AVERAGE(OFFSET($H$3,0,0,'Données projet'!$E$15+1,1))</f>
        <v>220.03635832253951</v>
      </c>
      <c r="EP30" s="62">
        <f t="shared" si="46"/>
        <v>136.30639155882233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8</v>
      </c>
      <c r="FE30" s="13">
        <f>IF('Données projet'!$A$218&gt;35,FE29+FD30-FM29,IF(A30&lt;'Données projet'!$A$218,$FB$205^A30,IF(A30='Données projet'!$A$218,'Données projet'!$B$218,FE29+FD30-FM29)))</f>
        <v>143</v>
      </c>
      <c r="FF30" s="18">
        <f>FE30*VLOOKUP('Données projet'!$B$16,Paramètres!$A$1:$I$89,3,0)*VLOOKUP('Données projet'!$B$16,Paramètres!$A$1:$I$89,5,0)</f>
        <v>149.46360000000001</v>
      </c>
      <c r="FG30" s="14">
        <f t="shared" si="47"/>
        <v>38.45666139225672</v>
      </c>
      <c r="FH30" s="22">
        <f t="shared" si="22"/>
        <v>327.29445525818045</v>
      </c>
      <c r="FI30" s="62">
        <f t="shared" si="23"/>
        <v>616.96112192484713</v>
      </c>
      <c r="FJ30" s="62">
        <f ca="1">AVERAGE(OFFSET($FI$3,0,0,'Données projet'!$E$16+1,1))-AVERAGE(OFFSET($H$3,0,0,'Données projet'!$E$16+1,1))</f>
        <v>641.62708445664862</v>
      </c>
      <c r="FK30" s="62">
        <f t="shared" si="48"/>
        <v>379.46845863546929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3.6</v>
      </c>
      <c r="FZ30" s="13">
        <f>IF('Données projet'!$A$244&gt;35,FZ29+FY30-GH29,IF(A30&lt;'Données projet'!$A$244,$FW$205^A30,IF(A30='Données projet'!$A$244,'Données projet'!$B$244,FZ29+FY30-GH29)))</f>
        <v>43.2</v>
      </c>
      <c r="GA30" s="18">
        <f>FZ30*VLOOKUP('Données projet'!$B$17,Paramètres!$A$1:$I$89,3,0)*VLOOKUP('Données projet'!$B$17,Paramètres!$A$1:$I$89,5,0)</f>
        <v>41.783040000000007</v>
      </c>
      <c r="GB30" s="14">
        <f t="shared" si="49"/>
        <v>12.470035662559953</v>
      </c>
      <c r="GC30" s="22">
        <f t="shared" si="25"/>
        <v>94.490773445625265</v>
      </c>
      <c r="GD30" s="62">
        <f t="shared" si="26"/>
        <v>384.15744011229197</v>
      </c>
      <c r="GE30" s="62">
        <f ca="1">AVERAGE(OFFSET($GD$3,0,0,'Données projet'!$E$17+1,1))-AVERAGE(OFFSET($H$3,0,0,'Données projet'!$E$17+1,1))</f>
        <v>181.39066880931728</v>
      </c>
      <c r="GF30" s="62">
        <f t="shared" si="50"/>
        <v>116.06078566855524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7.4</v>
      </c>
      <c r="GU30" s="13">
        <f>IF('Données projet'!$A$270&gt;35,GU29+GT30-HC29,IF(A30&lt;'Données projet'!$A$270,$GR$205^A30,IF(A30='Données projet'!$A$270,'Données projet'!$B$270,GU29+GT30-HC29)))</f>
        <v>70.800000000000011</v>
      </c>
      <c r="GV30" s="18">
        <f>GU30*VLOOKUP('Données projet'!$B$18,Paramètres!$A$1:$I$89,3,0)*VLOOKUP('Données projet'!$B$18,Paramètres!$A$1:$I$89,5,0)</f>
        <v>61.850880000000018</v>
      </c>
      <c r="GW30" s="14">
        <f t="shared" si="51"/>
        <v>17.635398883369188</v>
      </c>
      <c r="GX30" s="22">
        <f t="shared" si="28"/>
        <v>138.43860238853472</v>
      </c>
      <c r="GY30" s="62">
        <f t="shared" si="29"/>
        <v>428.1052690552014</v>
      </c>
      <c r="GZ30" s="62">
        <f ca="1">AVERAGE(OFFSET($GY$3,0,0,'Données projet'!$E$18+1,1))-AVERAGE(OFFSET($H$3,0,0,'Données projet'!$E$18+1,1))</f>
        <v>152.84277478695606</v>
      </c>
      <c r="HA30" s="62">
        <f t="shared" si="52"/>
        <v>179.22995976651015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9">
        <f t="shared" si="1"/>
        <v>292.22651404374136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92.274000000000001</v>
      </c>
      <c r="P31" s="14">
        <f t="shared" si="33"/>
        <v>25.112860036087575</v>
      </c>
      <c r="Q31" s="22">
        <f t="shared" si="2"/>
        <v>204.4487812295192</v>
      </c>
      <c r="R31" s="62">
        <f t="shared" si="0"/>
        <v>495.33767011840803</v>
      </c>
      <c r="S31" s="62">
        <f ca="1">AVERAGE(OFFSET($R$3,0,0,'Données projet'!$E$9+1,1))-AVERAGE(OFFSET($H$3,0,0,'Données projet'!$E$9+1,1))</f>
        <v>383.26814640166805</v>
      </c>
      <c r="T31" s="62">
        <f t="shared" si="34"/>
        <v>233.71216103405249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3.6</v>
      </c>
      <c r="AI31" s="14">
        <f>IF('Données projet'!$A$62&gt;35,AI30+AH31-AQ30,IF(A31&lt;'Données projet'!$A$62,$AF$205^A31,IF(A31='Données projet'!$A$62,'Données projet'!$B$62,AI30+AH31-AQ30)))</f>
        <v>46.800000000000004</v>
      </c>
      <c r="AJ31" s="14">
        <f>AI31*VLOOKUP('Données projet'!$B$10,Paramètres!$A$1:$I$89,3,0)*VLOOKUP('Données projet'!$B$10,Paramètres!$A$1:$I$89,5,0)</f>
        <v>50.375520000000002</v>
      </c>
      <c r="AK31" s="14">
        <f t="shared" si="35"/>
        <v>14.710697068688855</v>
      </c>
      <c r="AL31" s="22">
        <f t="shared" si="4"/>
        <v>113.3584947279664</v>
      </c>
      <c r="AM31" s="62">
        <f t="shared" si="5"/>
        <v>404.24738361685525</v>
      </c>
      <c r="AN31" s="62">
        <f ca="1">AVERAGE(OFFSET($AM$3,0,0,'Données projet'!$E$10+1,1))-AVERAGE(OFFSET($H$3,0,0,'Données projet'!$E$10+1,1))</f>
        <v>205.99910063756408</v>
      </c>
      <c r="AO31" s="62">
        <f t="shared" si="36"/>
        <v>128.95330275493671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15.073076923076925</v>
      </c>
      <c r="BD31" s="13">
        <f>IF('Données projet'!$A$88&gt;35,BD30+BC31-BL30,IF(A31&lt;'Données projet'!$A$88,$BA$205^A31,IF(A31='Données projet'!$A$88,'Données projet'!$B$88,BD30+BC31-BL30)))</f>
        <v>195.07307692307694</v>
      </c>
      <c r="BE31" s="14">
        <f>BD31*VLOOKUP('Données projet'!$B$11,Paramètres!$A$1:$I$89,3,0)*VLOOKUP('Données projet'!$B$11,Paramètres!$A$1:$I$89,5,0)</f>
        <v>116.65370000000001</v>
      </c>
      <c r="BF31" s="14">
        <f t="shared" si="37"/>
        <v>30.893249762406356</v>
      </c>
      <c r="BG31" s="22">
        <f t="shared" si="7"/>
        <v>256.9776041695244</v>
      </c>
      <c r="BH31" s="62">
        <f t="shared" si="8"/>
        <v>547.8664930584132</v>
      </c>
      <c r="BI31" s="62">
        <f ca="1">AVERAGE(OFFSET($BH$3,0,0,'Données projet'!$E$11+1,1))-AVERAGE(OFFSET($H$3,0,0,'Données projet'!$E$11+1,1))</f>
        <v>222.20580087523689</v>
      </c>
      <c r="BJ31" s="62">
        <f t="shared" si="38"/>
        <v>232.08940427392253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13.888467609264644</v>
      </c>
      <c r="BR31" s="23">
        <f>EXP(-LN(2)/2)*BR30+(1-EXP(-LN(2)/2))/(LN(2)/2)*BL31*BO31*VLOOKUP('Données projet'!$B$11,Paramètres!$A$1:$I$89,3,0)*0.475*44/12</f>
        <v>3.5524653577639489</v>
      </c>
      <c r="BS31" s="24">
        <f t="shared" si="9"/>
        <v>17.440932967028594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3.4425641025641025</v>
      </c>
      <c r="BY31" s="13">
        <f>IF('Données projet'!$A$114&gt;35,BY30+BX31-CG30,IF(A31&lt;'Données projet'!$A$114,$BV$205^A31,IF(A31='Données projet'!$A$114,'Données projet'!$B$114,BY30+BX31-CG30)))</f>
        <v>75.81172952673181</v>
      </c>
      <c r="BZ31" s="14">
        <f>BY31*VLOOKUP('Données projet'!$B$12,Paramètres!$A$1:$I$89,3,0)*VLOOKUP('Données projet'!$B$12,Paramètres!$A$1:$I$89,5,0)</f>
        <v>35.479889418510488</v>
      </c>
      <c r="CA31" s="14">
        <f t="shared" si="39"/>
        <v>10.7923591061602</v>
      </c>
      <c r="CB31" s="22">
        <f t="shared" si="10"/>
        <v>80.590832847134777</v>
      </c>
      <c r="CC31" s="62">
        <f t="shared" si="11"/>
        <v>371.47972173602363</v>
      </c>
      <c r="CD31" s="62">
        <f ca="1">AVERAGE(OFFSET($CC$3,0,0,'Données projet'!$E$12+1,1))-AVERAGE(OFFSET($H$3,0,0,'Données projet'!$E$12+1,1))</f>
        <v>179.14256291235466</v>
      </c>
      <c r="CE31" s="62">
        <f t="shared" si="40"/>
        <v>107.5256983607585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12.97179487179487</v>
      </c>
      <c r="CT31" s="13">
        <f>IF('Données projet'!$A$140&gt;35,CT30+CS31-DB30,IF(A31&lt;'Données projet'!$A$140,$CQ$205^A31,IF(A31='Données projet'!$A$140,'Données projet'!$B$140,CT30+CS31-DB30)))</f>
        <v>119.04102564102564</v>
      </c>
      <c r="CU31" s="18">
        <f>CT31*VLOOKUP('Données projet'!$B$13,Paramètres!$A$1:$I$89,3,0)*VLOOKUP('Données projet'!$B$13,Paramètres!$A$1:$I$89,5,0)</f>
        <v>71.18653333333333</v>
      </c>
      <c r="CV31" s="14">
        <f t="shared" si="41"/>
        <v>19.967826748678</v>
      </c>
      <c r="CW31" s="22">
        <f t="shared" si="13"/>
        <v>158.76051047616974</v>
      </c>
      <c r="CX31" s="62">
        <f t="shared" si="14"/>
        <v>449.64939936505857</v>
      </c>
      <c r="CY31" s="62">
        <f ca="1">AVERAGE(OFFSET($CX$3,0,0,'Données projet'!$E$13+1,1))-AVERAGE(OFFSET($H$3,0,0,'Données projet'!$E$13+1,1))</f>
        <v>237.03649693529445</v>
      </c>
      <c r="CZ31" s="62">
        <f t="shared" si="42"/>
        <v>191.04289411674887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10.525738754490856</v>
      </c>
      <c r="DI31" s="24">
        <f t="shared" si="15"/>
        <v>10.525738754490856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4.7730000000000006</v>
      </c>
      <c r="DO31" s="13">
        <f>IF('Données projet'!$A$166&gt;35,DO30+DN31-DW30,IF(A31&lt;'Données projet'!$A$166,$DL$205^A31,IF(A31='Données projet'!$A$166,'Données projet'!$B$166,DO30+DN31-DW30)))</f>
        <v>107.84399999999999</v>
      </c>
      <c r="DP31" s="18">
        <f>DO31*VLOOKUP('Données projet'!$B$14,Paramètres!$A$1:$I$89,3,0)*VLOOKUP('Données projet'!$B$14,Paramètres!$A$1:$I$89,5,0)</f>
        <v>124.23628799999999</v>
      </c>
      <c r="DQ31" s="14">
        <f t="shared" si="43"/>
        <v>32.66104004779595</v>
      </c>
      <c r="DR31" s="22">
        <f t="shared" si="16"/>
        <v>273.26284634991129</v>
      </c>
      <c r="DS31" s="62">
        <f t="shared" si="17"/>
        <v>564.15173523880014</v>
      </c>
      <c r="DT31" s="62">
        <f ca="1">AVERAGE(OFFSET($DS$3,0,0,'Données projet'!$E$14+1,1))-AVERAGE(OFFSET($H$3,0,0,'Données projet'!$E$14+1,1))</f>
        <v>431.38469096974364</v>
      </c>
      <c r="DU31" s="62">
        <f t="shared" si="44"/>
        <v>295.48627059086647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0.21609361043478573</v>
      </c>
      <c r="ED31" s="24">
        <f t="shared" si="18"/>
        <v>0.21609361043478573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3.6</v>
      </c>
      <c r="EJ31" s="13">
        <f>IF('Données projet'!$A$192&gt;35,EJ30+EI31-ER30,IF(A31&lt;'Données projet'!$A$192,$EG$205^A31,IF(A31='Données projet'!$A$192,'Données projet'!$B$192,EJ30+EI31-ER30)))</f>
        <v>46.800000000000004</v>
      </c>
      <c r="EK31" s="18">
        <f>EJ31*VLOOKUP('Données projet'!$B$15,Paramètres!$A$1:$I$89,3,0)*VLOOKUP('Données projet'!$B$15,Paramètres!$A$1:$I$89,5,0)</f>
        <v>53.295840000000005</v>
      </c>
      <c r="EL31" s="14">
        <f t="shared" si="45"/>
        <v>15.461736757535716</v>
      </c>
      <c r="EM31" s="22">
        <f t="shared" si="19"/>
        <v>119.7527795193747</v>
      </c>
      <c r="EN31" s="62">
        <f t="shared" si="20"/>
        <v>410.64166840826357</v>
      </c>
      <c r="EO31" s="62">
        <f ca="1">AVERAGE(OFFSET($EN$3,0,0,'Données projet'!$E$15+1,1))-AVERAGE(OFFSET($H$3,0,0,'Données projet'!$E$15+1,1))</f>
        <v>220.03635832253951</v>
      </c>
      <c r="EP31" s="62">
        <f t="shared" si="46"/>
        <v>136.30639155882233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8</v>
      </c>
      <c r="FE31" s="13">
        <f>IF('Données projet'!$A$218&gt;35,FE30+FD31-FM30,IF(A31&lt;'Données projet'!$A$218,$FB$205^A31,IF(A31='Données projet'!$A$218,'Données projet'!$B$218,FE30+FD31-FM30)))</f>
        <v>151</v>
      </c>
      <c r="FF31" s="18">
        <f>FE31*VLOOKUP('Données projet'!$B$16,Paramètres!$A$1:$I$89,3,0)*VLOOKUP('Données projet'!$B$16,Paramètres!$A$1:$I$89,5,0)</f>
        <v>157.8252</v>
      </c>
      <c r="FG31" s="14">
        <f t="shared" si="47"/>
        <v>40.351593167075627</v>
      </c>
      <c r="FH31" s="22">
        <f t="shared" si="22"/>
        <v>345.15791476599003</v>
      </c>
      <c r="FI31" s="62">
        <f t="shared" si="23"/>
        <v>636.04680365487889</v>
      </c>
      <c r="FJ31" s="62">
        <f ca="1">AVERAGE(OFFSET($FI$3,0,0,'Données projet'!$E$16+1,1))-AVERAGE(OFFSET($H$3,0,0,'Données projet'!$E$16+1,1))</f>
        <v>641.62708445664862</v>
      </c>
      <c r="FK31" s="62">
        <f t="shared" si="48"/>
        <v>379.46845863546929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3.6</v>
      </c>
      <c r="FZ31" s="13">
        <f>IF('Données projet'!$A$244&gt;35,FZ30+FY31-GH30,IF(A31&lt;'Données projet'!$A$244,$FW$205^A31,IF(A31='Données projet'!$A$244,'Données projet'!$B$244,FZ30+FY31-GH30)))</f>
        <v>46.800000000000004</v>
      </c>
      <c r="GA31" s="18">
        <f>FZ31*VLOOKUP('Données projet'!$B$17,Paramètres!$A$1:$I$89,3,0)*VLOOKUP('Données projet'!$B$17,Paramètres!$A$1:$I$89,5,0)</f>
        <v>45.264960000000002</v>
      </c>
      <c r="GB31" s="14">
        <f t="shared" si="49"/>
        <v>13.383924947719283</v>
      </c>
      <c r="GC31" s="22">
        <f t="shared" si="25"/>
        <v>102.14680795061109</v>
      </c>
      <c r="GD31" s="62">
        <f t="shared" si="26"/>
        <v>393.03569683949996</v>
      </c>
      <c r="GE31" s="62">
        <f ca="1">AVERAGE(OFFSET($GD$3,0,0,'Données projet'!$E$17+1,1))-AVERAGE(OFFSET($H$3,0,0,'Données projet'!$E$17+1,1))</f>
        <v>181.39066880931728</v>
      </c>
      <c r="GF31" s="62">
        <f t="shared" si="50"/>
        <v>116.06078566855524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7.4</v>
      </c>
      <c r="GU31" s="13">
        <f>IF('Données projet'!$A$270&gt;35,GU30+GT31-HC30,IF(A31&lt;'Données projet'!$A$270,$GR$205^A31,IF(A31='Données projet'!$A$270,'Données projet'!$B$270,GU30+GT31-HC30)))</f>
        <v>78.200000000000017</v>
      </c>
      <c r="GV31" s="18">
        <f>GU31*VLOOKUP('Données projet'!$B$18,Paramètres!$A$1:$I$89,3,0)*VLOOKUP('Données projet'!$B$18,Paramètres!$A$1:$I$89,5,0)</f>
        <v>68.315520000000021</v>
      </c>
      <c r="GW31" s="14">
        <f t="shared" si="51"/>
        <v>19.254550643039188</v>
      </c>
      <c r="GX31" s="22">
        <f t="shared" si="28"/>
        <v>152.51787303662658</v>
      </c>
      <c r="GY31" s="62">
        <f t="shared" si="29"/>
        <v>443.40676192551541</v>
      </c>
      <c r="GZ31" s="62">
        <f ca="1">AVERAGE(OFFSET($GY$3,0,0,'Données projet'!$E$18+1,1))-AVERAGE(OFFSET($H$3,0,0,'Données projet'!$E$18+1,1))</f>
        <v>152.84277478695606</v>
      </c>
      <c r="HA31" s="62">
        <f t="shared" si="52"/>
        <v>179.22995976651015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9">
        <f t="shared" si="1"/>
        <v>293.45879348577108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99.372000000000014</v>
      </c>
      <c r="P32" s="14">
        <f t="shared" si="33"/>
        <v>26.812330397327713</v>
      </c>
      <c r="Q32" s="22">
        <f t="shared" si="2"/>
        <v>219.7710421086791</v>
      </c>
      <c r="R32" s="62">
        <f t="shared" si="0"/>
        <v>511.88215321979021</v>
      </c>
      <c r="S32" s="62">
        <f ca="1">AVERAGE(OFFSET($R$3,0,0,'Données projet'!$E$9+1,1))-AVERAGE(OFFSET($H$3,0,0,'Données projet'!$E$9+1,1))</f>
        <v>383.26814640166805</v>
      </c>
      <c r="T32" s="62">
        <f t="shared" si="34"/>
        <v>233.71216103405249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3.6</v>
      </c>
      <c r="AI32" s="14">
        <f>IF('Données projet'!$A$62&gt;35,AI31+AH32-AQ31,IF(A32&lt;'Données projet'!$A$62,$AF$205^A32,IF(A32='Données projet'!$A$62,'Données projet'!$B$62,AI31+AH32-AQ31)))</f>
        <v>50.400000000000006</v>
      </c>
      <c r="AJ32" s="14">
        <f>AI32*VLOOKUP('Données projet'!$B$10,Paramètres!$A$1:$I$89,3,0)*VLOOKUP('Données projet'!$B$10,Paramètres!$A$1:$I$89,5,0)</f>
        <v>54.250560000000007</v>
      </c>
      <c r="AK32" s="14">
        <f t="shared" si="35"/>
        <v>15.706218631166928</v>
      </c>
      <c r="AL32" s="22">
        <f t="shared" si="4"/>
        <v>121.84138944928242</v>
      </c>
      <c r="AM32" s="62">
        <f t="shared" si="5"/>
        <v>413.95250056039356</v>
      </c>
      <c r="AN32" s="62">
        <f ca="1">AVERAGE(OFFSET($AM$3,0,0,'Données projet'!$E$10+1,1))-AVERAGE(OFFSET($H$3,0,0,'Données projet'!$E$10+1,1))</f>
        <v>205.99910063756408</v>
      </c>
      <c r="AO32" s="62">
        <f t="shared" si="36"/>
        <v>128.95330275493671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210.14615384615385</v>
      </c>
      <c r="BB32" s="13">
        <f>VLOOKUP(A32,'Données projet'!$A$87:$I$107,9,0)</f>
        <v>15.073076923076925</v>
      </c>
      <c r="BC32" s="13">
        <f t="array" ref="BC32">INDEX(BB:BB,MIN(IF(ISNUMBER(BB32:BB228),ROW(BB32:BB228),"")))</f>
        <v>15.073076923076925</v>
      </c>
      <c r="BD32" s="13">
        <f>IF('Données projet'!$A$88&gt;35,BD31+BC32-BL31,IF(A32&lt;'Données projet'!$A$88,$BA$205^A32,IF(A32='Données projet'!$A$88,'Données projet'!$B$88,BD31+BC32-BL31)))</f>
        <v>210.14615384615388</v>
      </c>
      <c r="BE32" s="14">
        <f>BD32*VLOOKUP('Données projet'!$B$11,Paramètres!$A$1:$I$89,3,0)*VLOOKUP('Données projet'!$B$11,Paramètres!$A$1:$I$89,5,0)</f>
        <v>125.66740000000003</v>
      </c>
      <c r="BF32" s="14">
        <f t="shared" si="37"/>
        <v>32.993256286656127</v>
      </c>
      <c r="BG32" s="22">
        <f t="shared" si="7"/>
        <v>276.33397636592611</v>
      </c>
      <c r="BH32" s="62">
        <f t="shared" si="8"/>
        <v>568.4450874770373</v>
      </c>
      <c r="BI32" s="62">
        <f ca="1">AVERAGE(OFFSET($BH$3,0,0,'Données projet'!$E$11+1,1))-AVERAGE(OFFSET($H$3,0,0,'Données projet'!$E$11+1,1))</f>
        <v>222.20580087523689</v>
      </c>
      <c r="BJ32" s="62">
        <f t="shared" si="38"/>
        <v>232.08940427392253</v>
      </c>
      <c r="BK32" s="16">
        <f>IF(ISNA(VLOOKUP(A32,'Données projet'!$A$87:$I$107,3,0)),0,VLOOKUP(A32,'Données projet'!$A$87:$I$107,3,0))</f>
        <v>3</v>
      </c>
      <c r="BL32" s="16">
        <f>IF(ISNA(VLOOKUP(A32,'Données projet'!$A$87:$I$107,4,0)),0,VLOOKUP(A32,'Données projet'!$A$87:$I$107,4,0))</f>
        <v>47.661538461538463</v>
      </c>
      <c r="BM32" s="17">
        <f>IF(ISNA(VLOOKUP(A32,'Données projet'!$A$87:$I$107,5,0)),0%,VLOOKUP(A32,'Données projet'!$A$87:$I$107,5,0)*VLOOKUP('Données projet'!$B$11,Paramètres!$A$1:$I$89,7,0))</f>
        <v>0.27</v>
      </c>
      <c r="BN32" s="17">
        <f>IF(ISNA(VLOOKUP(A32,'Données projet'!$A$87:$I$107,6,0)),0%,VLOOKUP(A32,'Données projet'!$A$87:$I$107,6,0)*VLOOKUP('Données projet'!$B$11,Paramètres!$A$1:$I$89,7,0))</f>
        <v>9.0000000000000011E-2</v>
      </c>
      <c r="BO32" s="17">
        <f>IF(ISNA(VLOOKUP(A32,'Données projet'!$A$87:$I$107,7,0)),0%,VLOOKUP(A32,'Données projet'!$A$87:$I$107,7,0))</f>
        <v>0.2</v>
      </c>
      <c r="BP32" s="23">
        <f>EXP(-LN(2)/35)*BP31+(1-EXP(-LN(2)/35))/(LN(2)/35)*BL32*BM32*VLOOKUP('Données projet'!$B$11,Paramètres!$A$1:$I$89,3,0)*0.475*44/12</f>
        <v>10.208486560452011</v>
      </c>
      <c r="BQ32" s="23">
        <f>EXP(-LN(2)/25)*BQ31+(1-EXP(-LN(2)/25))/(LN(2)/25)*Calculateur!BL32*Calculateur!BN32*VLOOKUP('Données projet'!$B$11,Paramètres!$A$1:$I$89,3,0)*0.475*44/12</f>
        <v>16.89811735183493</v>
      </c>
      <c r="BR32" s="23">
        <f>EXP(-LN(2)/2)*BR31+(1-EXP(-LN(2)/2))/(LN(2)/2)*BL32*BO32*VLOOKUP('Données projet'!$B$11,Paramètres!$A$1:$I$89,3,0)*0.475*44/12</f>
        <v>8.9660587546412494</v>
      </c>
      <c r="BS32" s="24">
        <f t="shared" si="9"/>
        <v>36.072662666928196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3.4425641025641025</v>
      </c>
      <c r="BY32" s="13">
        <f>IF('Données projet'!$A$114&gt;35,BY31+BX32-CG31,IF(A32&lt;'Données projet'!$A$114,$BV$205^A32,IF(A32='Données projet'!$A$114,'Données projet'!$B$114,BY31+BX32-CG31)))</f>
        <v>88.485039179856727</v>
      </c>
      <c r="BZ32" s="14">
        <f>BY32*VLOOKUP('Données projet'!$B$12,Paramètres!$A$1:$I$89,3,0)*VLOOKUP('Données projet'!$B$12,Paramètres!$A$1:$I$89,5,0)</f>
        <v>41.410998336172952</v>
      </c>
      <c r="CA32" s="14">
        <f t="shared" si="39"/>
        <v>12.371874273168087</v>
      </c>
      <c r="CB32" s="22">
        <f t="shared" si="10"/>
        <v>93.671836461268967</v>
      </c>
      <c r="CC32" s="62">
        <f t="shared" si="11"/>
        <v>385.78294757238012</v>
      </c>
      <c r="CD32" s="62">
        <f ca="1">AVERAGE(OFFSET($CC$3,0,0,'Données projet'!$E$12+1,1))-AVERAGE(OFFSET($H$3,0,0,'Données projet'!$E$12+1,1))</f>
        <v>179.14256291235466</v>
      </c>
      <c r="CE32" s="62">
        <f t="shared" si="40"/>
        <v>107.5256983607585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12.97179487179487</v>
      </c>
      <c r="CT32" s="13">
        <f>IF('Données projet'!$A$140&gt;35,CT31+CS32-DB31,IF(A32&lt;'Données projet'!$A$140,$CQ$205^A32,IF(A32='Données projet'!$A$140,'Données projet'!$B$140,CT31+CS32-DB31)))</f>
        <v>132.0128205128205</v>
      </c>
      <c r="CU32" s="18">
        <f>CT32*VLOOKUP('Données projet'!$B$13,Paramètres!$A$1:$I$89,3,0)*VLOOKUP('Données projet'!$B$13,Paramètres!$A$1:$I$89,5,0)</f>
        <v>78.943666666666658</v>
      </c>
      <c r="CV32" s="14">
        <f t="shared" si="41"/>
        <v>21.878705672057272</v>
      </c>
      <c r="CW32" s="22">
        <f t="shared" si="13"/>
        <v>175.59896515661083</v>
      </c>
      <c r="CX32" s="62">
        <f t="shared" si="14"/>
        <v>467.710076267722</v>
      </c>
      <c r="CY32" s="62">
        <f ca="1">AVERAGE(OFFSET($CX$3,0,0,'Données projet'!$E$13+1,1))-AVERAGE(OFFSET($H$3,0,0,'Données projet'!$E$13+1,1))</f>
        <v>237.03649693529445</v>
      </c>
      <c r="CZ32" s="62">
        <f t="shared" si="42"/>
        <v>191.04289411674887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7.4428212502985298</v>
      </c>
      <c r="DI32" s="24">
        <f t="shared" si="15"/>
        <v>7.4428212502985298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4.7730000000000006</v>
      </c>
      <c r="DO32" s="13">
        <f>IF('Données projet'!$A$166&gt;35,DO31+DN32-DW31,IF(A32&lt;'Données projet'!$A$166,$DL$205^A32,IF(A32='Données projet'!$A$166,'Données projet'!$B$166,DO31+DN32-DW31)))</f>
        <v>112.61699999999999</v>
      </c>
      <c r="DP32" s="18">
        <f>DO32*VLOOKUP('Données projet'!$B$14,Paramètres!$A$1:$I$89,3,0)*VLOOKUP('Données projet'!$B$14,Paramètres!$A$1:$I$89,5,0)</f>
        <v>129.73478399999996</v>
      </c>
      <c r="DQ32" s="14">
        <f t="shared" si="43"/>
        <v>33.935068419630994</v>
      </c>
      <c r="DR32" s="22">
        <f t="shared" si="16"/>
        <v>285.05832629752393</v>
      </c>
      <c r="DS32" s="62">
        <f t="shared" si="17"/>
        <v>577.16943740863508</v>
      </c>
      <c r="DT32" s="62">
        <f ca="1">AVERAGE(OFFSET($DS$3,0,0,'Données projet'!$E$14+1,1))-AVERAGE(OFFSET($H$3,0,0,'Données projet'!$E$14+1,1))</f>
        <v>431.38469096974364</v>
      </c>
      <c r="DU32" s="62">
        <f t="shared" si="44"/>
        <v>295.48627059086647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0.15280125730952107</v>
      </c>
      <c r="ED32" s="24">
        <f t="shared" si="18"/>
        <v>0.15280125730952107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3.6</v>
      </c>
      <c r="EJ32" s="13">
        <f>IF('Données projet'!$A$192&gt;35,EJ31+EI32-ER31,IF(A32&lt;'Données projet'!$A$192,$EG$205^A32,IF(A32='Données projet'!$A$192,'Données projet'!$B$192,EJ31+EI32-ER31)))</f>
        <v>50.400000000000006</v>
      </c>
      <c r="EK32" s="18">
        <f>EJ32*VLOOKUP('Données projet'!$B$15,Paramètres!$A$1:$I$89,3,0)*VLOOKUP('Données projet'!$B$15,Paramètres!$A$1:$I$89,5,0)</f>
        <v>57.395520000000005</v>
      </c>
      <c r="EL32" s="14">
        <f t="shared" si="45"/>
        <v>16.508083661670451</v>
      </c>
      <c r="EM32" s="22">
        <f t="shared" si="19"/>
        <v>128.71544304407607</v>
      </c>
      <c r="EN32" s="62">
        <f t="shared" si="20"/>
        <v>420.82655415518718</v>
      </c>
      <c r="EO32" s="62">
        <f ca="1">AVERAGE(OFFSET($EN$3,0,0,'Données projet'!$E$15+1,1))-AVERAGE(OFFSET($H$3,0,0,'Données projet'!$E$15+1,1))</f>
        <v>220.03635832253951</v>
      </c>
      <c r="EP32" s="62">
        <f t="shared" si="46"/>
        <v>136.30639155882233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8</v>
      </c>
      <c r="FE32" s="13">
        <f>IF('Données projet'!$A$218&gt;35,FE31+FD32-FM31,IF(A32&lt;'Données projet'!$A$218,$FB$205^A32,IF(A32='Données projet'!$A$218,'Données projet'!$B$218,FE31+FD32-FM31)))</f>
        <v>159</v>
      </c>
      <c r="FF32" s="18">
        <f>FE32*VLOOKUP('Données projet'!$B$16,Paramètres!$A$1:$I$89,3,0)*VLOOKUP('Données projet'!$B$16,Paramètres!$A$1:$I$89,5,0)</f>
        <v>166.18680000000001</v>
      </c>
      <c r="FG32" s="14">
        <f t="shared" si="47"/>
        <v>42.23486931344393</v>
      </c>
      <c r="FH32" s="22">
        <f t="shared" si="22"/>
        <v>363.00107405424819</v>
      </c>
      <c r="FI32" s="62">
        <f t="shared" si="23"/>
        <v>655.11218516535928</v>
      </c>
      <c r="FJ32" s="62">
        <f ca="1">AVERAGE(OFFSET($FI$3,0,0,'Données projet'!$E$16+1,1))-AVERAGE(OFFSET($H$3,0,0,'Données projet'!$E$16+1,1))</f>
        <v>641.62708445664862</v>
      </c>
      <c r="FK32" s="62">
        <f t="shared" si="48"/>
        <v>379.46845863546929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3.6</v>
      </c>
      <c r="FZ32" s="13">
        <f>IF('Données projet'!$A$244&gt;35,FZ31+FY32-GH31,IF(A32&lt;'Données projet'!$A$244,$FW$205^A32,IF(A32='Données projet'!$A$244,'Données projet'!$B$244,FZ31+FY32-GH31)))</f>
        <v>50.400000000000006</v>
      </c>
      <c r="GA32" s="18">
        <f>FZ32*VLOOKUP('Données projet'!$B$17,Paramètres!$A$1:$I$89,3,0)*VLOOKUP('Données projet'!$B$17,Paramètres!$A$1:$I$89,5,0)</f>
        <v>48.746880000000012</v>
      </c>
      <c r="GB32" s="14">
        <f t="shared" si="49"/>
        <v>14.2896594492068</v>
      </c>
      <c r="GC32" s="22">
        <f t="shared" si="25"/>
        <v>109.78863954070187</v>
      </c>
      <c r="GD32" s="62">
        <f t="shared" si="26"/>
        <v>401.89975065181301</v>
      </c>
      <c r="GE32" s="62">
        <f ca="1">AVERAGE(OFFSET($GD$3,0,0,'Données projet'!$E$17+1,1))-AVERAGE(OFFSET($H$3,0,0,'Données projet'!$E$17+1,1))</f>
        <v>181.39066880931728</v>
      </c>
      <c r="GF32" s="62">
        <f t="shared" si="50"/>
        <v>116.06078566855524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7.4</v>
      </c>
      <c r="GU32" s="13">
        <f>IF('Données projet'!$A$270&gt;35,GU31+GT32-HC31,IF(A32&lt;'Données projet'!$A$270,$GR$205^A32,IF(A32='Données projet'!$A$270,'Données projet'!$B$270,GU31+GT32-HC31)))</f>
        <v>85.600000000000023</v>
      </c>
      <c r="GV32" s="18">
        <f>GU32*VLOOKUP('Données projet'!$B$18,Paramètres!$A$1:$I$89,3,0)*VLOOKUP('Données projet'!$B$18,Paramètres!$A$1:$I$89,5,0)</f>
        <v>74.780160000000024</v>
      </c>
      <c r="GW32" s="14">
        <f t="shared" si="51"/>
        <v>20.85593761602691</v>
      </c>
      <c r="GX32" s="22">
        <f t="shared" si="28"/>
        <v>166.56620334791356</v>
      </c>
      <c r="GY32" s="62">
        <f t="shared" si="29"/>
        <v>458.67731445902473</v>
      </c>
      <c r="GZ32" s="62">
        <f ca="1">AVERAGE(OFFSET($GY$3,0,0,'Données projet'!$E$18+1,1))-AVERAGE(OFFSET($H$3,0,0,'Données projet'!$E$18+1,1))</f>
        <v>152.84277478695606</v>
      </c>
      <c r="HA32" s="62">
        <f t="shared" si="52"/>
        <v>179.22995976651015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9">
        <f t="shared" si="1"/>
        <v>294.68994575680784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106.47</v>
      </c>
      <c r="P33" s="14">
        <f t="shared" si="33"/>
        <v>28.49771681771891</v>
      </c>
      <c r="Q33" s="22">
        <f t="shared" si="2"/>
        <v>235.06877345752704</v>
      </c>
      <c r="R33" s="62">
        <f t="shared" si="0"/>
        <v>528.40210679086033</v>
      </c>
      <c r="S33" s="62">
        <f ca="1">AVERAGE(OFFSET($R$3,0,0,'Données projet'!$E$9+1,1))-AVERAGE(OFFSET($H$3,0,0,'Données projet'!$E$9+1,1))</f>
        <v>383.26814640166805</v>
      </c>
      <c r="T33" s="62">
        <f t="shared" si="34"/>
        <v>233.71216103405249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3.6</v>
      </c>
      <c r="AH33" s="13">
        <f t="array" ref="AH33">INDEX(AG:AG,MIN(IF(ISNUMBER(AG33:AG229),ROW(AG33:AG229),"")))</f>
        <v>3.6</v>
      </c>
      <c r="AI33" s="14">
        <f>IF('Données projet'!$A$62&gt;35,AI32+AH33-AQ32,IF(A33&lt;'Données projet'!$A$62,$AF$205^A33,IF(A33='Données projet'!$A$62,'Données projet'!$B$62,AI32+AH33-AQ32)))</f>
        <v>54.000000000000007</v>
      </c>
      <c r="AJ33" s="14">
        <f>AI33*VLOOKUP('Données projet'!$B$10,Paramètres!$A$1:$I$89,3,0)*VLOOKUP('Données projet'!$B$10,Paramètres!$A$1:$I$89,5,0)</f>
        <v>58.125600000000013</v>
      </c>
      <c r="AK33" s="14">
        <f t="shared" si="35"/>
        <v>16.693490054590175</v>
      </c>
      <c r="AL33" s="22">
        <f t="shared" si="4"/>
        <v>130.30991517841125</v>
      </c>
      <c r="AM33" s="62">
        <f t="shared" si="5"/>
        <v>423.64324851174456</v>
      </c>
      <c r="AN33" s="62">
        <f ca="1">AVERAGE(OFFSET($AM$3,0,0,'Données projet'!$E$10+1,1))-AVERAGE(OFFSET($H$3,0,0,'Données projet'!$E$10+1,1))</f>
        <v>205.99910063756408</v>
      </c>
      <c r="AO33" s="62">
        <f t="shared" si="36"/>
        <v>128.95330275493671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14.298901098901101</v>
      </c>
      <c r="BD33" s="13">
        <f>IF('Données projet'!$A$88&gt;35,BD32+BC33-BL32,IF(A33&lt;'Données projet'!$A$88,$BA$205^A33,IF(A33='Données projet'!$A$88,'Données projet'!$B$88,BD32+BC33-BL32)))</f>
        <v>176.78351648351651</v>
      </c>
      <c r="BE33" s="14">
        <f>BD33*VLOOKUP('Données projet'!$B$11,Paramètres!$A$1:$I$89,3,0)*VLOOKUP('Données projet'!$B$11,Paramètres!$A$1:$I$89,5,0)</f>
        <v>105.71654285714287</v>
      </c>
      <c r="BF33" s="14">
        <f t="shared" si="37"/>
        <v>28.319447591123378</v>
      </c>
      <c r="BG33" s="22">
        <f t="shared" si="7"/>
        <v>233.44601669739703</v>
      </c>
      <c r="BH33" s="62">
        <f t="shared" si="8"/>
        <v>526.77935003073037</v>
      </c>
      <c r="BI33" s="62">
        <f ca="1">AVERAGE(OFFSET($BH$3,0,0,'Données projet'!$E$11+1,1))-AVERAGE(OFFSET($H$3,0,0,'Données projet'!$E$11+1,1))</f>
        <v>222.20580087523689</v>
      </c>
      <c r="BJ33" s="62">
        <f t="shared" si="38"/>
        <v>232.08940427392253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10.008304365563527</v>
      </c>
      <c r="BQ33" s="23">
        <f>EXP(-LN(2)/25)*BQ32+(1-EXP(-LN(2)/25))/(LN(2)/25)*Calculateur!BL33*Calculateur!BN33*VLOOKUP('Données projet'!$B$11,Paramètres!$A$1:$I$89,3,0)*0.475*44/12</f>
        <v>16.436037444215632</v>
      </c>
      <c r="BR33" s="23">
        <f>EXP(-LN(2)/2)*BR32+(1-EXP(-LN(2)/2))/(LN(2)/2)*BL33*BO33*VLOOKUP('Données projet'!$B$11,Paramètres!$A$1:$I$89,3,0)*0.475*44/12</f>
        <v>6.3399609459238393</v>
      </c>
      <c r="BS33" s="24">
        <f t="shared" si="9"/>
        <v>32.784302755703003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103.27692307692307</v>
      </c>
      <c r="BW33" s="13">
        <f>VLOOKUP(A33,'Données projet'!$A$113:$I$133,9,0)</f>
        <v>3.4425641025641025</v>
      </c>
      <c r="BX33" s="13">
        <f t="array" ref="BX33">INDEX(BW:BW,MIN(IF(ISNUMBER(BW33:BW229),ROW(BW33:BW229),"")))</f>
        <v>3.4425641025641025</v>
      </c>
      <c r="BY33" s="13">
        <f>IF('Données projet'!$A$114&gt;35,BY32+BX33-CG32,IF(A33&lt;'Données projet'!$A$114,$BV$205^A33,IF(A33='Données projet'!$A$114,'Données projet'!$B$114,BY32+BX33-CG32)))</f>
        <v>103.27692307692307</v>
      </c>
      <c r="BZ33" s="14">
        <f>BY33*VLOOKUP('Données projet'!$B$12,Paramètres!$A$1:$I$89,3,0)*VLOOKUP('Données projet'!$B$12,Paramètres!$A$1:$I$89,5,0)</f>
        <v>48.333599999999997</v>
      </c>
      <c r="CA33" s="14">
        <f t="shared" si="39"/>
        <v>14.182559301951969</v>
      </c>
      <c r="CB33" s="22">
        <f t="shared" si="10"/>
        <v>108.88231078423301</v>
      </c>
      <c r="CC33" s="62">
        <f t="shared" si="11"/>
        <v>402.21564411756634</v>
      </c>
      <c r="CD33" s="62">
        <f ca="1">AVERAGE(OFFSET($CC$3,0,0,'Données projet'!$E$12+1,1))-AVERAGE(OFFSET($H$3,0,0,'Données projet'!$E$12+1,1))</f>
        <v>179.14256291235466</v>
      </c>
      <c r="CE33" s="62">
        <f t="shared" si="40"/>
        <v>107.5256983607585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12.97179487179487</v>
      </c>
      <c r="CT33" s="13">
        <f>IF('Données projet'!$A$140&gt;35,CT32+CS33-DB32,IF(A33&lt;'Données projet'!$A$140,$CQ$205^A33,IF(A33='Données projet'!$A$140,'Données projet'!$B$140,CT32+CS33-DB32)))</f>
        <v>144.98461538461538</v>
      </c>
      <c r="CU33" s="18">
        <f>CT33*VLOOKUP('Données projet'!$B$13,Paramètres!$A$1:$I$89,3,0)*VLOOKUP('Données projet'!$B$13,Paramètres!$A$1:$I$89,5,0)</f>
        <v>86.700800000000001</v>
      </c>
      <c r="CV33" s="14">
        <f t="shared" si="41"/>
        <v>23.767816195343574</v>
      </c>
      <c r="CW33" s="22">
        <f t="shared" si="13"/>
        <v>192.39950654022337</v>
      </c>
      <c r="CX33" s="62">
        <f t="shared" si="14"/>
        <v>485.73283987355671</v>
      </c>
      <c r="CY33" s="62">
        <f ca="1">AVERAGE(OFFSET($CX$3,0,0,'Données projet'!$E$13+1,1))-AVERAGE(OFFSET($H$3,0,0,'Données projet'!$E$13+1,1))</f>
        <v>237.03649693529445</v>
      </c>
      <c r="CZ33" s="62">
        <f t="shared" si="42"/>
        <v>191.04289411674887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5.2628693772454289</v>
      </c>
      <c r="DI33" s="24">
        <f t="shared" si="15"/>
        <v>5.2628693772454289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117.39</v>
      </c>
      <c r="DM33" s="13">
        <f>VLOOKUP(A33,'Données projet'!$A$165:$I$185,9,0)</f>
        <v>4.7730000000000006</v>
      </c>
      <c r="DN33" s="13">
        <f t="array" ref="DN33">INDEX(DM:DM,MIN(IF(ISNUMBER(DM33:DM229),ROW(DM33:DM229),"")))</f>
        <v>4.7730000000000006</v>
      </c>
      <c r="DO33" s="13">
        <f>IF('Données projet'!$A$166&gt;35,DO32+DN33-DW32,IF(A33&lt;'Données projet'!$A$166,$DL$205^A33,IF(A33='Données projet'!$A$166,'Données projet'!$B$166,DO32+DN33-DW32)))</f>
        <v>117.38999999999999</v>
      </c>
      <c r="DP33" s="18">
        <f>DO33*VLOOKUP('Données projet'!$B$14,Paramètres!$A$1:$I$89,3,0)*VLOOKUP('Données projet'!$B$14,Paramètres!$A$1:$I$89,5,0)</f>
        <v>135.23327999999998</v>
      </c>
      <c r="DQ33" s="14">
        <f t="shared" si="43"/>
        <v>35.202825080004438</v>
      </c>
      <c r="DR33" s="22">
        <f t="shared" si="16"/>
        <v>296.842883014341</v>
      </c>
      <c r="DS33" s="62">
        <f t="shared" si="17"/>
        <v>590.17621634767431</v>
      </c>
      <c r="DT33" s="62">
        <f ca="1">AVERAGE(OFFSET($DS$3,0,0,'Données projet'!$E$14+1,1))-AVERAGE(OFFSET($H$3,0,0,'Données projet'!$E$14+1,1))</f>
        <v>431.38469096974364</v>
      </c>
      <c r="DU33" s="62">
        <f t="shared" si="44"/>
        <v>295.48627059086647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13.2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9.0000000000000011E-2</v>
      </c>
      <c r="DZ33" s="17">
        <f>IF(ISNA(VLOOKUP(A33,'Données projet'!$A$165:$I$185,7,0)),0%,VLOOKUP(A33,'Données projet'!$A$165:$I$185,7,0))</f>
        <v>0.4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0.9795261363717862</v>
      </c>
      <c r="EC33" s="23">
        <f>EXP(-LN(2)/2)*EC32+(1-EXP(-LN(2)/2))/(LN(2)/2)*DW33*DZ33*VLOOKUP('Données projet'!$B$14,Paramètres!$A$1:$I$89,3,0)*0.475*44/12</f>
        <v>3.8384352005237901</v>
      </c>
      <c r="ED33" s="24">
        <f t="shared" si="18"/>
        <v>4.8179613368955767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54</v>
      </c>
      <c r="EH33" s="13">
        <f>VLOOKUP(A33,'Données projet'!$A$191:$I$211,9,0)</f>
        <v>3.6</v>
      </c>
      <c r="EI33" s="13">
        <f t="array" ref="EI33">INDEX(EH:EH,MIN(IF(ISNUMBER(EH33:EH229),ROW(EH33:EH229),"")))</f>
        <v>3.6</v>
      </c>
      <c r="EJ33" s="13">
        <f>IF('Données projet'!$A$192&gt;35,EJ32+EI33-ER32,IF(A33&lt;'Données projet'!$A$192,$EG$205^A33,IF(A33='Données projet'!$A$192,'Données projet'!$B$192,EJ32+EI33-ER32)))</f>
        <v>54.000000000000007</v>
      </c>
      <c r="EK33" s="18">
        <f>EJ33*VLOOKUP('Données projet'!$B$15,Paramètres!$A$1:$I$89,3,0)*VLOOKUP('Données projet'!$B$15,Paramètres!$A$1:$I$89,5,0)</f>
        <v>61.495200000000004</v>
      </c>
      <c r="EL33" s="14">
        <f t="shared" si="45"/>
        <v>17.545759224285259</v>
      </c>
      <c r="EM33" s="22">
        <f t="shared" si="19"/>
        <v>137.66300398229683</v>
      </c>
      <c r="EN33" s="62">
        <f t="shared" si="20"/>
        <v>430.99633731563017</v>
      </c>
      <c r="EO33" s="62">
        <f ca="1">AVERAGE(OFFSET($EN$3,0,0,'Données projet'!$E$15+1,1))-AVERAGE(OFFSET($H$3,0,0,'Données projet'!$E$15+1,1))</f>
        <v>220.03635832253951</v>
      </c>
      <c r="EP33" s="62">
        <f t="shared" si="46"/>
        <v>136.30639155882233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167</v>
      </c>
      <c r="FC33" s="13">
        <f>VLOOKUP(A33,'Données projet'!$A$217:$I$237,9,0)</f>
        <v>8</v>
      </c>
      <c r="FD33" s="13">
        <f t="array" ref="FD33">INDEX(FC:FC,MIN(IF(ISNUMBER(FC33:FC229),ROW(FC33:FC229),"")))</f>
        <v>8</v>
      </c>
      <c r="FE33" s="13">
        <f>IF('Données projet'!$A$218&gt;35,FE32+FD33-FM32,IF(A33&lt;'Données projet'!$A$218,$FB$205^A33,IF(A33='Données projet'!$A$218,'Données projet'!$B$218,FE32+FD33-FM32)))</f>
        <v>167</v>
      </c>
      <c r="FF33" s="18">
        <f>FE33*VLOOKUP('Données projet'!$B$16,Paramètres!$A$1:$I$89,3,0)*VLOOKUP('Données projet'!$B$16,Paramètres!$A$1:$I$89,5,0)</f>
        <v>174.54840000000002</v>
      </c>
      <c r="FG33" s="14">
        <f t="shared" si="47"/>
        <v>44.107143191738089</v>
      </c>
      <c r="FH33" s="22">
        <f t="shared" si="22"/>
        <v>380.82507105894382</v>
      </c>
      <c r="FI33" s="62">
        <f t="shared" si="23"/>
        <v>674.15840439227713</v>
      </c>
      <c r="FJ33" s="62">
        <f ca="1">AVERAGE(OFFSET($FI$3,0,0,'Données projet'!$E$16+1,1))-AVERAGE(OFFSET($H$3,0,0,'Données projet'!$E$16+1,1))</f>
        <v>641.62708445664862</v>
      </c>
      <c r="FK33" s="62">
        <f t="shared" si="48"/>
        <v>379.46845863546929</v>
      </c>
      <c r="FL33" s="16">
        <f>IF(ISNA(VLOOKUP(A33,'Données projet'!$A$217:$I$237,3,0)),0,VLOOKUP(A33,'Données projet'!$A$217:$I$237,3,0))</f>
        <v>1</v>
      </c>
      <c r="FM33" s="16">
        <f>IF(ISNA(VLOOKUP(A33,'Données projet'!$A$217:$I$237,4,0)),0,VLOOKUP(A33,'Données projet'!$A$217:$I$237,4,0))</f>
        <v>44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0.5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21.69583528520214</v>
      </c>
      <c r="FT33" s="24">
        <f t="shared" si="24"/>
        <v>21.69583528520214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54</v>
      </c>
      <c r="FX33" s="13">
        <f>VLOOKUP(A33,'Données projet'!$A$243:$I$263,9,0)</f>
        <v>3.6</v>
      </c>
      <c r="FY33" s="13">
        <f t="array" ref="FY33">INDEX(FX:FX,MIN(IF(ISNUMBER(FX33:FX229),ROW(FX33:FX229),"")))</f>
        <v>3.6</v>
      </c>
      <c r="FZ33" s="13">
        <f>IF('Données projet'!$A$244&gt;35,FZ32+FY33-GH32,IF(A33&lt;'Données projet'!$A$244,$FW$205^A33,IF(A33='Données projet'!$A$244,'Données projet'!$B$244,FZ32+FY33-GH32)))</f>
        <v>54.000000000000007</v>
      </c>
      <c r="GA33" s="18">
        <f>FZ33*VLOOKUP('Données projet'!$B$17,Paramètres!$A$1:$I$89,3,0)*VLOOKUP('Données projet'!$B$17,Paramètres!$A$1:$I$89,5,0)</f>
        <v>52.228800000000007</v>
      </c>
      <c r="GB33" s="14">
        <f t="shared" si="49"/>
        <v>15.18788789973001</v>
      </c>
      <c r="GC33" s="22">
        <f t="shared" si="25"/>
        <v>117.41739809202979</v>
      </c>
      <c r="GD33" s="62">
        <f t="shared" si="26"/>
        <v>410.75073142536309</v>
      </c>
      <c r="GE33" s="62">
        <f ca="1">AVERAGE(OFFSET($GD$3,0,0,'Données projet'!$E$17+1,1))-AVERAGE(OFFSET($H$3,0,0,'Données projet'!$E$17+1,1))</f>
        <v>181.39066880931728</v>
      </c>
      <c r="GF33" s="62">
        <f t="shared" si="50"/>
        <v>116.06078566855524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93</v>
      </c>
      <c r="GS33" s="13">
        <f>VLOOKUP(A33,'Données projet'!$A$269:$I$289,9,0)</f>
        <v>7.4</v>
      </c>
      <c r="GT33" s="13">
        <f t="array" ref="GT33">INDEX(GS:GS,MIN(IF(ISNUMBER(GS33:GS229),ROW(GS33:GS229),"")))</f>
        <v>7.4</v>
      </c>
      <c r="GU33" s="13">
        <f>IF('Données projet'!$A$270&gt;35,GU32+GT33-HC32,IF(A33&lt;'Données projet'!$A$270,$GR$205^A33,IF(A33='Données projet'!$A$270,'Données projet'!$B$270,GU32+GT33-HC32)))</f>
        <v>93.000000000000028</v>
      </c>
      <c r="GV33" s="18">
        <f>GU33*VLOOKUP('Données projet'!$B$18,Paramètres!$A$1:$I$89,3,0)*VLOOKUP('Données projet'!$B$18,Paramètres!$A$1:$I$89,5,0)</f>
        <v>81.244800000000026</v>
      </c>
      <c r="GW33" s="14">
        <f t="shared" si="51"/>
        <v>22.441270156928962</v>
      </c>
      <c r="GX33" s="22">
        <f t="shared" si="28"/>
        <v>180.58657218998465</v>
      </c>
      <c r="GY33" s="62">
        <f t="shared" si="29"/>
        <v>473.91990552331799</v>
      </c>
      <c r="GZ33" s="62">
        <f ca="1">AVERAGE(OFFSET($GY$3,0,0,'Données projet'!$E$18+1,1))-AVERAGE(OFFSET($H$3,0,0,'Données projet'!$E$18+1,1))</f>
        <v>152.84277478695606</v>
      </c>
      <c r="HA33" s="62">
        <f t="shared" si="52"/>
        <v>179.22995976651015</v>
      </c>
      <c r="HB33" s="16">
        <f>IF(ISNA(VLOOKUP(A33,'Données projet'!$A$269:$I$289,3,0)),0,VLOOKUP(A33,'Données projet'!$A$269:$I$289,3,0))</f>
        <v>1</v>
      </c>
      <c r="HC33" s="16">
        <f>IF(ISNA(VLOOKUP(A33,'Données projet'!$A$269:$I$289,4,0)),0,VLOOKUP(A33,'Données projet'!$A$269:$I$289,4,0))</f>
        <v>31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9">
        <f t="shared" si="1"/>
        <v>295.92001273712469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85.176000000000002</v>
      </c>
      <c r="P34" s="14">
        <f t="shared" si="33"/>
        <v>23.398088487656441</v>
      </c>
      <c r="Q34" s="22">
        <f t="shared" si="2"/>
        <v>189.09987078266829</v>
      </c>
      <c r="R34" s="62">
        <f t="shared" si="0"/>
        <v>482.4332041160016</v>
      </c>
      <c r="S34" s="62">
        <f ca="1">AVERAGE(OFFSET($R$3,0,0,'Données projet'!$E$9+1,1))-AVERAGE(OFFSET($H$3,0,0,'Données projet'!$E$9+1,1))</f>
        <v>383.26814640166805</v>
      </c>
      <c r="T34" s="62">
        <f t="shared" si="34"/>
        <v>233.71216103405249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3.6</v>
      </c>
      <c r="AI34" s="14">
        <f>IF('Données projet'!$A$62&gt;35,AI33+AH34-AQ33,IF(A34&lt;'Données projet'!$A$62,$AF$205^A34,IF(A34='Données projet'!$A$62,'Données projet'!$B$62,AI33+AH34-AQ33)))</f>
        <v>57.600000000000009</v>
      </c>
      <c r="AJ34" s="14">
        <f>AI34*VLOOKUP('Données projet'!$B$10,Paramètres!$A$1:$I$89,3,0)*VLOOKUP('Données projet'!$B$10,Paramètres!$A$1:$I$89,5,0)</f>
        <v>62.000640000000004</v>
      </c>
      <c r="AK34" s="14">
        <f t="shared" si="35"/>
        <v>17.6731239306392</v>
      </c>
      <c r="AL34" s="22">
        <f t="shared" si="4"/>
        <v>138.76513884586331</v>
      </c>
      <c r="AM34" s="62">
        <f t="shared" si="5"/>
        <v>432.09847217919662</v>
      </c>
      <c r="AN34" s="62">
        <f ca="1">AVERAGE(OFFSET($AM$3,0,0,'Données projet'!$E$10+1,1))-AVERAGE(OFFSET($H$3,0,0,'Données projet'!$E$10+1,1))</f>
        <v>205.99910063756408</v>
      </c>
      <c r="AO34" s="62">
        <f t="shared" si="36"/>
        <v>128.95330275493671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14.298901098901101</v>
      </c>
      <c r="BD34" s="13">
        <f>IF('Données projet'!$A$88&gt;35,BD33+BC34-BL33,IF(A34&lt;'Données projet'!$A$88,$BA$205^A34,IF(A34='Données projet'!$A$88,'Données projet'!$B$88,BD33+BC34-BL33)))</f>
        <v>191.08241758241761</v>
      </c>
      <c r="BE34" s="14">
        <f>BD34*VLOOKUP('Données projet'!$B$11,Paramètres!$A$1:$I$89,3,0)*VLOOKUP('Données projet'!$B$11,Paramètres!$A$1:$I$89,5,0)</f>
        <v>114.26728571428573</v>
      </c>
      <c r="BF34" s="14">
        <f t="shared" si="37"/>
        <v>30.334152496808123</v>
      </c>
      <c r="BG34" s="22">
        <f t="shared" si="7"/>
        <v>251.84750488432181</v>
      </c>
      <c r="BH34" s="62">
        <f t="shared" si="8"/>
        <v>545.18083821765515</v>
      </c>
      <c r="BI34" s="62">
        <f ca="1">AVERAGE(OFFSET($BH$3,0,0,'Données projet'!$E$11+1,1))-AVERAGE(OFFSET($H$3,0,0,'Données projet'!$E$11+1,1))</f>
        <v>222.20580087523689</v>
      </c>
      <c r="BJ34" s="62">
        <f t="shared" si="38"/>
        <v>232.08940427392253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9.8120476214177241</v>
      </c>
      <c r="BQ34" s="23">
        <f>EXP(-LN(2)/25)*BQ33+(1-EXP(-LN(2)/25))/(LN(2)/25)*Calculateur!BL34*Calculateur!BN34*VLOOKUP('Données projet'!$B$11,Paramètres!$A$1:$I$89,3,0)*0.475*44/12</f>
        <v>15.986593135969912</v>
      </c>
      <c r="BR34" s="23">
        <f>EXP(-LN(2)/2)*BR33+(1-EXP(-LN(2)/2))/(LN(2)/2)*BL34*BO34*VLOOKUP('Données projet'!$B$11,Paramètres!$A$1:$I$89,3,0)*0.475*44/12</f>
        <v>4.4830293773206256</v>
      </c>
      <c r="BS34" s="24">
        <f t="shared" si="9"/>
        <v>30.281670134708264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10.407692307692306</v>
      </c>
      <c r="BY34" s="13">
        <f>IF('Données projet'!$A$114&gt;35,BY33+BX34-CG33,IF(A34&lt;'Données projet'!$A$114,$BV$205^A34,IF(A34='Données projet'!$A$114,'Données projet'!$B$114,BY33+BX34-CG33)))</f>
        <v>113.68461538461537</v>
      </c>
      <c r="BZ34" s="14">
        <f>BY34*VLOOKUP('Données projet'!$B$12,Paramètres!$A$1:$I$89,3,0)*VLOOKUP('Données projet'!$B$12,Paramètres!$A$1:$I$89,5,0)</f>
        <v>53.204399999999993</v>
      </c>
      <c r="CA34" s="14">
        <f t="shared" si="39"/>
        <v>15.43829445428918</v>
      </c>
      <c r="CB34" s="22">
        <f t="shared" si="10"/>
        <v>119.55269284122029</v>
      </c>
      <c r="CC34" s="62">
        <f t="shared" si="11"/>
        <v>412.88602617455359</v>
      </c>
      <c r="CD34" s="62">
        <f ca="1">AVERAGE(OFFSET($CC$3,0,0,'Données projet'!$E$12+1,1))-AVERAGE(OFFSET($H$3,0,0,'Données projet'!$E$12+1,1))</f>
        <v>179.14256291235466</v>
      </c>
      <c r="CE34" s="62">
        <f t="shared" si="40"/>
        <v>107.5256983607585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12.97179487179487</v>
      </c>
      <c r="CT34" s="13">
        <f>IF('Données projet'!$A$140&gt;35,CT33+CS34-DB33,IF(A34&lt;'Données projet'!$A$140,$CQ$205^A34,IF(A34='Données projet'!$A$140,'Données projet'!$B$140,CT33+CS34-DB33)))</f>
        <v>157.95641025641027</v>
      </c>
      <c r="CU34" s="18">
        <f>CT34*VLOOKUP('Données projet'!$B$13,Paramètres!$A$1:$I$89,3,0)*VLOOKUP('Données projet'!$B$13,Paramètres!$A$1:$I$89,5,0)</f>
        <v>94.457933333333344</v>
      </c>
      <c r="CV34" s="14">
        <f t="shared" si="41"/>
        <v>25.637327417415943</v>
      </c>
      <c r="CW34" s="22">
        <f t="shared" si="13"/>
        <v>209.16591247422164</v>
      </c>
      <c r="CX34" s="62">
        <f t="shared" si="14"/>
        <v>502.49924580755498</v>
      </c>
      <c r="CY34" s="62">
        <f ca="1">AVERAGE(OFFSET($CX$3,0,0,'Données projet'!$E$13+1,1))-AVERAGE(OFFSET($H$3,0,0,'Données projet'!$E$13+1,1))</f>
        <v>237.03649693529445</v>
      </c>
      <c r="CZ34" s="62">
        <f t="shared" si="42"/>
        <v>191.04289411674887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3.7214106251492653</v>
      </c>
      <c r="DI34" s="24">
        <f t="shared" si="15"/>
        <v>3.7214106251492653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4.6210000000000004</v>
      </c>
      <c r="DO34" s="13">
        <f>IF('Données projet'!$A$166&gt;35,DO33+DN34-DW33,IF(A34&lt;'Données projet'!$A$166,$DL$205^A34,IF(A34='Données projet'!$A$166,'Données projet'!$B$166,DO33+DN34-DW33)))</f>
        <v>108.81099999999998</v>
      </c>
      <c r="DP34" s="18">
        <f>DO34*VLOOKUP('Données projet'!$B$14,Paramètres!$A$1:$I$89,3,0)*VLOOKUP('Données projet'!$B$14,Paramètres!$A$1:$I$89,5,0)</f>
        <v>125.35027199999996</v>
      </c>
      <c r="DQ34" s="14">
        <f t="shared" si="43"/>
        <v>32.919676811278819</v>
      </c>
      <c r="DR34" s="22">
        <f t="shared" si="16"/>
        <v>275.65349417964381</v>
      </c>
      <c r="DS34" s="62">
        <f t="shared" si="17"/>
        <v>568.98682751297713</v>
      </c>
      <c r="DT34" s="62">
        <f ca="1">AVERAGE(OFFSET($DS$3,0,0,'Données projet'!$E$14+1,1))-AVERAGE(OFFSET($H$3,0,0,'Données projet'!$E$14+1,1))</f>
        <v>431.38469096974364</v>
      </c>
      <c r="DU34" s="62">
        <f t="shared" si="44"/>
        <v>295.48627059086647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0.95274094266165898</v>
      </c>
      <c r="EC34" s="23">
        <f>EXP(-LN(2)/2)*EC33+(1-EXP(-LN(2)/2))/(LN(2)/2)*DW34*DZ34*VLOOKUP('Données projet'!$B$14,Paramètres!$A$1:$I$89,3,0)*0.475*44/12</f>
        <v>2.7141835594355173</v>
      </c>
      <c r="ED34" s="24">
        <f t="shared" si="18"/>
        <v>3.6669245020971761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3.6</v>
      </c>
      <c r="EJ34" s="13">
        <f>IF('Données projet'!$A$192&gt;35,EJ33+EI34-ER33,IF(A34&lt;'Données projet'!$A$192,$EG$205^A34,IF(A34='Données projet'!$A$192,'Données projet'!$B$192,EJ33+EI34-ER33)))</f>
        <v>57.600000000000009</v>
      </c>
      <c r="EK34" s="18">
        <f>EJ34*VLOOKUP('Données projet'!$B$15,Paramètres!$A$1:$I$89,3,0)*VLOOKUP('Données projet'!$B$15,Paramètres!$A$1:$I$89,5,0)</f>
        <v>65.594880000000003</v>
      </c>
      <c r="EL34" s="14">
        <f t="shared" si="45"/>
        <v>18.575407312306456</v>
      </c>
      <c r="EM34" s="22">
        <f t="shared" si="19"/>
        <v>146.5965837356004</v>
      </c>
      <c r="EN34" s="62">
        <f t="shared" si="20"/>
        <v>439.92991706893372</v>
      </c>
      <c r="EO34" s="62">
        <f ca="1">AVERAGE(OFFSET($EN$3,0,0,'Données projet'!$E$15+1,1))-AVERAGE(OFFSET($H$3,0,0,'Données projet'!$E$15+1,1))</f>
        <v>220.03635832253951</v>
      </c>
      <c r="EP34" s="62">
        <f t="shared" si="46"/>
        <v>136.30639155882233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16.399999999999999</v>
      </c>
      <c r="FE34" s="13">
        <f>IF('Données projet'!$A$218&gt;35,FE33+FD34-FM33,IF(A34&lt;'Données projet'!$A$218,$FB$205^A34,IF(A34='Données projet'!$A$218,'Données projet'!$B$218,FE33+FD34-FM33)))</f>
        <v>139.4</v>
      </c>
      <c r="FF34" s="18">
        <f>FE34*VLOOKUP('Données projet'!$B$16,Paramètres!$A$1:$I$89,3,0)*VLOOKUP('Données projet'!$B$16,Paramètres!$A$1:$I$89,5,0)</f>
        <v>145.70088000000001</v>
      </c>
      <c r="FG34" s="14">
        <f t="shared" si="47"/>
        <v>37.599947846834802</v>
      </c>
      <c r="FH34" s="22">
        <f t="shared" si="22"/>
        <v>319.24894183323727</v>
      </c>
      <c r="FI34" s="62">
        <f t="shared" si="23"/>
        <v>612.58227516657053</v>
      </c>
      <c r="FJ34" s="62">
        <f ca="1">AVERAGE(OFFSET($FI$3,0,0,'Données projet'!$E$16+1,1))-AVERAGE(OFFSET($H$3,0,0,'Données projet'!$E$16+1,1))</f>
        <v>641.62708445664862</v>
      </c>
      <c r="FK34" s="62">
        <f t="shared" si="48"/>
        <v>379.46845863546929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15.341272253672807</v>
      </c>
      <c r="FT34" s="24">
        <f t="shared" si="24"/>
        <v>15.341272253672807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3.6</v>
      </c>
      <c r="FZ34" s="13">
        <f>IF('Données projet'!$A$244&gt;35,FZ33+FY34-GH33,IF(A34&lt;'Données projet'!$A$244,$FW$205^A34,IF(A34='Données projet'!$A$244,'Données projet'!$B$244,FZ33+FY34-GH33)))</f>
        <v>57.600000000000009</v>
      </c>
      <c r="GA34" s="18">
        <f>FZ34*VLOOKUP('Données projet'!$B$17,Paramètres!$A$1:$I$89,3,0)*VLOOKUP('Données projet'!$B$17,Paramètres!$A$1:$I$89,5,0)</f>
        <v>55.710720000000009</v>
      </c>
      <c r="GB34" s="14">
        <f t="shared" si="49"/>
        <v>16.079167640728176</v>
      </c>
      <c r="GC34" s="22">
        <f t="shared" si="25"/>
        <v>125.03405430760159</v>
      </c>
      <c r="GD34" s="62">
        <f t="shared" si="26"/>
        <v>418.36738764093491</v>
      </c>
      <c r="GE34" s="62">
        <f ca="1">AVERAGE(OFFSET($GD$3,0,0,'Données projet'!$E$17+1,1))-AVERAGE(OFFSET($H$3,0,0,'Données projet'!$E$17+1,1))</f>
        <v>181.39066880931728</v>
      </c>
      <c r="GF34" s="62">
        <f t="shared" si="50"/>
        <v>116.06078566855524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6.6</v>
      </c>
      <c r="GU34" s="13">
        <f>IF('Données projet'!$A$270&gt;35,GU33+GT34-HC33,IF(A34&lt;'Données projet'!$A$270,$GR$205^A34,IF(A34='Données projet'!$A$270,'Données projet'!$B$270,GU33+GT34-HC33)))</f>
        <v>68.600000000000023</v>
      </c>
      <c r="GV34" s="18">
        <f>GU34*VLOOKUP('Données projet'!$B$18,Paramètres!$A$1:$I$89,3,0)*VLOOKUP('Données projet'!$B$18,Paramètres!$A$1:$I$89,5,0)</f>
        <v>59.928960000000032</v>
      </c>
      <c r="GW34" s="14">
        <f t="shared" si="51"/>
        <v>17.150306633391647</v>
      </c>
      <c r="GX34" s="22">
        <f t="shared" si="28"/>
        <v>134.24638938649051</v>
      </c>
      <c r="GY34" s="62">
        <f t="shared" si="29"/>
        <v>427.57972271982385</v>
      </c>
      <c r="GZ34" s="62">
        <f ca="1">AVERAGE(OFFSET($GY$3,0,0,'Données projet'!$E$18+1,1))-AVERAGE(OFFSET($H$3,0,0,'Données projet'!$E$18+1,1))</f>
        <v>152.84277478695606</v>
      </c>
      <c r="HA34" s="62">
        <f t="shared" si="52"/>
        <v>179.22995976651015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9">
        <f t="shared" si="1"/>
        <v>297.14903345164504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93.288000000000011</v>
      </c>
      <c r="P35" s="14">
        <f t="shared" si="33"/>
        <v>25.356547829040977</v>
      </c>
      <c r="Q35" s="22">
        <f t="shared" ref="Q35:Q66" si="53">(O35+P35)*0.475*44/12</f>
        <v>206.63925413557971</v>
      </c>
      <c r="R35" s="62">
        <f t="shared" si="0"/>
        <v>499.97258746891305</v>
      </c>
      <c r="S35" s="62">
        <f ca="1">AVERAGE(OFFSET($R$3,0,0,'Données projet'!$E$9+1,1))-AVERAGE(OFFSET($H$3,0,0,'Données projet'!$E$9+1,1))</f>
        <v>383.26814640166805</v>
      </c>
      <c r="T35" s="62">
        <f t="shared" si="34"/>
        <v>233.71216103405249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3.6</v>
      </c>
      <c r="AI35" s="14">
        <f>IF('Données projet'!$A$62&gt;35,AI34+AH35-AQ34,IF(A35&lt;'Données projet'!$A$62,$AF$205^A35,IF(A35='Données projet'!$A$62,'Données projet'!$B$62,AI34+AH35-AQ34)))</f>
        <v>61.20000000000001</v>
      </c>
      <c r="AJ35" s="14">
        <f>AI35*VLOOKUP('Données projet'!$B$10,Paramètres!$A$1:$I$89,3,0)*VLOOKUP('Données projet'!$B$10,Paramètres!$A$1:$I$89,5,0)</f>
        <v>65.875680000000003</v>
      </c>
      <c r="AK35" s="14">
        <f t="shared" si="35"/>
        <v>18.64565194906039</v>
      </c>
      <c r="AL35" s="22">
        <f t="shared" si="4"/>
        <v>147.20798647794683</v>
      </c>
      <c r="AM35" s="62">
        <f t="shared" si="5"/>
        <v>440.54131981128012</v>
      </c>
      <c r="AN35" s="62">
        <f ca="1">AVERAGE(OFFSET($AM$3,0,0,'Données projet'!$E$10+1,1))-AVERAGE(OFFSET($H$3,0,0,'Données projet'!$E$10+1,1))</f>
        <v>205.99910063756408</v>
      </c>
      <c r="AO35" s="62">
        <f t="shared" si="36"/>
        <v>128.95330275493671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14.298901098901101</v>
      </c>
      <c r="BD35" s="13">
        <f>IF('Données projet'!$A$88&gt;35,BD34+BC35-BL34,IF(A35&lt;'Données projet'!$A$88,$BA$205^A35,IF(A35='Données projet'!$A$88,'Données projet'!$B$88,BD34+BC35-BL34)))</f>
        <v>205.3813186813187</v>
      </c>
      <c r="BE35" s="14">
        <f>BD35*VLOOKUP('Données projet'!$B$11,Paramètres!$A$1:$I$89,3,0)*VLOOKUP('Données projet'!$B$11,Paramètres!$A$1:$I$89,5,0)</f>
        <v>122.81802857142858</v>
      </c>
      <c r="BF35" s="14">
        <f t="shared" si="37"/>
        <v>32.331367630744694</v>
      </c>
      <c r="BG35" s="22">
        <f t="shared" si="7"/>
        <v>270.21853171878513</v>
      </c>
      <c r="BH35" s="62">
        <f t="shared" si="8"/>
        <v>563.5518650521185</v>
      </c>
      <c r="BI35" s="62">
        <f ca="1">AVERAGE(OFFSET($BH$3,0,0,'Données projet'!$E$11+1,1))-AVERAGE(OFFSET($H$3,0,0,'Données projet'!$E$11+1,1))</f>
        <v>222.20580087523689</v>
      </c>
      <c r="BJ35" s="62">
        <f t="shared" si="38"/>
        <v>232.08940427392253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9.619639352319826</v>
      </c>
      <c r="BQ35" s="23">
        <f>EXP(-LN(2)/25)*BQ34+(1-EXP(-LN(2)/25))/(LN(2)/25)*Calculateur!BL35*Calculateur!BN35*VLOOKUP('Données projet'!$B$11,Paramètres!$A$1:$I$89,3,0)*0.475*44/12</f>
        <v>15.549438905968419</v>
      </c>
      <c r="BR35" s="23">
        <f>EXP(-LN(2)/2)*BR34+(1-EXP(-LN(2)/2))/(LN(2)/2)*BL35*BO35*VLOOKUP('Données projet'!$B$11,Paramètres!$A$1:$I$89,3,0)*0.475*44/12</f>
        <v>3.1699804729619201</v>
      </c>
      <c r="BS35" s="24">
        <f t="shared" si="9"/>
        <v>28.339058731250166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10.407692307692306</v>
      </c>
      <c r="BY35" s="13">
        <f>IF('Données projet'!$A$114&gt;35,BY34+BX35-CG34,IF(A35&lt;'Données projet'!$A$114,$BV$205^A35,IF(A35='Données projet'!$A$114,'Données projet'!$B$114,BY34+BX35-CG34)))</f>
        <v>124.09230769230767</v>
      </c>
      <c r="BZ35" s="14">
        <f>BY35*VLOOKUP('Données projet'!$B$12,Paramètres!$A$1:$I$89,3,0)*VLOOKUP('Données projet'!$B$12,Paramètres!$A$1:$I$89,5,0)</f>
        <v>58.075199999999995</v>
      </c>
      <c r="CA35" s="14">
        <f t="shared" si="39"/>
        <v>16.680699544623803</v>
      </c>
      <c r="CB35" s="22">
        <f t="shared" si="10"/>
        <v>130.19985837355313</v>
      </c>
      <c r="CC35" s="62">
        <f t="shared" si="11"/>
        <v>423.53319170688644</v>
      </c>
      <c r="CD35" s="62">
        <f ca="1">AVERAGE(OFFSET($CC$3,0,0,'Données projet'!$E$12+1,1))-AVERAGE(OFFSET($H$3,0,0,'Données projet'!$E$12+1,1))</f>
        <v>179.14256291235466</v>
      </c>
      <c r="CE35" s="62">
        <f t="shared" si="40"/>
        <v>107.5256983607585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12.97179487179487</v>
      </c>
      <c r="CT35" s="13">
        <f>IF('Données projet'!$A$140&gt;35,CT34+CS35-DB34,IF(A35&lt;'Données projet'!$A$140,$CQ$205^A35,IF(A35='Données projet'!$A$140,'Données projet'!$B$140,CT34+CS35-DB34)))</f>
        <v>170.92820512820515</v>
      </c>
      <c r="CU35" s="18">
        <f>CT35*VLOOKUP('Données projet'!$B$13,Paramètres!$A$1:$I$89,3,0)*VLOOKUP('Données projet'!$B$13,Paramètres!$A$1:$I$89,5,0)</f>
        <v>102.21506666666667</v>
      </c>
      <c r="CV35" s="14">
        <f t="shared" si="41"/>
        <v>27.489031873505194</v>
      </c>
      <c r="CW35" s="22">
        <f t="shared" si="13"/>
        <v>225.90130495746598</v>
      </c>
      <c r="CX35" s="62">
        <f t="shared" si="14"/>
        <v>519.23463829079924</v>
      </c>
      <c r="CY35" s="62">
        <f ca="1">AVERAGE(OFFSET($CX$3,0,0,'Données projet'!$E$13+1,1))-AVERAGE(OFFSET($H$3,0,0,'Données projet'!$E$13+1,1))</f>
        <v>237.03649693529445</v>
      </c>
      <c r="CZ35" s="62">
        <f t="shared" si="42"/>
        <v>191.04289411674887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2.6314346886227149</v>
      </c>
      <c r="DI35" s="24">
        <f t="shared" si="15"/>
        <v>2.6314346886227149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4.6210000000000004</v>
      </c>
      <c r="DO35" s="13">
        <f>IF('Données projet'!$A$166&gt;35,DO34+DN35-DW34,IF(A35&lt;'Données projet'!$A$166,$DL$205^A35,IF(A35='Données projet'!$A$166,'Données projet'!$B$166,DO34+DN35-DW34)))</f>
        <v>113.43199999999997</v>
      </c>
      <c r="DP35" s="18">
        <f>DO35*VLOOKUP('Données projet'!$B$14,Paramètres!$A$1:$I$89,3,0)*VLOOKUP('Données projet'!$B$14,Paramètres!$A$1:$I$89,5,0)</f>
        <v>130.67366399999995</v>
      </c>
      <c r="DQ35" s="14">
        <f t="shared" si="43"/>
        <v>34.15197644642469</v>
      </c>
      <c r="DR35" s="22">
        <f t="shared" si="16"/>
        <v>287.07132377752293</v>
      </c>
      <c r="DS35" s="62">
        <f t="shared" si="17"/>
        <v>580.40465711085631</v>
      </c>
      <c r="DT35" s="62">
        <f ca="1">AVERAGE(OFFSET($DS$3,0,0,'Données projet'!$E$14+1,1))-AVERAGE(OFFSET($H$3,0,0,'Données projet'!$E$14+1,1))</f>
        <v>431.38469096974364</v>
      </c>
      <c r="DU35" s="62">
        <f t="shared" si="44"/>
        <v>295.48627059086647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0.92668819148210724</v>
      </c>
      <c r="EC35" s="23">
        <f>EXP(-LN(2)/2)*EC34+(1-EXP(-LN(2)/2))/(LN(2)/2)*DW35*DZ35*VLOOKUP('Données projet'!$B$14,Paramètres!$A$1:$I$89,3,0)*0.475*44/12</f>
        <v>1.919217600261895</v>
      </c>
      <c r="ED35" s="24">
        <f t="shared" si="18"/>
        <v>2.845905791744002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3.6</v>
      </c>
      <c r="EJ35" s="13">
        <f>IF('Données projet'!$A$192&gt;35,EJ34+EI35-ER34,IF(A35&lt;'Données projet'!$A$192,$EG$205^A35,IF(A35='Données projet'!$A$192,'Données projet'!$B$192,EJ34+EI35-ER34)))</f>
        <v>61.20000000000001</v>
      </c>
      <c r="EK35" s="18">
        <f>EJ35*VLOOKUP('Données projet'!$B$15,Paramètres!$A$1:$I$89,3,0)*VLOOKUP('Données projet'!$B$15,Paramètres!$A$1:$I$89,5,0)</f>
        <v>69.69456000000001</v>
      </c>
      <c r="EL35" s="14">
        <f t="shared" si="45"/>
        <v>19.597586760360084</v>
      </c>
      <c r="EM35" s="22">
        <f t="shared" si="19"/>
        <v>155.51715560762716</v>
      </c>
      <c r="EN35" s="62">
        <f t="shared" si="20"/>
        <v>448.85048894096047</v>
      </c>
      <c r="EO35" s="62">
        <f ca="1">AVERAGE(OFFSET($EN$3,0,0,'Données projet'!$E$15+1,1))-AVERAGE(OFFSET($H$3,0,0,'Données projet'!$E$15+1,1))</f>
        <v>220.03635832253951</v>
      </c>
      <c r="EP35" s="62">
        <f t="shared" si="46"/>
        <v>136.30639155882233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16.399999999999999</v>
      </c>
      <c r="FE35" s="13">
        <f>IF('Données projet'!$A$218&gt;35,FE34+FD35-FM34,IF(A35&lt;'Données projet'!$A$218,$FB$205^A35,IF(A35='Données projet'!$A$218,'Données projet'!$B$218,FE34+FD35-FM34)))</f>
        <v>155.80000000000001</v>
      </c>
      <c r="FF35" s="18">
        <f>FE35*VLOOKUP('Données projet'!$B$16,Paramètres!$A$1:$I$89,3,0)*VLOOKUP('Données projet'!$B$16,Paramètres!$A$1:$I$89,5,0)</f>
        <v>162.84216000000001</v>
      </c>
      <c r="FG35" s="14">
        <f t="shared" si="47"/>
        <v>41.482914120670323</v>
      </c>
      <c r="FH35" s="22">
        <f t="shared" si="22"/>
        <v>355.86617076016751</v>
      </c>
      <c r="FI35" s="62">
        <f t="shared" si="23"/>
        <v>649.19950409350076</v>
      </c>
      <c r="FJ35" s="62">
        <f ca="1">AVERAGE(OFFSET($FI$3,0,0,'Données projet'!$E$16+1,1))-AVERAGE(OFFSET($H$3,0,0,'Données projet'!$E$16+1,1))</f>
        <v>641.62708445664862</v>
      </c>
      <c r="FK35" s="62">
        <f t="shared" si="48"/>
        <v>379.46845863546929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10.847917642601072</v>
      </c>
      <c r="FT35" s="24">
        <f t="shared" si="24"/>
        <v>10.847917642601072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3.6</v>
      </c>
      <c r="FZ35" s="13">
        <f>IF('Données projet'!$A$244&gt;35,FZ34+FY35-GH34,IF(A35&lt;'Données projet'!$A$244,$FW$205^A35,IF(A35='Données projet'!$A$244,'Données projet'!$B$244,FZ34+FY35-GH34)))</f>
        <v>61.20000000000001</v>
      </c>
      <c r="GA35" s="18">
        <f>FZ35*VLOOKUP('Données projet'!$B$17,Paramètres!$A$1:$I$89,3,0)*VLOOKUP('Données projet'!$B$17,Paramètres!$A$1:$I$89,5,0)</f>
        <v>59.192640000000004</v>
      </c>
      <c r="GB35" s="14">
        <f t="shared" si="49"/>
        <v>16.963982408330725</v>
      </c>
      <c r="GC35" s="22">
        <f t="shared" si="25"/>
        <v>132.63945069450935</v>
      </c>
      <c r="GD35" s="62">
        <f t="shared" si="26"/>
        <v>425.97278402784264</v>
      </c>
      <c r="GE35" s="62">
        <f ca="1">AVERAGE(OFFSET($GD$3,0,0,'Données projet'!$E$17+1,1))-AVERAGE(OFFSET($H$3,0,0,'Données projet'!$E$17+1,1))</f>
        <v>181.39066880931728</v>
      </c>
      <c r="GF35" s="62">
        <f t="shared" si="50"/>
        <v>116.06078566855524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6.6</v>
      </c>
      <c r="GU35" s="13">
        <f>IF('Données projet'!$A$270&gt;35,GU34+GT35-HC34,IF(A35&lt;'Données projet'!$A$270,$GR$205^A35,IF(A35='Données projet'!$A$270,'Données projet'!$B$270,GU34+GT35-HC34)))</f>
        <v>75.200000000000017</v>
      </c>
      <c r="GV35" s="18">
        <f>GU35*VLOOKUP('Données projet'!$B$18,Paramètres!$A$1:$I$89,3,0)*VLOOKUP('Données projet'!$B$18,Paramètres!$A$1:$I$89,5,0)</f>
        <v>65.694720000000032</v>
      </c>
      <c r="GW35" s="14">
        <f t="shared" si="51"/>
        <v>18.600387185619521</v>
      </c>
      <c r="GX35" s="22">
        <f t="shared" si="28"/>
        <v>146.81397834828738</v>
      </c>
      <c r="GY35" s="62">
        <f t="shared" si="29"/>
        <v>440.14731168162069</v>
      </c>
      <c r="GZ35" s="62">
        <f ca="1">AVERAGE(OFFSET($GY$3,0,0,'Données projet'!$E$18+1,1))-AVERAGE(OFFSET($H$3,0,0,'Données projet'!$E$18+1,1))</f>
        <v>152.84277478695606</v>
      </c>
      <c r="HA35" s="62">
        <f t="shared" si="52"/>
        <v>179.22995976651015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9">
        <f t="shared" si="1"/>
        <v>298.37704434769694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101.4</v>
      </c>
      <c r="P36" s="14">
        <f t="shared" si="33"/>
        <v>27.295257887453797</v>
      </c>
      <c r="Q36" s="22">
        <f t="shared" si="53"/>
        <v>224.14424082064872</v>
      </c>
      <c r="R36" s="62">
        <f t="shared" si="0"/>
        <v>517.477574153982</v>
      </c>
      <c r="S36" s="62">
        <f ca="1">AVERAGE(OFFSET($R$3,0,0,'Données projet'!$E$9+1,1))-AVERAGE(OFFSET($H$3,0,0,'Données projet'!$E$9+1,1))</f>
        <v>383.26814640166805</v>
      </c>
      <c r="T36" s="62">
        <f t="shared" si="34"/>
        <v>233.71216103405249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3.6</v>
      </c>
      <c r="AI36" s="14">
        <f>IF('Données projet'!$A$62&gt;35,AI35+AH36-AQ35,IF(A36&lt;'Données projet'!$A$62,$AF$205^A36,IF(A36='Données projet'!$A$62,'Données projet'!$B$62,AI35+AH36-AQ35)))</f>
        <v>64.800000000000011</v>
      </c>
      <c r="AJ36" s="14">
        <f>AI36*VLOOKUP('Données projet'!$B$10,Paramètres!$A$1:$I$89,3,0)*VLOOKUP('Données projet'!$B$10,Paramètres!$A$1:$I$89,5,0)</f>
        <v>69.750720000000001</v>
      </c>
      <c r="AK36" s="14">
        <f t="shared" si="35"/>
        <v>19.611539714272144</v>
      </c>
      <c r="AL36" s="22">
        <f t="shared" si="4"/>
        <v>155.63926900235728</v>
      </c>
      <c r="AM36" s="62">
        <f t="shared" si="5"/>
        <v>448.97260233569057</v>
      </c>
      <c r="AN36" s="62">
        <f ca="1">AVERAGE(OFFSET($AM$3,0,0,'Données projet'!$E$10+1,1))-AVERAGE(OFFSET($H$3,0,0,'Données projet'!$E$10+1,1))</f>
        <v>205.99910063756408</v>
      </c>
      <c r="AO36" s="62">
        <f t="shared" si="36"/>
        <v>128.95330275493671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14.298901098901101</v>
      </c>
      <c r="BD36" s="13">
        <f>IF('Données projet'!$A$88&gt;35,BD35+BC36-BL35,IF(A36&lt;'Données projet'!$A$88,$BA$205^A36,IF(A36='Données projet'!$A$88,'Données projet'!$B$88,BD35+BC36-BL35)))</f>
        <v>219.6802197802198</v>
      </c>
      <c r="BE36" s="14">
        <f>BD36*VLOOKUP('Données projet'!$B$11,Paramètres!$A$1:$I$89,3,0)*VLOOKUP('Données projet'!$B$11,Paramètres!$A$1:$I$89,5,0)</f>
        <v>131.36877142857145</v>
      </c>
      <c r="BF36" s="14">
        <f t="shared" si="37"/>
        <v>34.312449162076589</v>
      </c>
      <c r="BG36" s="22">
        <f t="shared" si="7"/>
        <v>288.56145919537863</v>
      </c>
      <c r="BH36" s="62">
        <f t="shared" si="8"/>
        <v>581.89479252871195</v>
      </c>
      <c r="BI36" s="62">
        <f ca="1">AVERAGE(OFFSET($BH$3,0,0,'Données projet'!$E$11+1,1))-AVERAGE(OFFSET($H$3,0,0,'Données projet'!$E$11+1,1))</f>
        <v>222.20580087523689</v>
      </c>
      <c r="BJ36" s="62">
        <f t="shared" si="38"/>
        <v>232.08940427392253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9.4310040920214817</v>
      </c>
      <c r="BQ36" s="23">
        <f>EXP(-LN(2)/25)*BQ35+(1-EXP(-LN(2)/25))/(LN(2)/25)*Calculateur!BL36*Calculateur!BN36*VLOOKUP('Données projet'!$B$11,Paramètres!$A$1:$I$89,3,0)*0.475*44/12</f>
        <v>15.124238681375259</v>
      </c>
      <c r="BR36" s="23">
        <f>EXP(-LN(2)/2)*BR35+(1-EXP(-LN(2)/2))/(LN(2)/2)*BL36*BO36*VLOOKUP('Données projet'!$B$11,Paramètres!$A$1:$I$89,3,0)*0.475*44/12</f>
        <v>2.2415146886603132</v>
      </c>
      <c r="BS36" s="24">
        <f t="shared" si="9"/>
        <v>26.796757462057055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10.407692307692306</v>
      </c>
      <c r="BY36" s="13">
        <f>IF('Données projet'!$A$114&gt;35,BY35+BX36-CG35,IF(A36&lt;'Données projet'!$A$114,$BV$205^A36,IF(A36='Données projet'!$A$114,'Données projet'!$B$114,BY35+BX36-CG35)))</f>
        <v>134.49999999999997</v>
      </c>
      <c r="BZ36" s="14">
        <f>BY36*VLOOKUP('Données projet'!$B$12,Paramètres!$A$1:$I$89,3,0)*VLOOKUP('Données projet'!$B$12,Paramètres!$A$1:$I$89,5,0)</f>
        <v>62.945999999999984</v>
      </c>
      <c r="CA36" s="14">
        <f t="shared" si="39"/>
        <v>17.911019680519317</v>
      </c>
      <c r="CB36" s="22">
        <f t="shared" si="10"/>
        <v>140.82597594357108</v>
      </c>
      <c r="CC36" s="62">
        <f t="shared" si="11"/>
        <v>434.15930927690442</v>
      </c>
      <c r="CD36" s="62">
        <f ca="1">AVERAGE(OFFSET($CC$3,0,0,'Données projet'!$E$12+1,1))-AVERAGE(OFFSET($H$3,0,0,'Données projet'!$E$12+1,1))</f>
        <v>179.14256291235466</v>
      </c>
      <c r="CE36" s="62">
        <f t="shared" si="40"/>
        <v>107.5256983607585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>
        <f>VLOOKUP(A36,'Données projet'!$A$139:$I$159,2,0)</f>
        <v>183.89999999999998</v>
      </c>
      <c r="CR36" s="13">
        <f>VLOOKUP(A36,'Données projet'!$A$139:$I$159,9,0)</f>
        <v>12.97179487179487</v>
      </c>
      <c r="CS36" s="13">
        <f t="array" ref="CS36">INDEX(CR:CR,MIN(IF(ISNUMBER(CR36:CR232),ROW(CR36:CR232),"")))</f>
        <v>12.97179487179487</v>
      </c>
      <c r="CT36" s="13">
        <f>IF('Données projet'!$A$140&gt;35,CT35+CS36-DB35,IF(A36&lt;'Données projet'!$A$140,$CQ$205^A36,IF(A36='Données projet'!$A$140,'Données projet'!$B$140,CT35+CS36-DB35)))</f>
        <v>183.90000000000003</v>
      </c>
      <c r="CU36" s="18">
        <f>CT36*VLOOKUP('Données projet'!$B$13,Paramètres!$A$1:$I$89,3,0)*VLOOKUP('Données projet'!$B$13,Paramètres!$A$1:$I$89,5,0)</f>
        <v>109.97220000000003</v>
      </c>
      <c r="CV36" s="14">
        <f t="shared" si="41"/>
        <v>29.324434579377328</v>
      </c>
      <c r="CW36" s="22">
        <f t="shared" si="13"/>
        <v>242.60830522574886</v>
      </c>
      <c r="CX36" s="62">
        <f t="shared" si="14"/>
        <v>535.94163855908221</v>
      </c>
      <c r="CY36" s="62">
        <f ca="1">AVERAGE(OFFSET($CX$3,0,0,'Données projet'!$E$13+1,1))-AVERAGE(OFFSET($H$3,0,0,'Données projet'!$E$13+1,1))</f>
        <v>237.03649693529445</v>
      </c>
      <c r="CZ36" s="62">
        <f t="shared" si="42"/>
        <v>191.04289411674887</v>
      </c>
      <c r="DA36" s="16">
        <f>IF(ISNA(VLOOKUP(A36,'Données projet'!$A$139:$I$159,3,0)),0,VLOOKUP(A36,'Données projet'!$A$139:$I$159,3,0))</f>
        <v>3</v>
      </c>
      <c r="DB36" s="16">
        <f>IF(ISNA(VLOOKUP(A36,'Données projet'!$A$139:$I$159,4,0)),0,VLOOKUP(A36,'Données projet'!$A$139:$I$159,4,0))</f>
        <v>43.007692307692302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1.8607053125746331</v>
      </c>
      <c r="DI36" s="24">
        <f t="shared" si="15"/>
        <v>1.8607053125746331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4.6210000000000004</v>
      </c>
      <c r="DO36" s="13">
        <f>IF('Données projet'!$A$166&gt;35,DO35+DN36-DW35,IF(A36&lt;'Données projet'!$A$166,$DL$205^A36,IF(A36='Données projet'!$A$166,'Données projet'!$B$166,DO35+DN36-DW35)))</f>
        <v>118.05299999999997</v>
      </c>
      <c r="DP36" s="18">
        <f>DO36*VLOOKUP('Données projet'!$B$14,Paramètres!$A$1:$I$89,3,0)*VLOOKUP('Données projet'!$B$14,Paramètres!$A$1:$I$89,5,0)</f>
        <v>135.99705599999996</v>
      </c>
      <c r="DQ36" s="14">
        <f t="shared" si="43"/>
        <v>35.378444756149989</v>
      </c>
      <c r="DR36" s="22">
        <f t="shared" si="16"/>
        <v>298.4789971502945</v>
      </c>
      <c r="DS36" s="62">
        <f t="shared" si="17"/>
        <v>591.81233048362787</v>
      </c>
      <c r="DT36" s="62">
        <f ca="1">AVERAGE(OFFSET($DS$3,0,0,'Données projet'!$E$14+1,1))-AVERAGE(OFFSET($H$3,0,0,'Données projet'!$E$14+1,1))</f>
        <v>431.38469096974364</v>
      </c>
      <c r="DU36" s="62">
        <f t="shared" si="44"/>
        <v>295.48627059086647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0.90134785415361496</v>
      </c>
      <c r="EC36" s="23">
        <f>EXP(-LN(2)/2)*EC35+(1-EXP(-LN(2)/2))/(LN(2)/2)*DW36*DZ36*VLOOKUP('Données projet'!$B$14,Paramètres!$A$1:$I$89,3,0)*0.475*44/12</f>
        <v>1.3570917797177586</v>
      </c>
      <c r="ED36" s="24">
        <f t="shared" si="18"/>
        <v>2.2584396338713737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3.6</v>
      </c>
      <c r="EJ36" s="13">
        <f>IF('Données projet'!$A$192&gt;35,EJ35+EI36-ER35,IF(A36&lt;'Données projet'!$A$192,$EG$205^A36,IF(A36='Données projet'!$A$192,'Données projet'!$B$192,EJ35+EI36-ER35)))</f>
        <v>64.800000000000011</v>
      </c>
      <c r="EK36" s="18">
        <f>EJ36*VLOOKUP('Données projet'!$B$15,Paramètres!$A$1:$I$89,3,0)*VLOOKUP('Données projet'!$B$15,Paramètres!$A$1:$I$89,5,0)</f>
        <v>73.794240000000016</v>
      </c>
      <c r="EL36" s="14">
        <f t="shared" si="45"/>
        <v>20.612786943824918</v>
      </c>
      <c r="EM36" s="22">
        <f t="shared" si="19"/>
        <v>164.42557192716174</v>
      </c>
      <c r="EN36" s="62">
        <f t="shared" si="20"/>
        <v>457.75890526049506</v>
      </c>
      <c r="EO36" s="62">
        <f ca="1">AVERAGE(OFFSET($EN$3,0,0,'Données projet'!$E$15+1,1))-AVERAGE(OFFSET($H$3,0,0,'Données projet'!$E$15+1,1))</f>
        <v>220.03635832253951</v>
      </c>
      <c r="EP36" s="62">
        <f t="shared" si="46"/>
        <v>136.30639155882233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16.399999999999999</v>
      </c>
      <c r="FE36" s="13">
        <f>IF('Données projet'!$A$218&gt;35,FE35+FD36-FM35,IF(A36&lt;'Données projet'!$A$218,$FB$205^A36,IF(A36='Données projet'!$A$218,'Données projet'!$B$218,FE35+FD36-FM35)))</f>
        <v>172.20000000000002</v>
      </c>
      <c r="FF36" s="18">
        <f>FE36*VLOOKUP('Données projet'!$B$16,Paramètres!$A$1:$I$89,3,0)*VLOOKUP('Données projet'!$B$16,Paramètres!$A$1:$I$89,5,0)</f>
        <v>179.98344000000003</v>
      </c>
      <c r="FG36" s="14">
        <f t="shared" si="47"/>
        <v>45.318501851936055</v>
      </c>
      <c r="FH36" s="22">
        <f t="shared" si="22"/>
        <v>392.40088205878868</v>
      </c>
      <c r="FI36" s="62">
        <f t="shared" si="23"/>
        <v>685.734215392122</v>
      </c>
      <c r="FJ36" s="62">
        <f ca="1">AVERAGE(OFFSET($FI$3,0,0,'Données projet'!$E$16+1,1))-AVERAGE(OFFSET($H$3,0,0,'Données projet'!$E$16+1,1))</f>
        <v>641.62708445664862</v>
      </c>
      <c r="FK36" s="62">
        <f t="shared" si="48"/>
        <v>379.46845863546929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7.6706361268364054</v>
      </c>
      <c r="FT36" s="24">
        <f t="shared" si="24"/>
        <v>7.6706361268364054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3.6</v>
      </c>
      <c r="FZ36" s="13">
        <f>IF('Données projet'!$A$244&gt;35,FZ35+FY36-GH35,IF(A36&lt;'Données projet'!$A$244,$FW$205^A36,IF(A36='Données projet'!$A$244,'Données projet'!$B$244,FZ35+FY36-GH35)))</f>
        <v>64.800000000000011</v>
      </c>
      <c r="GA36" s="18">
        <f>FZ36*VLOOKUP('Données projet'!$B$17,Paramètres!$A$1:$I$89,3,0)*VLOOKUP('Données projet'!$B$17,Paramètres!$A$1:$I$89,5,0)</f>
        <v>62.674560000000014</v>
      </c>
      <c r="GB36" s="14">
        <f t="shared" si="49"/>
        <v>17.8427558136393</v>
      </c>
      <c r="GC36" s="22">
        <f t="shared" si="25"/>
        <v>140.23432504208844</v>
      </c>
      <c r="GD36" s="62">
        <f t="shared" si="26"/>
        <v>433.56765837542173</v>
      </c>
      <c r="GE36" s="62">
        <f ca="1">AVERAGE(OFFSET($GD$3,0,0,'Données projet'!$E$17+1,1))-AVERAGE(OFFSET($H$3,0,0,'Données projet'!$E$17+1,1))</f>
        <v>181.39066880931728</v>
      </c>
      <c r="GF36" s="62">
        <f t="shared" si="50"/>
        <v>116.06078566855524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6.6</v>
      </c>
      <c r="GU36" s="13">
        <f>IF('Données projet'!$A$270&gt;35,GU35+GT36-HC35,IF(A36&lt;'Données projet'!$A$270,$GR$205^A36,IF(A36='Données projet'!$A$270,'Données projet'!$B$270,GU35+GT36-HC35)))</f>
        <v>81.800000000000011</v>
      </c>
      <c r="GV36" s="18">
        <f>GU36*VLOOKUP('Données projet'!$B$18,Paramètres!$A$1:$I$89,3,0)*VLOOKUP('Données projet'!$B$18,Paramètres!$A$1:$I$89,5,0)</f>
        <v>71.460480000000018</v>
      </c>
      <c r="GW36" s="14">
        <f t="shared" si="51"/>
        <v>20.035709203981977</v>
      </c>
      <c r="GX36" s="22">
        <f t="shared" si="28"/>
        <v>159.35586286360197</v>
      </c>
      <c r="GY36" s="62">
        <f t="shared" si="29"/>
        <v>452.68919619693531</v>
      </c>
      <c r="GZ36" s="62">
        <f ca="1">AVERAGE(OFFSET($GY$3,0,0,'Données projet'!$E$18+1,1))-AVERAGE(OFFSET($H$3,0,0,'Données projet'!$E$18+1,1))</f>
        <v>152.84277478695606</v>
      </c>
      <c r="HA36" s="62">
        <f t="shared" si="52"/>
        <v>179.22995976651015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9">
        <f t="shared" si="1"/>
        <v>299.60407953815456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109.51200000000001</v>
      </c>
      <c r="P37" s="14">
        <f t="shared" si="33"/>
        <v>29.215978230632555</v>
      </c>
      <c r="Q37" s="22">
        <f t="shared" si="53"/>
        <v>241.61789541835174</v>
      </c>
      <c r="R37" s="62">
        <f t="shared" si="0"/>
        <v>534.95122875168499</v>
      </c>
      <c r="S37" s="62">
        <f ca="1">AVERAGE(OFFSET($R$3,0,0,'Données projet'!$E$9+1,1))-AVERAGE(OFFSET($H$3,0,0,'Données projet'!$E$9+1,1))</f>
        <v>383.26814640166805</v>
      </c>
      <c r="T37" s="62">
        <f t="shared" si="34"/>
        <v>233.71216103405249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3.6</v>
      </c>
      <c r="AI37" s="14">
        <f>IF('Données projet'!$A$62&gt;35,AI36+AH37-AQ36,IF(A37&lt;'Données projet'!$A$62,$AF$205^A37,IF(A37='Données projet'!$A$62,'Données projet'!$B$62,AI36+AH37-AQ36)))</f>
        <v>68.400000000000006</v>
      </c>
      <c r="AJ37" s="14">
        <f>AI37*VLOOKUP('Données projet'!$B$10,Paramètres!$A$1:$I$89,3,0)*VLOOKUP('Données projet'!$B$10,Paramètres!$A$1:$I$89,5,0)</f>
        <v>73.62576</v>
      </c>
      <c r="AK37" s="14">
        <f t="shared" si="35"/>
        <v>20.571198174996731</v>
      </c>
      <c r="AL37" s="22">
        <f t="shared" si="4"/>
        <v>164.05970215478595</v>
      </c>
      <c r="AM37" s="62">
        <f t="shared" si="5"/>
        <v>457.39303548811927</v>
      </c>
      <c r="AN37" s="62">
        <f ca="1">AVERAGE(OFFSET($AM$3,0,0,'Données projet'!$E$10+1,1))-AVERAGE(OFFSET($H$3,0,0,'Données projet'!$E$10+1,1))</f>
        <v>205.99910063756408</v>
      </c>
      <c r="AO37" s="62">
        <f t="shared" si="36"/>
        <v>128.95330275493671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14.298901098901101</v>
      </c>
      <c r="BD37" s="13">
        <f>IF('Données projet'!$A$88&gt;35,BD36+BC37-BL36,IF(A37&lt;'Données projet'!$A$88,$BA$205^A37,IF(A37='Données projet'!$A$88,'Données projet'!$B$88,BD36+BC37-BL36)))</f>
        <v>233.9791208791209</v>
      </c>
      <c r="BE37" s="14">
        <f>BD37*VLOOKUP('Données projet'!$B$11,Paramètres!$A$1:$I$89,3,0)*VLOOKUP('Données projet'!$B$11,Paramètres!$A$1:$I$89,5,0)</f>
        <v>139.91951428571431</v>
      </c>
      <c r="BF37" s="14">
        <f t="shared" si="37"/>
        <v>36.278566731027588</v>
      </c>
      <c r="BG37" s="22">
        <f t="shared" si="7"/>
        <v>306.87832443749215</v>
      </c>
      <c r="BH37" s="62">
        <f t="shared" si="8"/>
        <v>600.21165777082547</v>
      </c>
      <c r="BI37" s="62">
        <f ca="1">AVERAGE(OFFSET($BH$3,0,0,'Données projet'!$E$11+1,1))-AVERAGE(OFFSET($H$3,0,0,'Données projet'!$E$11+1,1))</f>
        <v>222.20580087523689</v>
      </c>
      <c r="BJ37" s="62">
        <f t="shared" si="38"/>
        <v>232.08940427392253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9.2460678541214403</v>
      </c>
      <c r="BQ37" s="23">
        <f>EXP(-LN(2)/25)*BQ36+(1-EXP(-LN(2)/25))/(LN(2)/25)*Calculateur!BL37*Calculateur!BN37*VLOOKUP('Données projet'!$B$11,Paramètres!$A$1:$I$89,3,0)*0.475*44/12</f>
        <v>14.710665579283907</v>
      </c>
      <c r="BR37" s="23">
        <f>EXP(-LN(2)/2)*BR36+(1-EXP(-LN(2)/2))/(LN(2)/2)*BL37*BO37*VLOOKUP('Données projet'!$B$11,Paramètres!$A$1:$I$89,3,0)*0.475*44/12</f>
        <v>1.5849902364809605</v>
      </c>
      <c r="BS37" s="24">
        <f t="shared" si="9"/>
        <v>25.541723669886309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10.407692307692306</v>
      </c>
      <c r="BY37" s="13">
        <f>IF('Données projet'!$A$114&gt;35,BY36+BX37-CG36,IF(A37&lt;'Données projet'!$A$114,$BV$205^A37,IF(A37='Données projet'!$A$114,'Données projet'!$B$114,BY36+BX37-CG36)))</f>
        <v>144.90769230769229</v>
      </c>
      <c r="BZ37" s="14">
        <f>BY37*VLOOKUP('Données projet'!$B$12,Paramètres!$A$1:$I$89,3,0)*VLOOKUP('Données projet'!$B$12,Paramètres!$A$1:$I$89,5,0)</f>
        <v>67.816799999999986</v>
      </c>
      <c r="CA37" s="14">
        <f t="shared" si="39"/>
        <v>19.130296326257337</v>
      </c>
      <c r="CB37" s="22">
        <f t="shared" si="10"/>
        <v>151.43285943489818</v>
      </c>
      <c r="CC37" s="62">
        <f t="shared" si="11"/>
        <v>444.76619276823146</v>
      </c>
      <c r="CD37" s="62">
        <f ca="1">AVERAGE(OFFSET($CC$3,0,0,'Données projet'!$E$12+1,1))-AVERAGE(OFFSET($H$3,0,0,'Données projet'!$E$12+1,1))</f>
        <v>179.14256291235466</v>
      </c>
      <c r="CE37" s="62">
        <f t="shared" si="40"/>
        <v>107.5256983607585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12.74038461538462</v>
      </c>
      <c r="CT37" s="13">
        <f>IF('Données projet'!$A$140&gt;35,CT36+CS37-DB36,IF(A37&lt;'Données projet'!$A$140,$CQ$205^A37,IF(A37='Données projet'!$A$140,'Données projet'!$B$140,CT36+CS37-DB36)))</f>
        <v>153.63269230769234</v>
      </c>
      <c r="CU37" s="18">
        <f>CT37*VLOOKUP('Données projet'!$B$13,Paramètres!$A$1:$I$89,3,0)*VLOOKUP('Données projet'!$B$13,Paramètres!$A$1:$I$89,5,0)</f>
        <v>91.872350000000012</v>
      </c>
      <c r="CV37" s="14">
        <f t="shared" si="41"/>
        <v>25.016248165039102</v>
      </c>
      <c r="CW37" s="22">
        <f t="shared" si="13"/>
        <v>203.58097513744312</v>
      </c>
      <c r="CX37" s="62">
        <f t="shared" si="14"/>
        <v>496.9143084707764</v>
      </c>
      <c r="CY37" s="62">
        <f ca="1">AVERAGE(OFFSET($CX$3,0,0,'Données projet'!$E$13+1,1))-AVERAGE(OFFSET($H$3,0,0,'Données projet'!$E$13+1,1))</f>
        <v>237.03649693529445</v>
      </c>
      <c r="CZ37" s="62">
        <f t="shared" si="42"/>
        <v>191.04289411674887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1.3157173443113577</v>
      </c>
      <c r="DI37" s="24">
        <f t="shared" si="15"/>
        <v>1.3157173443113577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4.6210000000000004</v>
      </c>
      <c r="DO37" s="13">
        <f>IF('Données projet'!$A$166&gt;35,DO36+DN37-DW36,IF(A37&lt;'Données projet'!$A$166,$DL$205^A37,IF(A37='Données projet'!$A$166,'Données projet'!$B$166,DO36+DN37-DW36)))</f>
        <v>122.67399999999996</v>
      </c>
      <c r="DP37" s="18">
        <f>DO37*VLOOKUP('Données projet'!$B$14,Paramètres!$A$1:$I$89,3,0)*VLOOKUP('Données projet'!$B$14,Paramètres!$A$1:$I$89,5,0)</f>
        <v>141.32044799999994</v>
      </c>
      <c r="DQ37" s="14">
        <f t="shared" si="43"/>
        <v>36.599336120479457</v>
      </c>
      <c r="DR37" s="22">
        <f t="shared" si="16"/>
        <v>309.87695734316827</v>
      </c>
      <c r="DS37" s="62">
        <f t="shared" si="17"/>
        <v>603.21029067650159</v>
      </c>
      <c r="DT37" s="62">
        <f ca="1">AVERAGE(OFFSET($DS$3,0,0,'Données projet'!$E$14+1,1))-AVERAGE(OFFSET($H$3,0,0,'Données projet'!$E$14+1,1))</f>
        <v>431.38469096974364</v>
      </c>
      <c r="DU37" s="62">
        <f t="shared" si="44"/>
        <v>295.48627059086647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0.87670044968196081</v>
      </c>
      <c r="EC37" s="23">
        <f>EXP(-LN(2)/2)*EC36+(1-EXP(-LN(2)/2))/(LN(2)/2)*DW37*DZ37*VLOOKUP('Données projet'!$B$14,Paramètres!$A$1:$I$89,3,0)*0.475*44/12</f>
        <v>0.95960880013094751</v>
      </c>
      <c r="ED37" s="24">
        <f t="shared" si="18"/>
        <v>1.8363092498129083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3.6</v>
      </c>
      <c r="EJ37" s="13">
        <f>IF('Données projet'!$A$192&gt;35,EJ36+EI37-ER36,IF(A37&lt;'Données projet'!$A$192,$EG$205^A37,IF(A37='Données projet'!$A$192,'Données projet'!$B$192,EJ36+EI37-ER36)))</f>
        <v>68.400000000000006</v>
      </c>
      <c r="EK37" s="18">
        <f>EJ37*VLOOKUP('Données projet'!$B$15,Paramètres!$A$1:$I$89,3,0)*VLOOKUP('Données projet'!$B$15,Paramètres!$A$1:$I$89,5,0)</f>
        <v>77.893920000000008</v>
      </c>
      <c r="EL37" s="14">
        <f t="shared" si="45"/>
        <v>21.621439791992646</v>
      </c>
      <c r="EM37" s="22">
        <f t="shared" si="19"/>
        <v>173.32258497105386</v>
      </c>
      <c r="EN37" s="62">
        <f t="shared" si="20"/>
        <v>466.65591830438717</v>
      </c>
      <c r="EO37" s="62">
        <f ca="1">AVERAGE(OFFSET($EN$3,0,0,'Données projet'!$E$15+1,1))-AVERAGE(OFFSET($H$3,0,0,'Données projet'!$E$15+1,1))</f>
        <v>220.03635832253951</v>
      </c>
      <c r="EP37" s="62">
        <f t="shared" si="46"/>
        <v>136.30639155882233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16.399999999999999</v>
      </c>
      <c r="FE37" s="13">
        <f>IF('Données projet'!$A$218&gt;35,FE36+FD37-FM36,IF(A37&lt;'Données projet'!$A$218,$FB$205^A37,IF(A37='Données projet'!$A$218,'Données projet'!$B$218,FE36+FD37-FM36)))</f>
        <v>188.60000000000002</v>
      </c>
      <c r="FF37" s="18">
        <f>FE37*VLOOKUP('Données projet'!$B$16,Paramètres!$A$1:$I$89,3,0)*VLOOKUP('Données projet'!$B$16,Paramètres!$A$1:$I$89,5,0)</f>
        <v>197.12472000000005</v>
      </c>
      <c r="FG37" s="14">
        <f t="shared" si="47"/>
        <v>49.111736642730975</v>
      </c>
      <c r="FH37" s="22">
        <f t="shared" si="22"/>
        <v>428.86182865275651</v>
      </c>
      <c r="FI37" s="62">
        <f t="shared" si="23"/>
        <v>722.19516198608983</v>
      </c>
      <c r="FJ37" s="62">
        <f ca="1">AVERAGE(OFFSET($FI$3,0,0,'Données projet'!$E$16+1,1))-AVERAGE(OFFSET($H$3,0,0,'Données projet'!$E$16+1,1))</f>
        <v>641.62708445664862</v>
      </c>
      <c r="FK37" s="62">
        <f t="shared" si="48"/>
        <v>379.46845863546929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5.4239588213005367</v>
      </c>
      <c r="FT37" s="24">
        <f t="shared" si="24"/>
        <v>5.4239588213005367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3.6</v>
      </c>
      <c r="FZ37" s="13">
        <f>IF('Données projet'!$A$244&gt;35,FZ36+FY37-GH36,IF(A37&lt;'Données projet'!$A$244,$FW$205^A37,IF(A37='Données projet'!$A$244,'Données projet'!$B$244,FZ36+FY37-GH36)))</f>
        <v>68.400000000000006</v>
      </c>
      <c r="GA37" s="18">
        <f>FZ37*VLOOKUP('Données projet'!$B$17,Paramètres!$A$1:$I$89,3,0)*VLOOKUP('Données projet'!$B$17,Paramètres!$A$1:$I$89,5,0)</f>
        <v>66.156480000000002</v>
      </c>
      <c r="GB37" s="14">
        <f t="shared" si="49"/>
        <v>18.71586174150994</v>
      </c>
      <c r="GC37" s="22">
        <f t="shared" si="25"/>
        <v>147.81932853312981</v>
      </c>
      <c r="GD37" s="62">
        <f t="shared" si="26"/>
        <v>441.15266186646312</v>
      </c>
      <c r="GE37" s="62">
        <f ca="1">AVERAGE(OFFSET($GD$3,0,0,'Données projet'!$E$17+1,1))-AVERAGE(OFFSET($H$3,0,0,'Données projet'!$E$17+1,1))</f>
        <v>181.39066880931728</v>
      </c>
      <c r="GF37" s="62">
        <f t="shared" si="50"/>
        <v>116.06078566855524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6.6</v>
      </c>
      <c r="GU37" s="13">
        <f>IF('Données projet'!$A$270&gt;35,GU36+GT37-HC36,IF(A37&lt;'Données projet'!$A$270,$GR$205^A37,IF(A37='Données projet'!$A$270,'Données projet'!$B$270,GU36+GT37-HC36)))</f>
        <v>88.4</v>
      </c>
      <c r="GV37" s="18">
        <f>GU37*VLOOKUP('Données projet'!$B$18,Paramètres!$A$1:$I$89,3,0)*VLOOKUP('Données projet'!$B$18,Paramètres!$A$1:$I$89,5,0)</f>
        <v>77.226240000000004</v>
      </c>
      <c r="GW37" s="14">
        <f t="shared" si="51"/>
        <v>21.457598855530147</v>
      </c>
      <c r="GX37" s="22">
        <f t="shared" si="28"/>
        <v>171.87435267338171</v>
      </c>
      <c r="GY37" s="62">
        <f t="shared" si="29"/>
        <v>465.20768600671499</v>
      </c>
      <c r="GZ37" s="62">
        <f ca="1">AVERAGE(OFFSET($GY$3,0,0,'Données projet'!$E$18+1,1))-AVERAGE(OFFSET($H$3,0,0,'Données projet'!$E$18+1,1))</f>
        <v>152.84277478695606</v>
      </c>
      <c r="HA37" s="62">
        <f t="shared" si="52"/>
        <v>179.22995976651015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9">
        <f t="shared" si="1"/>
        <v>300.83017101517061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117.62400000000001</v>
      </c>
      <c r="P38" s="14">
        <f t="shared" si="33"/>
        <v>31.120192961985413</v>
      </c>
      <c r="Q38" s="22">
        <f t="shared" si="53"/>
        <v>259.06280274212457</v>
      </c>
      <c r="R38" s="62">
        <f t="shared" si="0"/>
        <v>552.39613607545789</v>
      </c>
      <c r="S38" s="62">
        <f ca="1">AVERAGE(OFFSET($R$3,0,0,'Données projet'!$E$9+1,1))-AVERAGE(OFFSET($H$3,0,0,'Données projet'!$E$9+1,1))</f>
        <v>383.26814640166805</v>
      </c>
      <c r="T38" s="62">
        <f t="shared" si="34"/>
        <v>233.71216103405249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72</v>
      </c>
      <c r="AG38" s="13">
        <f>VLOOKUP(A38,'Données projet'!$A$61:$I$81,9,0)</f>
        <v>3.6</v>
      </c>
      <c r="AH38" s="13">
        <f t="array" ref="AH38">INDEX(AG:AG,MIN(IF(ISNUMBER(AG38:AG234),ROW(AG38:AG234),"")))</f>
        <v>3.6</v>
      </c>
      <c r="AI38" s="14">
        <f>IF('Données projet'!$A$62&gt;35,AI37+AH38-AQ37,IF(A38&lt;'Données projet'!$A$62,$AF$205^A38,IF(A38='Données projet'!$A$62,'Données projet'!$B$62,AI37+AH38-AQ37)))</f>
        <v>72</v>
      </c>
      <c r="AJ38" s="14">
        <f>AI38*VLOOKUP('Données projet'!$B$10,Paramètres!$A$1:$I$89,3,0)*VLOOKUP('Données projet'!$B$10,Paramètres!$A$1:$I$89,5,0)</f>
        <v>77.500799999999998</v>
      </c>
      <c r="AK38" s="14">
        <f t="shared" si="35"/>
        <v>21.524992579009275</v>
      </c>
      <c r="AL38" s="22">
        <f t="shared" si="4"/>
        <v>172.4699220751078</v>
      </c>
      <c r="AM38" s="62">
        <f t="shared" si="5"/>
        <v>465.80325540844115</v>
      </c>
      <c r="AN38" s="62">
        <f ca="1">AVERAGE(OFFSET($AM$3,0,0,'Données projet'!$E$10+1,1))-AVERAGE(OFFSET($H$3,0,0,'Données projet'!$E$10+1,1))</f>
        <v>205.99910063756408</v>
      </c>
      <c r="AO38" s="62">
        <f t="shared" si="36"/>
        <v>128.95330275493671</v>
      </c>
      <c r="AP38" s="16">
        <f>IF(ISNA(VLOOKUP(A38,'Données projet'!$A$61:$I$81,3,0)),0,VLOOKUP(A38,'Données projet'!$A$61:$I$81,3,0))</f>
        <v>1</v>
      </c>
      <c r="AQ38" s="16">
        <f>IF(ISNA(VLOOKUP(A38,'Données projet'!$A$61:$I$81,4,0)),0,VLOOKUP(A38,'Données projet'!$A$61:$I$81,4,0))</f>
        <v>17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14.298901098901101</v>
      </c>
      <c r="BD38" s="13">
        <f>IF('Données projet'!$A$88&gt;35,BD37+BC38-BL37,IF(A38&lt;'Données projet'!$A$88,$BA$205^A38,IF(A38='Données projet'!$A$88,'Données projet'!$B$88,BD37+BC38-BL37)))</f>
        <v>248.278021978022</v>
      </c>
      <c r="BE38" s="14">
        <f>BD38*VLOOKUP('Données projet'!$B$11,Paramètres!$A$1:$I$89,3,0)*VLOOKUP('Données projet'!$B$11,Paramètres!$A$1:$I$89,5,0)</f>
        <v>148.47025714285718</v>
      </c>
      <c r="BF38" s="14">
        <f t="shared" si="37"/>
        <v>38.230738941903269</v>
      </c>
      <c r="BG38" s="22">
        <f t="shared" si="7"/>
        <v>325.17090151429107</v>
      </c>
      <c r="BH38" s="62">
        <f t="shared" si="8"/>
        <v>618.50423484762439</v>
      </c>
      <c r="BI38" s="62">
        <f ca="1">AVERAGE(OFFSET($BH$3,0,0,'Données projet'!$E$11+1,1))-AVERAGE(OFFSET($H$3,0,0,'Données projet'!$E$11+1,1))</f>
        <v>222.20580087523689</v>
      </c>
      <c r="BJ38" s="62">
        <f t="shared" si="38"/>
        <v>232.08940427392253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9.0647581030466515</v>
      </c>
      <c r="BQ38" s="23">
        <f>EXP(-LN(2)/25)*BQ37+(1-EXP(-LN(2)/25))/(LN(2)/25)*Calculateur!BL38*Calculateur!BN38*VLOOKUP('Données projet'!$B$11,Paramètres!$A$1:$I$89,3,0)*0.475*44/12</f>
        <v>14.308401655418107</v>
      </c>
      <c r="BR38" s="23">
        <f>EXP(-LN(2)/2)*BR37+(1-EXP(-LN(2)/2))/(LN(2)/2)*BL38*BO38*VLOOKUP('Données projet'!$B$11,Paramètres!$A$1:$I$89,3,0)*0.475*44/12</f>
        <v>1.1207573443301568</v>
      </c>
      <c r="BS38" s="24">
        <f t="shared" si="9"/>
        <v>24.493917102794917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10.407692307692306</v>
      </c>
      <c r="BY38" s="13">
        <f>IF('Données projet'!$A$114&gt;35,BY37+BX38-CG37,IF(A38&lt;'Données projet'!$A$114,$BV$205^A38,IF(A38='Données projet'!$A$114,'Données projet'!$B$114,BY37+BX38-CG37)))</f>
        <v>155.3153846153846</v>
      </c>
      <c r="BZ38" s="14">
        <f>BY38*VLOOKUP('Données projet'!$B$12,Paramètres!$A$1:$I$89,3,0)*VLOOKUP('Données projet'!$B$12,Paramètres!$A$1:$I$89,5,0)</f>
        <v>72.687600000000003</v>
      </c>
      <c r="CA38" s="14">
        <f t="shared" si="39"/>
        <v>20.339412865653394</v>
      </c>
      <c r="CB38" s="22">
        <f t="shared" si="10"/>
        <v>162.02204740767968</v>
      </c>
      <c r="CC38" s="62">
        <f t="shared" si="11"/>
        <v>455.35538074101299</v>
      </c>
      <c r="CD38" s="62">
        <f ca="1">AVERAGE(OFFSET($CC$3,0,0,'Données projet'!$E$12+1,1))-AVERAGE(OFFSET($H$3,0,0,'Données projet'!$E$12+1,1))</f>
        <v>179.14256291235466</v>
      </c>
      <c r="CE38" s="62">
        <f t="shared" si="40"/>
        <v>107.5256983607585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12.74038461538462</v>
      </c>
      <c r="CT38" s="13">
        <f>IF('Données projet'!$A$140&gt;35,CT37+CS38-DB37,IF(A38&lt;'Données projet'!$A$140,$CQ$205^A38,IF(A38='Données projet'!$A$140,'Données projet'!$B$140,CT37+CS38-DB37)))</f>
        <v>166.37307692307695</v>
      </c>
      <c r="CU38" s="18">
        <f>CT38*VLOOKUP('Données projet'!$B$13,Paramètres!$A$1:$I$89,3,0)*VLOOKUP('Données projet'!$B$13,Paramètres!$A$1:$I$89,5,0)</f>
        <v>99.491100000000031</v>
      </c>
      <c r="CV38" s="14">
        <f t="shared" si="41"/>
        <v>26.84072316435665</v>
      </c>
      <c r="CW38" s="22">
        <f t="shared" si="13"/>
        <v>220.02792534458789</v>
      </c>
      <c r="CX38" s="62">
        <f t="shared" si="14"/>
        <v>513.36125867792123</v>
      </c>
      <c r="CY38" s="62">
        <f ca="1">AVERAGE(OFFSET($CX$3,0,0,'Données projet'!$E$13+1,1))-AVERAGE(OFFSET($H$3,0,0,'Données projet'!$E$13+1,1))</f>
        <v>237.03649693529445</v>
      </c>
      <c r="CZ38" s="62">
        <f t="shared" si="42"/>
        <v>191.04289411674887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0.93035265628731667</v>
      </c>
      <c r="DI38" s="24">
        <f t="shared" si="15"/>
        <v>0.93035265628731667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4.6210000000000004</v>
      </c>
      <c r="DO38" s="13">
        <f>IF('Données projet'!$A$166&gt;35,DO37+DN38-DW37,IF(A38&lt;'Données projet'!$A$166,$DL$205^A38,IF(A38='Données projet'!$A$166,'Données projet'!$B$166,DO37+DN38-DW37)))</f>
        <v>127.29499999999996</v>
      </c>
      <c r="DP38" s="18">
        <f>DO38*VLOOKUP('Données projet'!$B$14,Paramètres!$A$1:$I$89,3,0)*VLOOKUP('Données projet'!$B$14,Paramètres!$A$1:$I$89,5,0)</f>
        <v>146.64383999999993</v>
      </c>
      <c r="DQ38" s="14">
        <f t="shared" si="43"/>
        <v>37.81488466937892</v>
      </c>
      <c r="DR38" s="22">
        <f t="shared" si="16"/>
        <v>321.26561213250153</v>
      </c>
      <c r="DS38" s="62">
        <f t="shared" si="17"/>
        <v>614.59894546583484</v>
      </c>
      <c r="DT38" s="62">
        <f ca="1">AVERAGE(OFFSET($DS$3,0,0,'Données projet'!$E$14+1,1))-AVERAGE(OFFSET($H$3,0,0,'Données projet'!$E$14+1,1))</f>
        <v>431.38469096974364</v>
      </c>
      <c r="DU38" s="62">
        <f t="shared" si="44"/>
        <v>295.48627059086647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0.85272702978173465</v>
      </c>
      <c r="EC38" s="23">
        <f>EXP(-LN(2)/2)*EC37+(1-EXP(-LN(2)/2))/(LN(2)/2)*DW38*DZ38*VLOOKUP('Données projet'!$B$14,Paramètres!$A$1:$I$89,3,0)*0.475*44/12</f>
        <v>0.67854588985887931</v>
      </c>
      <c r="ED38" s="24">
        <f t="shared" si="18"/>
        <v>1.5312729196406138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72</v>
      </c>
      <c r="EH38" s="13">
        <f>VLOOKUP(A38,'Données projet'!$A$191:$I$211,9,0)</f>
        <v>3.6</v>
      </c>
      <c r="EI38" s="13">
        <f t="array" ref="EI38">INDEX(EH:EH,MIN(IF(ISNUMBER(EH38:EH234),ROW(EH38:EH234),"")))</f>
        <v>3.6</v>
      </c>
      <c r="EJ38" s="13">
        <f>IF('Données projet'!$A$192&gt;35,EJ37+EI38-ER37,IF(A38&lt;'Données projet'!$A$192,$EG$205^A38,IF(A38='Données projet'!$A$192,'Données projet'!$B$192,EJ37+EI38-ER37)))</f>
        <v>72</v>
      </c>
      <c r="EK38" s="18">
        <f>EJ38*VLOOKUP('Données projet'!$B$15,Paramètres!$A$1:$I$89,3,0)*VLOOKUP('Données projet'!$B$15,Paramètres!$A$1:$I$89,5,0)</f>
        <v>81.993600000000001</v>
      </c>
      <c r="EL38" s="14">
        <f t="shared" si="45"/>
        <v>22.623929199992311</v>
      </c>
      <c r="EM38" s="22">
        <f t="shared" si="19"/>
        <v>182.20886335665327</v>
      </c>
      <c r="EN38" s="62">
        <f t="shared" si="20"/>
        <v>475.54219668998655</v>
      </c>
      <c r="EO38" s="62">
        <f ca="1">AVERAGE(OFFSET($EN$3,0,0,'Données projet'!$E$15+1,1))-AVERAGE(OFFSET($H$3,0,0,'Données projet'!$E$15+1,1))</f>
        <v>220.03635832253951</v>
      </c>
      <c r="EP38" s="62">
        <f t="shared" si="46"/>
        <v>136.30639155882233</v>
      </c>
      <c r="EQ38" s="16">
        <f>IF(ISNA(VLOOKUP(A38,'Données projet'!$A$191:$I$211,3,0)),0,VLOOKUP(A38,'Données projet'!$A$191:$I$211,3,0))</f>
        <v>1</v>
      </c>
      <c r="ER38" s="16">
        <f>IF(ISNA(VLOOKUP(A38,'Données projet'!$A$191:$I$211,4,0)),0,VLOOKUP(A38,'Données projet'!$A$191:$I$211,4,0))</f>
        <v>17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205</v>
      </c>
      <c r="FC38" s="13">
        <f>VLOOKUP(A38,'Données projet'!$A$217:$I$237,9,0)</f>
        <v>16.399999999999999</v>
      </c>
      <c r="FD38" s="13">
        <f t="array" ref="FD38">INDEX(FC:FC,MIN(IF(ISNUMBER(FC38:FC234),ROW(FC38:FC234),"")))</f>
        <v>16.399999999999999</v>
      </c>
      <c r="FE38" s="13">
        <f>IF('Données projet'!$A$218&gt;35,FE37+FD38-FM37,IF(A38&lt;'Données projet'!$A$218,$FB$205^A38,IF(A38='Données projet'!$A$218,'Données projet'!$B$218,FE37+FD38-FM37)))</f>
        <v>205.00000000000003</v>
      </c>
      <c r="FF38" s="18">
        <f>FE38*VLOOKUP('Données projet'!$B$16,Paramètres!$A$1:$I$89,3,0)*VLOOKUP('Données projet'!$B$16,Paramètres!$A$1:$I$89,5,0)</f>
        <v>214.26600000000005</v>
      </c>
      <c r="FG38" s="14">
        <f t="shared" si="47"/>
        <v>52.86672010725195</v>
      </c>
      <c r="FH38" s="22">
        <f t="shared" si="22"/>
        <v>465.25615418679718</v>
      </c>
      <c r="FI38" s="62">
        <f t="shared" si="23"/>
        <v>758.58948752013043</v>
      </c>
      <c r="FJ38" s="62">
        <f ca="1">AVERAGE(OFFSET($FI$3,0,0,'Données projet'!$E$16+1,1))-AVERAGE(OFFSET($H$3,0,0,'Données projet'!$E$16+1,1))</f>
        <v>641.62708445664862</v>
      </c>
      <c r="FK38" s="62">
        <f t="shared" si="48"/>
        <v>379.46845863546929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3.8353180634182031</v>
      </c>
      <c r="FT38" s="24">
        <f t="shared" si="24"/>
        <v>3.8353180634182031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72</v>
      </c>
      <c r="FX38" s="13">
        <f>VLOOKUP(A38,'Données projet'!$A$243:$I$263,9,0)</f>
        <v>3.6</v>
      </c>
      <c r="FY38" s="13">
        <f t="array" ref="FY38">INDEX(FX:FX,MIN(IF(ISNUMBER(FX38:FX234),ROW(FX38:FX234),"")))</f>
        <v>3.6</v>
      </c>
      <c r="FZ38" s="13">
        <f>IF('Données projet'!$A$244&gt;35,FZ37+FY38-GH37,IF(A38&lt;'Données projet'!$A$244,$FW$205^A38,IF(A38='Données projet'!$A$244,'Données projet'!$B$244,FZ37+FY38-GH37)))</f>
        <v>72</v>
      </c>
      <c r="GA38" s="18">
        <f>FZ38*VLOOKUP('Données projet'!$B$17,Paramètres!$A$1:$I$89,3,0)*VLOOKUP('Données projet'!$B$17,Paramètres!$A$1:$I$89,5,0)</f>
        <v>69.638400000000004</v>
      </c>
      <c r="GB38" s="14">
        <f t="shared" si="49"/>
        <v>19.583632497664617</v>
      </c>
      <c r="GC38" s="22">
        <f t="shared" si="25"/>
        <v>155.39503993343254</v>
      </c>
      <c r="GD38" s="62">
        <f t="shared" si="26"/>
        <v>448.72837326676586</v>
      </c>
      <c r="GE38" s="62">
        <f ca="1">AVERAGE(OFFSET($GD$3,0,0,'Données projet'!$E$17+1,1))-AVERAGE(OFFSET($H$3,0,0,'Données projet'!$E$17+1,1))</f>
        <v>181.39066880931728</v>
      </c>
      <c r="GF38" s="62">
        <f t="shared" si="50"/>
        <v>116.06078566855524</v>
      </c>
      <c r="GG38" s="16">
        <f>IF(ISNA(VLOOKUP(A38,'Données projet'!$A$243:$I$263,3,0)),0,VLOOKUP(A38,'Données projet'!$A$243:$I$263,3,0))</f>
        <v>1</v>
      </c>
      <c r="GH38" s="16">
        <f>IF(ISNA(VLOOKUP(A38,'Données projet'!$A$243:$I$263,4,0)),0,VLOOKUP(A38,'Données projet'!$A$243:$I$263,4,0))</f>
        <v>17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95</v>
      </c>
      <c r="GS38" s="13">
        <f>VLOOKUP(A38,'Données projet'!$A$269:$I$289,9,0)</f>
        <v>6.6</v>
      </c>
      <c r="GT38" s="13">
        <f t="array" ref="GT38">INDEX(GS:GS,MIN(IF(ISNUMBER(GS38:GS234),ROW(GS38:GS234),"")))</f>
        <v>6.6</v>
      </c>
      <c r="GU38" s="13">
        <f>IF('Données projet'!$A$270&gt;35,GU37+GT38-HC37,IF(A38&lt;'Données projet'!$A$270,$GR$205^A38,IF(A38='Données projet'!$A$270,'Données projet'!$B$270,GU37+GT38-HC37)))</f>
        <v>95</v>
      </c>
      <c r="GV38" s="18">
        <f>GU38*VLOOKUP('Données projet'!$B$18,Paramètres!$A$1:$I$89,3,0)*VLOOKUP('Données projet'!$B$18,Paramètres!$A$1:$I$89,5,0)</f>
        <v>82.992000000000004</v>
      </c>
      <c r="GW38" s="14">
        <f t="shared" si="51"/>
        <v>22.867173045817324</v>
      </c>
      <c r="GX38" s="22">
        <f t="shared" si="28"/>
        <v>184.37139305479852</v>
      </c>
      <c r="GY38" s="62">
        <f t="shared" si="29"/>
        <v>477.7047263881318</v>
      </c>
      <c r="GZ38" s="62">
        <f ca="1">AVERAGE(OFFSET($GY$3,0,0,'Données projet'!$E$18+1,1))-AVERAGE(OFFSET($H$3,0,0,'Données projet'!$E$18+1,1))</f>
        <v>152.84277478695606</v>
      </c>
      <c r="HA38" s="62">
        <f t="shared" si="52"/>
        <v>179.22995976651015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9">
        <f t="shared" si="1"/>
        <v>302.05534883879602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126.1416</v>
      </c>
      <c r="P39" s="14">
        <f t="shared" si="33"/>
        <v>33.10323903126482</v>
      </c>
      <c r="Q39" s="22">
        <f t="shared" si="53"/>
        <v>277.35142797945286</v>
      </c>
      <c r="R39" s="62">
        <f t="shared" si="0"/>
        <v>570.68476131278612</v>
      </c>
      <c r="S39" s="62">
        <f ca="1">AVERAGE(OFFSET($R$3,0,0,'Données projet'!$E$9+1,1))-AVERAGE(OFFSET($H$3,0,0,'Données projet'!$E$9+1,1))</f>
        <v>383.26814640166805</v>
      </c>
      <c r="T39" s="62">
        <f t="shared" si="34"/>
        <v>233.71216103405249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</v>
      </c>
      <c r="AI39" s="14">
        <f>IF('Données projet'!$A$62&gt;35,AI38+AH39-AQ38,IF(A39&lt;'Données projet'!$A$62,$AF$205^A39,IF(A39='Données projet'!$A$62,'Données projet'!$B$62,AI38+AH39-AQ38)))</f>
        <v>59</v>
      </c>
      <c r="AJ39" s="14">
        <f>AI39*VLOOKUP('Données projet'!$B$10,Paramètres!$A$1:$I$89,3,0)*VLOOKUP('Données projet'!$B$10,Paramètres!$A$1:$I$89,5,0)</f>
        <v>63.507599999999989</v>
      </c>
      <c r="AK39" s="14">
        <f t="shared" si="35"/>
        <v>18.052146695841799</v>
      </c>
      <c r="AL39" s="22">
        <f t="shared" si="4"/>
        <v>142.04989216192445</v>
      </c>
      <c r="AM39" s="62">
        <f t="shared" si="5"/>
        <v>435.38322549525776</v>
      </c>
      <c r="AN39" s="62">
        <f ca="1">AVERAGE(OFFSET($AM$3,0,0,'Données projet'!$E$10+1,1))-AVERAGE(OFFSET($H$3,0,0,'Données projet'!$E$10+1,1))</f>
        <v>205.99910063756408</v>
      </c>
      <c r="AO39" s="62">
        <f t="shared" si="36"/>
        <v>128.95330275493671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262.57692307692309</v>
      </c>
      <c r="BB39" s="13">
        <f>VLOOKUP(A39,'Données projet'!$A$87:$I$107,9,0)</f>
        <v>14.298901098901101</v>
      </c>
      <c r="BC39" s="13">
        <f t="array" ref="BC39">INDEX(BB:BB,MIN(IF(ISNUMBER(BB39:BB235),ROW(BB39:BB235),"")))</f>
        <v>14.298901098901101</v>
      </c>
      <c r="BD39" s="13">
        <f>IF('Données projet'!$A$88&gt;35,BD38+BC39-BL38,IF(A39&lt;'Données projet'!$A$88,$BA$205^A39,IF(A39='Données projet'!$A$88,'Données projet'!$B$88,BD38+BC39-BL38)))</f>
        <v>262.57692307692309</v>
      </c>
      <c r="BE39" s="14">
        <f>BD39*VLOOKUP('Données projet'!$B$11,Paramètres!$A$1:$I$89,3,0)*VLOOKUP('Données projet'!$B$11,Paramètres!$A$1:$I$89,5,0)</f>
        <v>157.02100000000002</v>
      </c>
      <c r="BF39" s="14">
        <f t="shared" si="37"/>
        <v>40.169860444278903</v>
      </c>
      <c r="BG39" s="22">
        <f t="shared" si="7"/>
        <v>343.44074860711908</v>
      </c>
      <c r="BH39" s="62">
        <f t="shared" si="8"/>
        <v>636.77408194045233</v>
      </c>
      <c r="BI39" s="62">
        <f ca="1">AVERAGE(OFFSET($BH$3,0,0,'Données projet'!$E$11+1,1))-AVERAGE(OFFSET($H$3,0,0,'Données projet'!$E$11+1,1))</f>
        <v>222.20580087523689</v>
      </c>
      <c r="BJ39" s="62">
        <f t="shared" si="38"/>
        <v>232.08940427392253</v>
      </c>
      <c r="BK39" s="16">
        <f>IF(ISNA(VLOOKUP(A39,'Données projet'!$A$87:$I$107,3,0)),0,VLOOKUP(A39,'Données projet'!$A$87:$I$107,3,0))</f>
        <v>4</v>
      </c>
      <c r="BL39" s="16">
        <f>IF(ISNA(VLOOKUP(A39,'Données projet'!$A$87:$I$107,4,0)),0,VLOOKUP(A39,'Données projet'!$A$87:$I$107,4,0))</f>
        <v>64.553846153846166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8.8870037256024101</v>
      </c>
      <c r="BQ39" s="23">
        <f>EXP(-LN(2)/25)*BQ38+(1-EXP(-LN(2)/25))/(LN(2)/25)*Calculateur!BL39*Calculateur!BN39*VLOOKUP('Données projet'!$B$11,Paramètres!$A$1:$I$89,3,0)*0.475*44/12</f>
        <v>13.917137659704558</v>
      </c>
      <c r="BR39" s="23">
        <f>EXP(-LN(2)/2)*BR38+(1-EXP(-LN(2)/2))/(LN(2)/2)*BL39*BO39*VLOOKUP('Données projet'!$B$11,Paramètres!$A$1:$I$89,3,0)*0.475*44/12</f>
        <v>0.79249511824048036</v>
      </c>
      <c r="BS39" s="24">
        <f t="shared" si="9"/>
        <v>23.596636503547451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10.407692307692306</v>
      </c>
      <c r="BY39" s="13">
        <f>IF('Données projet'!$A$114&gt;35,BY38+BX39-CG38,IF(A39&lt;'Données projet'!$A$114,$BV$205^A39,IF(A39='Données projet'!$A$114,'Données projet'!$B$114,BY38+BX39-CG38)))</f>
        <v>165.72307692307692</v>
      </c>
      <c r="BZ39" s="14">
        <f>BY39*VLOOKUP('Données projet'!$B$12,Paramètres!$A$1:$I$89,3,0)*VLOOKUP('Données projet'!$B$12,Paramètres!$A$1:$I$89,5,0)</f>
        <v>77.558400000000006</v>
      </c>
      <c r="CA39" s="14">
        <f t="shared" si="39"/>
        <v>21.539127592741618</v>
      </c>
      <c r="CB39" s="22">
        <f t="shared" si="10"/>
        <v>172.59486055735832</v>
      </c>
      <c r="CC39" s="62">
        <f t="shared" si="11"/>
        <v>465.92819389069166</v>
      </c>
      <c r="CD39" s="62">
        <f ca="1">AVERAGE(OFFSET($CC$3,0,0,'Données projet'!$E$12+1,1))-AVERAGE(OFFSET($H$3,0,0,'Données projet'!$E$12+1,1))</f>
        <v>179.14256291235466</v>
      </c>
      <c r="CE39" s="62">
        <f t="shared" si="40"/>
        <v>107.5256983607585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12.74038461538462</v>
      </c>
      <c r="CT39" s="13">
        <f>IF('Données projet'!$A$140&gt;35,CT38+CS39-DB38,IF(A39&lt;'Données projet'!$A$140,$CQ$205^A39,IF(A39='Données projet'!$A$140,'Données projet'!$B$140,CT38+CS39-DB38)))</f>
        <v>179.11346153846156</v>
      </c>
      <c r="CU39" s="18">
        <f>CT39*VLOOKUP('Données projet'!$B$13,Paramètres!$A$1:$I$89,3,0)*VLOOKUP('Données projet'!$B$13,Paramètres!$A$1:$I$89,5,0)</f>
        <v>107.10985000000002</v>
      </c>
      <c r="CV39" s="14">
        <f t="shared" si="41"/>
        <v>28.64899110170736</v>
      </c>
      <c r="CW39" s="22">
        <f t="shared" si="13"/>
        <v>236.44664825214033</v>
      </c>
      <c r="CX39" s="62">
        <f t="shared" si="14"/>
        <v>529.77998158547371</v>
      </c>
      <c r="CY39" s="62">
        <f ca="1">AVERAGE(OFFSET($CX$3,0,0,'Données projet'!$E$13+1,1))-AVERAGE(OFFSET($H$3,0,0,'Données projet'!$E$13+1,1))</f>
        <v>237.03649693529445</v>
      </c>
      <c r="CZ39" s="62">
        <f t="shared" si="42"/>
        <v>191.04289411674887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0.65785867215567895</v>
      </c>
      <c r="DI39" s="24">
        <f t="shared" si="15"/>
        <v>0.65785867215567895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4.6210000000000004</v>
      </c>
      <c r="DO39" s="13">
        <f>IF('Données projet'!$A$166&gt;35,DO38+DN39-DW38,IF(A39&lt;'Données projet'!$A$166,$DL$205^A39,IF(A39='Données projet'!$A$166,'Données projet'!$B$166,DO38+DN39-DW38)))</f>
        <v>131.91599999999997</v>
      </c>
      <c r="DP39" s="18">
        <f>DO39*VLOOKUP('Données projet'!$B$14,Paramètres!$A$1:$I$89,3,0)*VLOOKUP('Données projet'!$B$14,Paramètres!$A$1:$I$89,5,0)</f>
        <v>151.96723199999997</v>
      </c>
      <c r="DQ39" s="14">
        <f t="shared" si="43"/>
        <v>39.025306570875799</v>
      </c>
      <c r="DR39" s="22">
        <f t="shared" si="16"/>
        <v>332.64533801094188</v>
      </c>
      <c r="DS39" s="62">
        <f t="shared" si="17"/>
        <v>625.9786713442752</v>
      </c>
      <c r="DT39" s="62">
        <f ca="1">AVERAGE(OFFSET($DS$3,0,0,'Données projet'!$E$14+1,1))-AVERAGE(OFFSET($H$3,0,0,'Données projet'!$E$14+1,1))</f>
        <v>431.38469096974364</v>
      </c>
      <c r="DU39" s="62">
        <f t="shared" si="44"/>
        <v>295.48627059086647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0.8294091643093876</v>
      </c>
      <c r="EC39" s="23">
        <f>EXP(-LN(2)/2)*EC38+(1-EXP(-LN(2)/2))/(LN(2)/2)*DW39*DZ39*VLOOKUP('Données projet'!$B$14,Paramètres!$A$1:$I$89,3,0)*0.475*44/12</f>
        <v>0.47980440006547376</v>
      </c>
      <c r="ED39" s="24">
        <f t="shared" si="18"/>
        <v>1.3092135643748612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4</v>
      </c>
      <c r="EJ39" s="13">
        <f>IF('Données projet'!$A$192&gt;35,EJ38+EI39-ER38,IF(A39&lt;'Données projet'!$A$192,$EG$205^A39,IF(A39='Données projet'!$A$192,'Données projet'!$B$192,EJ38+EI39-ER38)))</f>
        <v>59</v>
      </c>
      <c r="EK39" s="18">
        <f>EJ39*VLOOKUP('Données projet'!$B$15,Paramètres!$A$1:$I$89,3,0)*VLOOKUP('Données projet'!$B$15,Paramètres!$A$1:$I$89,5,0)</f>
        <v>67.1892</v>
      </c>
      <c r="EL39" s="14">
        <f t="shared" si="45"/>
        <v>18.973780699598183</v>
      </c>
      <c r="EM39" s="22">
        <f t="shared" si="19"/>
        <v>150.06719138513347</v>
      </c>
      <c r="EN39" s="62">
        <f t="shared" si="20"/>
        <v>443.40052471846678</v>
      </c>
      <c r="EO39" s="62">
        <f ca="1">AVERAGE(OFFSET($EN$3,0,0,'Données projet'!$E$15+1,1))-AVERAGE(OFFSET($H$3,0,0,'Données projet'!$E$15+1,1))</f>
        <v>220.03635832253951</v>
      </c>
      <c r="EP39" s="62">
        <f t="shared" si="46"/>
        <v>136.30639155882233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6.8</v>
      </c>
      <c r="FE39" s="13">
        <f>IF('Données projet'!$A$218&gt;35,FE38+FD39-FM38,IF(A39&lt;'Données projet'!$A$218,$FB$205^A39,IF(A39='Données projet'!$A$218,'Données projet'!$B$218,FE38+FD39-FM38)))</f>
        <v>211.80000000000004</v>
      </c>
      <c r="FF39" s="18">
        <f>FE39*VLOOKUP('Données projet'!$B$16,Paramètres!$A$1:$I$89,3,0)*VLOOKUP('Données projet'!$B$16,Paramètres!$A$1:$I$89,5,0)</f>
        <v>221.37336000000005</v>
      </c>
      <c r="FG39" s="14">
        <f t="shared" si="47"/>
        <v>54.413270534861624</v>
      </c>
      <c r="FH39" s="22">
        <f t="shared" si="22"/>
        <v>480.32838151488409</v>
      </c>
      <c r="FI39" s="62">
        <f t="shared" si="23"/>
        <v>773.66171484821734</v>
      </c>
      <c r="FJ39" s="62">
        <f ca="1">AVERAGE(OFFSET($FI$3,0,0,'Données projet'!$E$16+1,1))-AVERAGE(OFFSET($H$3,0,0,'Données projet'!$E$16+1,1))</f>
        <v>641.62708445664862</v>
      </c>
      <c r="FK39" s="62">
        <f t="shared" si="48"/>
        <v>379.46845863546929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2.7119794106502688</v>
      </c>
      <c r="FT39" s="24">
        <f t="shared" si="24"/>
        <v>2.7119794106502688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4</v>
      </c>
      <c r="FZ39" s="13">
        <f>IF('Données projet'!$A$244&gt;35,FZ38+FY39-GH38,IF(A39&lt;'Données projet'!$A$244,$FW$205^A39,IF(A39='Données projet'!$A$244,'Données projet'!$B$244,FZ38+FY39-GH38)))</f>
        <v>59</v>
      </c>
      <c r="GA39" s="18">
        <f>FZ39*VLOOKUP('Données projet'!$B$17,Paramètres!$A$1:$I$89,3,0)*VLOOKUP('Données projet'!$B$17,Paramètres!$A$1:$I$89,5,0)</f>
        <v>57.064799999999998</v>
      </c>
      <c r="GB39" s="14">
        <f t="shared" si="49"/>
        <v>16.424005972947381</v>
      </c>
      <c r="GC39" s="22">
        <f t="shared" si="25"/>
        <v>127.99300373621668</v>
      </c>
      <c r="GD39" s="62">
        <f t="shared" si="26"/>
        <v>421.32633706954999</v>
      </c>
      <c r="GE39" s="62">
        <f ca="1">AVERAGE(OFFSET($GD$3,0,0,'Données projet'!$E$17+1,1))-AVERAGE(OFFSET($H$3,0,0,'Données projet'!$E$17+1,1))</f>
        <v>181.39066880931728</v>
      </c>
      <c r="GF39" s="62">
        <f t="shared" si="50"/>
        <v>116.06078566855524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5.6</v>
      </c>
      <c r="GU39" s="13">
        <f>IF('Données projet'!$A$270&gt;35,GU38+GT39-HC38,IF(A39&lt;'Données projet'!$A$270,$GR$205^A39,IF(A39='Données projet'!$A$270,'Données projet'!$B$270,GU38+GT39-HC38)))</f>
        <v>100.6</v>
      </c>
      <c r="GV39" s="18">
        <f>GU39*VLOOKUP('Données projet'!$B$18,Paramètres!$A$1:$I$89,3,0)*VLOOKUP('Données projet'!$B$18,Paramètres!$A$1:$I$89,5,0)</f>
        <v>87.884160000000008</v>
      </c>
      <c r="GW39" s="14">
        <f t="shared" si="51"/>
        <v>24.054230949481131</v>
      </c>
      <c r="GX39" s="22">
        <f t="shared" si="28"/>
        <v>194.95936423701301</v>
      </c>
      <c r="GY39" s="62">
        <f t="shared" si="29"/>
        <v>488.29269757034632</v>
      </c>
      <c r="GZ39" s="62">
        <f ca="1">AVERAGE(OFFSET($GY$3,0,0,'Données projet'!$E$18+1,1))-AVERAGE(OFFSET($H$3,0,0,'Données projet'!$E$18+1,1))</f>
        <v>152.84277478695606</v>
      </c>
      <c r="HA39" s="62">
        <f t="shared" si="52"/>
        <v>179.22995976651015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9">
        <f t="shared" si="1"/>
        <v>303.27964130405229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134.65920000000003</v>
      </c>
      <c r="P40" s="14">
        <f t="shared" si="33"/>
        <v>35.07074737441733</v>
      </c>
      <c r="Q40" s="22">
        <f t="shared" si="53"/>
        <v>295.61299167711019</v>
      </c>
      <c r="R40" s="62">
        <f t="shared" si="0"/>
        <v>588.9463250104435</v>
      </c>
      <c r="S40" s="62">
        <f ca="1">AVERAGE(OFFSET($R$3,0,0,'Données projet'!$E$9+1,1))-AVERAGE(OFFSET($H$3,0,0,'Données projet'!$E$9+1,1))</f>
        <v>383.26814640166805</v>
      </c>
      <c r="T40" s="62">
        <f t="shared" si="34"/>
        <v>233.71216103405249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</v>
      </c>
      <c r="AI40" s="14">
        <f>IF('Données projet'!$A$62&gt;35,AI39+AH40-AQ39,IF(A40&lt;'Données projet'!$A$62,$AF$205^A40,IF(A40='Données projet'!$A$62,'Données projet'!$B$62,AI39+AH40-AQ39)))</f>
        <v>63</v>
      </c>
      <c r="AJ40" s="14">
        <f>AI40*VLOOKUP('Données projet'!$B$10,Paramètres!$A$1:$I$89,3,0)*VLOOKUP('Données projet'!$B$10,Paramètres!$A$1:$I$89,5,0)</f>
        <v>67.813199999999995</v>
      </c>
      <c r="AK40" s="14">
        <f t="shared" si="35"/>
        <v>19.12939901326985</v>
      </c>
      <c r="AL40" s="22">
        <f t="shared" si="4"/>
        <v>151.42502661477829</v>
      </c>
      <c r="AM40" s="62">
        <f t="shared" si="5"/>
        <v>444.7583599481116</v>
      </c>
      <c r="AN40" s="62">
        <f ca="1">AVERAGE(OFFSET($AM$3,0,0,'Données projet'!$E$10+1,1))-AVERAGE(OFFSET($H$3,0,0,'Données projet'!$E$10+1,1))</f>
        <v>205.99910063756408</v>
      </c>
      <c r="AO40" s="62">
        <f t="shared" si="36"/>
        <v>128.95330275493671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13.141346153846158</v>
      </c>
      <c r="BD40" s="13">
        <f>IF('Données projet'!$A$88&gt;35,BD39+BC40-BL39,IF(A40&lt;'Données projet'!$A$88,$BA$205^A40,IF(A40='Données projet'!$A$88,'Données projet'!$B$88,BD39+BC40-BL39)))</f>
        <v>211.16442307692307</v>
      </c>
      <c r="BE40" s="14">
        <f>BD40*VLOOKUP('Données projet'!$B$11,Paramètres!$A$1:$I$89,3,0)*VLOOKUP('Données projet'!$B$11,Paramètres!$A$1:$I$89,5,0)</f>
        <v>126.27632500000001</v>
      </c>
      <c r="BF40" s="14">
        <f t="shared" si="37"/>
        <v>33.134477451871625</v>
      </c>
      <c r="BG40" s="22">
        <f t="shared" si="7"/>
        <v>277.64048093700978</v>
      </c>
      <c r="BH40" s="62">
        <f t="shared" si="8"/>
        <v>570.97381427034315</v>
      </c>
      <c r="BI40" s="62">
        <f ca="1">AVERAGE(OFFSET($BH$3,0,0,'Données projet'!$E$11+1,1))-AVERAGE(OFFSET($H$3,0,0,'Données projet'!$E$11+1,1))</f>
        <v>222.20580087523689</v>
      </c>
      <c r="BJ40" s="62">
        <f t="shared" si="38"/>
        <v>232.08940427392253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8.7127350030803861</v>
      </c>
      <c r="BQ40" s="23">
        <f>EXP(-LN(2)/25)*BQ39+(1-EXP(-LN(2)/25))/(LN(2)/25)*Calculateur!BL40*Calculateur!BN40*VLOOKUP('Données projet'!$B$11,Paramètres!$A$1:$I$89,3,0)*0.475*44/12</f>
        <v>13.536572798529475</v>
      </c>
      <c r="BR40" s="23">
        <f>EXP(-LN(2)/2)*BR39+(1-EXP(-LN(2)/2))/(LN(2)/2)*BL40*BO40*VLOOKUP('Données projet'!$B$11,Paramètres!$A$1:$I$89,3,0)*0.475*44/12</f>
        <v>0.56037867216507853</v>
      </c>
      <c r="BS40" s="24">
        <f t="shared" si="9"/>
        <v>22.809686473774939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10.407692307692306</v>
      </c>
      <c r="BY40" s="13">
        <f>IF('Données projet'!$A$114&gt;35,BY39+BX40-CG39,IF(A40&lt;'Données projet'!$A$114,$BV$205^A40,IF(A40='Données projet'!$A$114,'Données projet'!$B$114,BY39+BX40-CG39)))</f>
        <v>176.13076923076923</v>
      </c>
      <c r="BZ40" s="14">
        <f>BY40*VLOOKUP('Données projet'!$B$12,Paramètres!$A$1:$I$89,3,0)*VLOOKUP('Données projet'!$B$12,Paramètres!$A$1:$I$89,5,0)</f>
        <v>82.429199999999994</v>
      </c>
      <c r="CA40" s="14">
        <f t="shared" si="39"/>
        <v>22.730098173705116</v>
      </c>
      <c r="CB40" s="22">
        <f t="shared" si="10"/>
        <v>183.15244431920306</v>
      </c>
      <c r="CC40" s="62">
        <f t="shared" si="11"/>
        <v>476.4857776525364</v>
      </c>
      <c r="CD40" s="62">
        <f ca="1">AVERAGE(OFFSET($CC$3,0,0,'Données projet'!$E$12+1,1))-AVERAGE(OFFSET($H$3,0,0,'Données projet'!$E$12+1,1))</f>
        <v>179.14256291235466</v>
      </c>
      <c r="CE40" s="62">
        <f t="shared" si="40"/>
        <v>107.5256983607585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12.74038461538462</v>
      </c>
      <c r="CT40" s="13">
        <f>IF('Données projet'!$A$140&gt;35,CT39+CS40-DB39,IF(A40&lt;'Données projet'!$A$140,$CQ$205^A40,IF(A40='Données projet'!$A$140,'Données projet'!$B$140,CT39+CS40-DB39)))</f>
        <v>191.85384615384618</v>
      </c>
      <c r="CU40" s="18">
        <f>CT40*VLOOKUP('Données projet'!$B$13,Paramètres!$A$1:$I$89,3,0)*VLOOKUP('Données projet'!$B$13,Paramètres!$A$1:$I$89,5,0)</f>
        <v>114.72860000000003</v>
      </c>
      <c r="CV40" s="14">
        <f t="shared" si="41"/>
        <v>30.442335906087649</v>
      </c>
      <c r="CW40" s="22">
        <f t="shared" si="13"/>
        <v>252.83938003643598</v>
      </c>
      <c r="CX40" s="62">
        <f t="shared" si="14"/>
        <v>546.17271336976933</v>
      </c>
      <c r="CY40" s="62">
        <f ca="1">AVERAGE(OFFSET($CX$3,0,0,'Données projet'!$E$13+1,1))-AVERAGE(OFFSET($H$3,0,0,'Données projet'!$E$13+1,1))</f>
        <v>237.03649693529445</v>
      </c>
      <c r="CZ40" s="62">
        <f t="shared" si="42"/>
        <v>191.04289411674887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0.46517632814365839</v>
      </c>
      <c r="DI40" s="24">
        <f t="shared" si="15"/>
        <v>0.46517632814365839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4.6210000000000004</v>
      </c>
      <c r="DO40" s="13">
        <f>IF('Données projet'!$A$166&gt;35,DO39+DN40-DW39,IF(A40&lt;'Données projet'!$A$166,$DL$205^A40,IF(A40='Données projet'!$A$166,'Données projet'!$B$166,DO39+DN40-DW39)))</f>
        <v>136.53699999999998</v>
      </c>
      <c r="DP40" s="18">
        <f>DO40*VLOOKUP('Données projet'!$B$14,Paramètres!$A$1:$I$89,3,0)*VLOOKUP('Données projet'!$B$14,Paramètres!$A$1:$I$89,5,0)</f>
        <v>157.29062399999998</v>
      </c>
      <c r="DQ40" s="14">
        <f t="shared" si="43"/>
        <v>40.230801989561272</v>
      </c>
      <c r="DR40" s="22">
        <f t="shared" si="16"/>
        <v>344.01648359848582</v>
      </c>
      <c r="DS40" s="62">
        <f t="shared" si="17"/>
        <v>637.34981693181908</v>
      </c>
      <c r="DT40" s="62">
        <f ca="1">AVERAGE(OFFSET($DS$3,0,0,'Données projet'!$E$14+1,1))-AVERAGE(OFFSET($H$3,0,0,'Données projet'!$E$14+1,1))</f>
        <v>431.38469096974364</v>
      </c>
      <c r="DU40" s="62">
        <f t="shared" si="44"/>
        <v>295.48627059086647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0.80672892709461508</v>
      </c>
      <c r="EC40" s="23">
        <f>EXP(-LN(2)/2)*EC39+(1-EXP(-LN(2)/2))/(LN(2)/2)*DW40*DZ40*VLOOKUP('Données projet'!$B$14,Paramètres!$A$1:$I$89,3,0)*0.475*44/12</f>
        <v>0.33927294492943966</v>
      </c>
      <c r="ED40" s="24">
        <f t="shared" si="18"/>
        <v>1.1460018720240548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4</v>
      </c>
      <c r="EJ40" s="13">
        <f>IF('Données projet'!$A$192&gt;35,EJ39+EI40-ER39,IF(A40&lt;'Données projet'!$A$192,$EG$205^A40,IF(A40='Données projet'!$A$192,'Données projet'!$B$192,EJ39+EI40-ER39)))</f>
        <v>63</v>
      </c>
      <c r="EK40" s="18">
        <f>EJ40*VLOOKUP('Données projet'!$B$15,Paramètres!$A$1:$I$89,3,0)*VLOOKUP('Données projet'!$B$15,Paramètres!$A$1:$I$89,5,0)</f>
        <v>71.744399999999999</v>
      </c>
      <c r="EL40" s="14">
        <f t="shared" si="45"/>
        <v>20.106031039316598</v>
      </c>
      <c r="EM40" s="22">
        <f t="shared" si="19"/>
        <v>159.97283406014307</v>
      </c>
      <c r="EN40" s="62">
        <f t="shared" si="20"/>
        <v>453.30616739347636</v>
      </c>
      <c r="EO40" s="62">
        <f ca="1">AVERAGE(OFFSET($EN$3,0,0,'Données projet'!$E$15+1,1))-AVERAGE(OFFSET($H$3,0,0,'Données projet'!$E$15+1,1))</f>
        <v>220.03635832253951</v>
      </c>
      <c r="EP40" s="62">
        <f t="shared" si="46"/>
        <v>136.30639155882233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6.8</v>
      </c>
      <c r="FE40" s="13">
        <f>IF('Données projet'!$A$218&gt;35,FE39+FD40-FM39,IF(A40&lt;'Données projet'!$A$218,$FB$205^A40,IF(A40='Données projet'!$A$218,'Données projet'!$B$218,FE39+FD40-FM39)))</f>
        <v>218.60000000000005</v>
      </c>
      <c r="FF40" s="18">
        <f>FE40*VLOOKUP('Données projet'!$B$16,Paramètres!$A$1:$I$89,3,0)*VLOOKUP('Données projet'!$B$16,Paramètres!$A$1:$I$89,5,0)</f>
        <v>228.48072000000008</v>
      </c>
      <c r="FG40" s="14">
        <f t="shared" si="47"/>
        <v>55.954051071533556</v>
      </c>
      <c r="FH40" s="22">
        <f t="shared" si="22"/>
        <v>495.39055961625439</v>
      </c>
      <c r="FI40" s="62">
        <f t="shared" si="23"/>
        <v>788.72389294958771</v>
      </c>
      <c r="FJ40" s="62">
        <f ca="1">AVERAGE(OFFSET($FI$3,0,0,'Données projet'!$E$16+1,1))-AVERAGE(OFFSET($H$3,0,0,'Données projet'!$E$16+1,1))</f>
        <v>641.62708445664862</v>
      </c>
      <c r="FK40" s="62">
        <f t="shared" si="48"/>
        <v>379.46845863546929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1.9176590317091018</v>
      </c>
      <c r="FT40" s="24">
        <f t="shared" si="24"/>
        <v>1.9176590317091018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4</v>
      </c>
      <c r="FZ40" s="13">
        <f>IF('Données projet'!$A$244&gt;35,FZ39+FY40-GH39,IF(A40&lt;'Données projet'!$A$244,$FW$205^A40,IF(A40='Données projet'!$A$244,'Données projet'!$B$244,FZ39+FY40-GH39)))</f>
        <v>63</v>
      </c>
      <c r="GA40" s="18">
        <f>FZ40*VLOOKUP('Données projet'!$B$17,Paramètres!$A$1:$I$89,3,0)*VLOOKUP('Données projet'!$B$17,Paramètres!$A$1:$I$89,5,0)</f>
        <v>60.933600000000006</v>
      </c>
      <c r="GB40" s="14">
        <f t="shared" si="49"/>
        <v>17.404099852856145</v>
      </c>
      <c r="GC40" s="22">
        <f t="shared" si="25"/>
        <v>136.4381605770578</v>
      </c>
      <c r="GD40" s="62">
        <f t="shared" si="26"/>
        <v>429.77149391039109</v>
      </c>
      <c r="GE40" s="62">
        <f ca="1">AVERAGE(OFFSET($GD$3,0,0,'Données projet'!$E$17+1,1))-AVERAGE(OFFSET($H$3,0,0,'Données projet'!$E$17+1,1))</f>
        <v>181.39066880931728</v>
      </c>
      <c r="GF40" s="62">
        <f t="shared" si="50"/>
        <v>116.06078566855524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5.6</v>
      </c>
      <c r="GU40" s="13">
        <f>IF('Données projet'!$A$270&gt;35,GU39+GT40-HC39,IF(A40&lt;'Données projet'!$A$270,$GR$205^A40,IF(A40='Données projet'!$A$270,'Données projet'!$B$270,GU39+GT40-HC39)))</f>
        <v>106.19999999999999</v>
      </c>
      <c r="GV40" s="18">
        <f>GU40*VLOOKUP('Données projet'!$B$18,Paramètres!$A$1:$I$89,3,0)*VLOOKUP('Données projet'!$B$18,Paramètres!$A$1:$I$89,5,0)</f>
        <v>92.776319999999998</v>
      </c>
      <c r="GW40" s="14">
        <f t="shared" si="51"/>
        <v>25.233617967655977</v>
      </c>
      <c r="GX40" s="22">
        <f t="shared" si="28"/>
        <v>205.53397529366748</v>
      </c>
      <c r="GY40" s="62">
        <f t="shared" si="29"/>
        <v>498.8673086270008</v>
      </c>
      <c r="GZ40" s="62">
        <f ca="1">AVERAGE(OFFSET($GY$3,0,0,'Données projet'!$E$18+1,1))-AVERAGE(OFFSET($H$3,0,0,'Données projet'!$E$18+1,1))</f>
        <v>152.84277478695606</v>
      </c>
      <c r="HA40" s="62">
        <f t="shared" si="52"/>
        <v>179.22995976651015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9">
        <f t="shared" si="1"/>
        <v>304.50307508943433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143.17680000000004</v>
      </c>
      <c r="P41" s="14">
        <f t="shared" si="33"/>
        <v>37.023812674521515</v>
      </c>
      <c r="Q41" s="22">
        <f t="shared" si="53"/>
        <v>313.84940040812506</v>
      </c>
      <c r="R41" s="62">
        <f t="shared" si="0"/>
        <v>607.18273374145838</v>
      </c>
      <c r="S41" s="62">
        <f ca="1">AVERAGE(OFFSET($R$3,0,0,'Données projet'!$E$9+1,1))-AVERAGE(OFFSET($H$3,0,0,'Données projet'!$E$9+1,1))</f>
        <v>383.26814640166805</v>
      </c>
      <c r="T41" s="62">
        <f t="shared" si="34"/>
        <v>233.71216103405249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</v>
      </c>
      <c r="AI41" s="14">
        <f>IF('Données projet'!$A$62&gt;35,AI40+AH41-AQ40,IF(A41&lt;'Données projet'!$A$62,$AF$205^A41,IF(A41='Données projet'!$A$62,'Données projet'!$B$62,AI40+AH41-AQ40)))</f>
        <v>67</v>
      </c>
      <c r="AJ41" s="14">
        <f>AI41*VLOOKUP('Données projet'!$B$10,Paramètres!$A$1:$I$89,3,0)*VLOOKUP('Données projet'!$B$10,Paramètres!$A$1:$I$89,5,0)</f>
        <v>72.118799999999993</v>
      </c>
      <c r="AK41" s="14">
        <f t="shared" si="35"/>
        <v>20.198713641862817</v>
      </c>
      <c r="AL41" s="22">
        <f t="shared" si="4"/>
        <v>160.78633625957769</v>
      </c>
      <c r="AM41" s="62">
        <f t="shared" si="5"/>
        <v>454.11966959291101</v>
      </c>
      <c r="AN41" s="62">
        <f ca="1">AVERAGE(OFFSET($AM$3,0,0,'Données projet'!$E$10+1,1))-AVERAGE(OFFSET($H$3,0,0,'Données projet'!$E$10+1,1))</f>
        <v>205.99910063756408</v>
      </c>
      <c r="AO41" s="62">
        <f t="shared" si="36"/>
        <v>128.95330275493671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13.141346153846158</v>
      </c>
      <c r="BD41" s="13">
        <f>IF('Données projet'!$A$88&gt;35,BD40+BC41-BL40,IF(A41&lt;'Données projet'!$A$88,$BA$205^A41,IF(A41='Données projet'!$A$88,'Données projet'!$B$88,BD40+BC41-BL40)))</f>
        <v>224.30576923076922</v>
      </c>
      <c r="BE41" s="14">
        <f>BD41*VLOOKUP('Données projet'!$B$11,Paramètres!$A$1:$I$89,3,0)*VLOOKUP('Données projet'!$B$11,Paramètres!$A$1:$I$89,5,0)</f>
        <v>134.13485</v>
      </c>
      <c r="BF41" s="14">
        <f t="shared" si="37"/>
        <v>34.950053695803156</v>
      </c>
      <c r="BG41" s="22">
        <f t="shared" si="7"/>
        <v>294.48954060352384</v>
      </c>
      <c r="BH41" s="62">
        <f t="shared" si="8"/>
        <v>587.82287393685715</v>
      </c>
      <c r="BI41" s="62">
        <f ca="1">AVERAGE(OFFSET($BH$3,0,0,'Données projet'!$E$11+1,1))-AVERAGE(OFFSET($H$3,0,0,'Données projet'!$E$11+1,1))</f>
        <v>222.20580087523689</v>
      </c>
      <c r="BJ41" s="62">
        <f t="shared" si="38"/>
        <v>232.08940427392253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8.5418835839135934</v>
      </c>
      <c r="BQ41" s="23">
        <f>EXP(-LN(2)/25)*BQ40+(1-EXP(-LN(2)/25))/(LN(2)/25)*Calculateur!BL41*Calculateur!BN41*VLOOKUP('Données projet'!$B$11,Paramètres!$A$1:$I$89,3,0)*0.475*44/12</f>
        <v>13.166414503496261</v>
      </c>
      <c r="BR41" s="23">
        <f>EXP(-LN(2)/2)*BR40+(1-EXP(-LN(2)/2))/(LN(2)/2)*BL41*BO41*VLOOKUP('Données projet'!$B$11,Paramètres!$A$1:$I$89,3,0)*0.475*44/12</f>
        <v>0.39624755912024023</v>
      </c>
      <c r="BS41" s="24">
        <f t="shared" si="9"/>
        <v>22.104545646530095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10.407692307692306</v>
      </c>
      <c r="BY41" s="13">
        <f>IF('Données projet'!$A$114&gt;35,BY40+BX41-CG40,IF(A41&lt;'Données projet'!$A$114,$BV$205^A41,IF(A41='Données projet'!$A$114,'Données projet'!$B$114,BY40+BX41-CG40)))</f>
        <v>186.53846153846155</v>
      </c>
      <c r="BZ41" s="14">
        <f>BY41*VLOOKUP('Données projet'!$B$12,Paramètres!$A$1:$I$89,3,0)*VLOOKUP('Données projet'!$B$12,Paramètres!$A$1:$I$89,5,0)</f>
        <v>87.300000000000011</v>
      </c>
      <c r="CA41" s="14">
        <f t="shared" si="39"/>
        <v>23.912900160000429</v>
      </c>
      <c r="CB41" s="22">
        <f t="shared" si="10"/>
        <v>193.69580111200079</v>
      </c>
      <c r="CC41" s="62">
        <f t="shared" si="11"/>
        <v>487.02913444533408</v>
      </c>
      <c r="CD41" s="62">
        <f ca="1">AVERAGE(OFFSET($CC$3,0,0,'Données projet'!$E$12+1,1))-AVERAGE(OFFSET($H$3,0,0,'Données projet'!$E$12+1,1))</f>
        <v>179.14256291235466</v>
      </c>
      <c r="CE41" s="62">
        <f t="shared" si="40"/>
        <v>107.5256983607585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12.74038461538462</v>
      </c>
      <c r="CT41" s="13">
        <f>IF('Données projet'!$A$140&gt;35,CT40+CS41-DB40,IF(A41&lt;'Données projet'!$A$140,$CQ$205^A41,IF(A41='Données projet'!$A$140,'Données projet'!$B$140,CT40+CS41-DB40)))</f>
        <v>204.59423076923079</v>
      </c>
      <c r="CU41" s="18">
        <f>CT41*VLOOKUP('Données projet'!$B$13,Paramètres!$A$1:$I$89,3,0)*VLOOKUP('Données projet'!$B$13,Paramètres!$A$1:$I$89,5,0)</f>
        <v>122.34735000000002</v>
      </c>
      <c r="CV41" s="14">
        <f t="shared" si="41"/>
        <v>32.221861336884544</v>
      </c>
      <c r="CW41" s="22">
        <f t="shared" si="13"/>
        <v>269.20804307840729</v>
      </c>
      <c r="CX41" s="62">
        <f t="shared" si="14"/>
        <v>562.54137641174066</v>
      </c>
      <c r="CY41" s="62">
        <f ca="1">AVERAGE(OFFSET($CX$3,0,0,'Données projet'!$E$13+1,1))-AVERAGE(OFFSET($H$3,0,0,'Données projet'!$E$13+1,1))</f>
        <v>237.03649693529445</v>
      </c>
      <c r="CZ41" s="62">
        <f t="shared" si="42"/>
        <v>191.04289411674887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0.32892933607783953</v>
      </c>
      <c r="DI41" s="24">
        <f t="shared" si="15"/>
        <v>0.32892933607783953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4.6210000000000004</v>
      </c>
      <c r="DO41" s="13">
        <f>IF('Données projet'!$A$166&gt;35,DO40+DN41-DW40,IF(A41&lt;'Données projet'!$A$166,$DL$205^A41,IF(A41='Données projet'!$A$166,'Données projet'!$B$166,DO40+DN41-DW40)))</f>
        <v>141.15799999999999</v>
      </c>
      <c r="DP41" s="18">
        <f>DO41*VLOOKUP('Données projet'!$B$14,Paramètres!$A$1:$I$89,3,0)*VLOOKUP('Données projet'!$B$14,Paramètres!$A$1:$I$89,5,0)</f>
        <v>162.61401599999996</v>
      </c>
      <c r="DQ41" s="14">
        <f t="shared" si="43"/>
        <v>41.431556772507385</v>
      </c>
      <c r="DR41" s="22">
        <f t="shared" si="16"/>
        <v>355.3793725787836</v>
      </c>
      <c r="DS41" s="62">
        <f t="shared" si="17"/>
        <v>648.71270591211692</v>
      </c>
      <c r="DT41" s="62">
        <f ca="1">AVERAGE(OFFSET($DS$3,0,0,'Données projet'!$E$14+1,1))-AVERAGE(OFFSET($H$3,0,0,'Données projet'!$E$14+1,1))</f>
        <v>431.38469096974364</v>
      </c>
      <c r="DU41" s="62">
        <f t="shared" si="44"/>
        <v>295.48627059086647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0.7846688821591824</v>
      </c>
      <c r="EC41" s="23">
        <f>EXP(-LN(2)/2)*EC40+(1-EXP(-LN(2)/2))/(LN(2)/2)*DW41*DZ41*VLOOKUP('Données projet'!$B$14,Paramètres!$A$1:$I$89,3,0)*0.475*44/12</f>
        <v>0.23990220003273688</v>
      </c>
      <c r="ED41" s="24">
        <f t="shared" si="18"/>
        <v>1.0245710821919194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4</v>
      </c>
      <c r="EJ41" s="13">
        <f>IF('Données projet'!$A$192&gt;35,EJ40+EI41-ER40,IF(A41&lt;'Données projet'!$A$192,$EG$205^A41,IF(A41='Données projet'!$A$192,'Données projet'!$B$192,EJ40+EI41-ER40)))</f>
        <v>67</v>
      </c>
      <c r="EK41" s="18">
        <f>EJ41*VLOOKUP('Données projet'!$B$15,Paramètres!$A$1:$I$89,3,0)*VLOOKUP('Données projet'!$B$15,Paramètres!$A$1:$I$89,5,0)</f>
        <v>76.299599999999998</v>
      </c>
      <c r="EL41" s="14">
        <f t="shared" si="45"/>
        <v>21.229938439563274</v>
      </c>
      <c r="EM41" s="22">
        <f t="shared" si="19"/>
        <v>169.8639461155727</v>
      </c>
      <c r="EN41" s="62">
        <f t="shared" si="20"/>
        <v>463.19727944890599</v>
      </c>
      <c r="EO41" s="62">
        <f ca="1">AVERAGE(OFFSET($EN$3,0,0,'Données projet'!$E$15+1,1))-AVERAGE(OFFSET($H$3,0,0,'Données projet'!$E$15+1,1))</f>
        <v>220.03635832253951</v>
      </c>
      <c r="EP41" s="62">
        <f t="shared" si="46"/>
        <v>136.30639155882233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6.8</v>
      </c>
      <c r="FE41" s="13">
        <f>IF('Données projet'!$A$218&gt;35,FE40+FD41-FM40,IF(A41&lt;'Données projet'!$A$218,$FB$205^A41,IF(A41='Données projet'!$A$218,'Données projet'!$B$218,FE40+FD41-FM40)))</f>
        <v>225.40000000000006</v>
      </c>
      <c r="FF41" s="18">
        <f>FE41*VLOOKUP('Données projet'!$B$16,Paramètres!$A$1:$I$89,3,0)*VLOOKUP('Données projet'!$B$16,Paramètres!$A$1:$I$89,5,0)</f>
        <v>235.5880800000001</v>
      </c>
      <c r="FG41" s="14">
        <f t="shared" si="47"/>
        <v>57.489261796631638</v>
      </c>
      <c r="FH41" s="22">
        <f t="shared" si="22"/>
        <v>510.44303696246698</v>
      </c>
      <c r="FI41" s="62">
        <f t="shared" si="23"/>
        <v>803.77637029580023</v>
      </c>
      <c r="FJ41" s="62">
        <f ca="1">AVERAGE(OFFSET($FI$3,0,0,'Données projet'!$E$16+1,1))-AVERAGE(OFFSET($H$3,0,0,'Données projet'!$E$16+1,1))</f>
        <v>641.62708445664862</v>
      </c>
      <c r="FK41" s="62">
        <f t="shared" si="48"/>
        <v>379.46845863546929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1.3559897053251346</v>
      </c>
      <c r="FT41" s="24">
        <f t="shared" si="24"/>
        <v>1.3559897053251346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4</v>
      </c>
      <c r="FZ41" s="13">
        <f>IF('Données projet'!$A$244&gt;35,FZ40+FY41-GH40,IF(A41&lt;'Données projet'!$A$244,$FW$205^A41,IF(A41='Données projet'!$A$244,'Données projet'!$B$244,FZ40+FY41-GH40)))</f>
        <v>67</v>
      </c>
      <c r="GA41" s="18">
        <f>FZ41*VLOOKUP('Données projet'!$B$17,Paramètres!$A$1:$I$89,3,0)*VLOOKUP('Données projet'!$B$17,Paramètres!$A$1:$I$89,5,0)</f>
        <v>64.802400000000006</v>
      </c>
      <c r="GB41" s="14">
        <f t="shared" si="49"/>
        <v>18.376971951830182</v>
      </c>
      <c r="GC41" s="22">
        <f t="shared" si="25"/>
        <v>144.87073948277092</v>
      </c>
      <c r="GD41" s="62">
        <f t="shared" si="26"/>
        <v>438.20407281610426</v>
      </c>
      <c r="GE41" s="62">
        <f ca="1">AVERAGE(OFFSET($GD$3,0,0,'Données projet'!$E$17+1,1))-AVERAGE(OFFSET($H$3,0,0,'Données projet'!$E$17+1,1))</f>
        <v>181.39066880931728</v>
      </c>
      <c r="GF41" s="62">
        <f t="shared" si="50"/>
        <v>116.06078566855524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5.6</v>
      </c>
      <c r="GU41" s="13">
        <f>IF('Données projet'!$A$270&gt;35,GU40+GT41-HC40,IF(A41&lt;'Données projet'!$A$270,$GR$205^A41,IF(A41='Données projet'!$A$270,'Données projet'!$B$270,GU40+GT41-HC40)))</f>
        <v>111.79999999999998</v>
      </c>
      <c r="GV41" s="18">
        <f>GU41*VLOOKUP('Données projet'!$B$18,Paramètres!$A$1:$I$89,3,0)*VLOOKUP('Données projet'!$B$18,Paramètres!$A$1:$I$89,5,0)</f>
        <v>97.668480000000002</v>
      </c>
      <c r="GW41" s="14">
        <f t="shared" si="51"/>
        <v>26.405784719550642</v>
      </c>
      <c r="GX41" s="22">
        <f t="shared" si="28"/>
        <v>216.09601105321735</v>
      </c>
      <c r="GY41" s="62">
        <f t="shared" si="29"/>
        <v>509.42934438655067</v>
      </c>
      <c r="GZ41" s="62">
        <f ca="1">AVERAGE(OFFSET($GY$3,0,0,'Données projet'!$E$18+1,1))-AVERAGE(OFFSET($H$3,0,0,'Données projet'!$E$18+1,1))</f>
        <v>152.84277478695606</v>
      </c>
      <c r="HA41" s="62">
        <f t="shared" si="52"/>
        <v>179.22995976651015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9">
        <f t="shared" si="1"/>
        <v>305.72567538934157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151.69440000000003</v>
      </c>
      <c r="P42" s="14">
        <f t="shared" si="33"/>
        <v>38.963392010880654</v>
      </c>
      <c r="Q42" s="22">
        <f t="shared" si="53"/>
        <v>332.06232108561716</v>
      </c>
      <c r="R42" s="62">
        <f t="shared" si="0"/>
        <v>625.39565441895047</v>
      </c>
      <c r="S42" s="62">
        <f ca="1">AVERAGE(OFFSET($R$3,0,0,'Données projet'!$E$9+1,1))-AVERAGE(OFFSET($H$3,0,0,'Données projet'!$E$9+1,1))</f>
        <v>383.26814640166805</v>
      </c>
      <c r="T42" s="62">
        <f t="shared" si="34"/>
        <v>233.71216103405249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</v>
      </c>
      <c r="AI42" s="14">
        <f>IF('Données projet'!$A$62&gt;35,AI41+AH42-AQ41,IF(A42&lt;'Données projet'!$A$62,$AF$205^A42,IF(A42='Données projet'!$A$62,'Données projet'!$B$62,AI41+AH42-AQ41)))</f>
        <v>71</v>
      </c>
      <c r="AJ42" s="14">
        <f>AI42*VLOOKUP('Données projet'!$B$10,Paramètres!$A$1:$I$89,3,0)*VLOOKUP('Données projet'!$B$10,Paramètres!$A$1:$I$89,5,0)</f>
        <v>76.424399999999991</v>
      </c>
      <c r="AK42" s="14">
        <f t="shared" si="35"/>
        <v>21.260618446015851</v>
      </c>
      <c r="AL42" s="22">
        <f t="shared" si="4"/>
        <v>170.13474046014426</v>
      </c>
      <c r="AM42" s="62">
        <f t="shared" si="5"/>
        <v>463.46807379347757</v>
      </c>
      <c r="AN42" s="62">
        <f ca="1">AVERAGE(OFFSET($AM$3,0,0,'Données projet'!$E$10+1,1))-AVERAGE(OFFSET($H$3,0,0,'Données projet'!$E$10+1,1))</f>
        <v>205.99910063756408</v>
      </c>
      <c r="AO42" s="62">
        <f t="shared" si="36"/>
        <v>128.95330275493671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13.141346153846158</v>
      </c>
      <c r="BD42" s="13">
        <f>IF('Données projet'!$A$88&gt;35,BD41+BC42-BL41,IF(A42&lt;'Données projet'!$A$88,$BA$205^A42,IF(A42='Données projet'!$A$88,'Données projet'!$B$88,BD41+BC42-BL41)))</f>
        <v>237.44711538461536</v>
      </c>
      <c r="BE42" s="14">
        <f>BD42*VLOOKUP('Données projet'!$B$11,Paramètres!$A$1:$I$89,3,0)*VLOOKUP('Données projet'!$B$11,Paramètres!$A$1:$I$89,5,0)</f>
        <v>141.99337499999999</v>
      </c>
      <c r="BF42" s="14">
        <f t="shared" si="37"/>
        <v>36.753283288028733</v>
      </c>
      <c r="BG42" s="22">
        <f t="shared" si="7"/>
        <v>311.31709651831665</v>
      </c>
      <c r="BH42" s="62">
        <f t="shared" si="8"/>
        <v>604.65042985164996</v>
      </c>
      <c r="BI42" s="62">
        <f ca="1">AVERAGE(OFFSET($BH$3,0,0,'Données projet'!$E$11+1,1))-AVERAGE(OFFSET($H$3,0,0,'Données projet'!$E$11+1,1))</f>
        <v>222.20580087523689</v>
      </c>
      <c r="BJ42" s="62">
        <f t="shared" si="38"/>
        <v>232.08940427392253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8.3743824568675862</v>
      </c>
      <c r="BQ42" s="23">
        <f>EXP(-LN(2)/25)*BQ41+(1-EXP(-LN(2)/25))/(LN(2)/25)*Calculateur!BL42*Calculateur!BN42*VLOOKUP('Données projet'!$B$11,Paramètres!$A$1:$I$89,3,0)*0.475*44/12</f>
        <v>12.80637820650651</v>
      </c>
      <c r="BR42" s="23">
        <f>EXP(-LN(2)/2)*BR41+(1-EXP(-LN(2)/2))/(LN(2)/2)*BL42*BO42*VLOOKUP('Données projet'!$B$11,Paramètres!$A$1:$I$89,3,0)*0.475*44/12</f>
        <v>0.28018933608253926</v>
      </c>
      <c r="BS42" s="24">
        <f t="shared" si="9"/>
        <v>21.460949999456634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10.407692307692306</v>
      </c>
      <c r="BY42" s="13">
        <f>IF('Données projet'!$A$114&gt;35,BY41+BX42-CG41,IF(A42&lt;'Données projet'!$A$114,$BV$205^A42,IF(A42='Données projet'!$A$114,'Données projet'!$B$114,BY41+BX42-CG41)))</f>
        <v>196.94615384615386</v>
      </c>
      <c r="BZ42" s="14">
        <f>BY42*VLOOKUP('Données projet'!$B$12,Paramètres!$A$1:$I$89,3,0)*VLOOKUP('Données projet'!$B$12,Paramètres!$A$1:$I$89,5,0)</f>
        <v>92.170800000000014</v>
      </c>
      <c r="CA42" s="14">
        <f t="shared" si="39"/>
        <v>25.088041251308066</v>
      </c>
      <c r="CB42" s="22">
        <f t="shared" si="10"/>
        <v>204.22581517936158</v>
      </c>
      <c r="CC42" s="62">
        <f t="shared" si="11"/>
        <v>497.55914851269489</v>
      </c>
      <c r="CD42" s="62">
        <f ca="1">AVERAGE(OFFSET($CC$3,0,0,'Données projet'!$E$12+1,1))-AVERAGE(OFFSET($H$3,0,0,'Données projet'!$E$12+1,1))</f>
        <v>179.14256291235466</v>
      </c>
      <c r="CE42" s="62">
        <f t="shared" si="40"/>
        <v>107.5256983607585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12.74038461538462</v>
      </c>
      <c r="CT42" s="13">
        <f>IF('Données projet'!$A$140&gt;35,CT41+CS42-DB41,IF(A42&lt;'Données projet'!$A$140,$CQ$205^A42,IF(A42='Données projet'!$A$140,'Données projet'!$B$140,CT41+CS42-DB41)))</f>
        <v>217.3346153846154</v>
      </c>
      <c r="CU42" s="18">
        <f>CT42*VLOOKUP('Données projet'!$B$13,Paramètres!$A$1:$I$89,3,0)*VLOOKUP('Données projet'!$B$13,Paramètres!$A$1:$I$89,5,0)</f>
        <v>129.96610000000001</v>
      </c>
      <c r="CV42" s="14">
        <f t="shared" si="41"/>
        <v>33.988525918782614</v>
      </c>
      <c r="CW42" s="22">
        <f t="shared" si="13"/>
        <v>285.55430680854636</v>
      </c>
      <c r="CX42" s="62">
        <f t="shared" si="14"/>
        <v>578.88764014187973</v>
      </c>
      <c r="CY42" s="62">
        <f ca="1">AVERAGE(OFFSET($CX$3,0,0,'Données projet'!$E$13+1,1))-AVERAGE(OFFSET($H$3,0,0,'Données projet'!$E$13+1,1))</f>
        <v>237.03649693529445</v>
      </c>
      <c r="CZ42" s="62">
        <f t="shared" si="42"/>
        <v>191.04289411674887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0.23258816407182925</v>
      </c>
      <c r="DI42" s="24">
        <f t="shared" si="15"/>
        <v>0.23258816407182925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4.6210000000000004</v>
      </c>
      <c r="DO42" s="13">
        <f>IF('Données projet'!$A$166&gt;35,DO41+DN42-DW41,IF(A42&lt;'Données projet'!$A$166,$DL$205^A42,IF(A42='Données projet'!$A$166,'Données projet'!$B$166,DO41+DN42-DW41)))</f>
        <v>145.779</v>
      </c>
      <c r="DP42" s="18">
        <f>DO42*VLOOKUP('Données projet'!$B$14,Paramètres!$A$1:$I$89,3,0)*VLOOKUP('Données projet'!$B$14,Paramètres!$A$1:$I$89,5,0)</f>
        <v>167.93740799999998</v>
      </c>
      <c r="DQ42" s="14">
        <f t="shared" si="43"/>
        <v>42.627743908219429</v>
      </c>
      <c r="DR42" s="22">
        <f t="shared" si="16"/>
        <v>366.73430624014873</v>
      </c>
      <c r="DS42" s="62">
        <f t="shared" si="17"/>
        <v>660.06763957348198</v>
      </c>
      <c r="DT42" s="62">
        <f ca="1">AVERAGE(OFFSET($DS$3,0,0,'Données projet'!$E$14+1,1))-AVERAGE(OFFSET($H$3,0,0,'Données projet'!$E$14+1,1))</f>
        <v>431.38469096974364</v>
      </c>
      <c r="DU42" s="62">
        <f t="shared" si="44"/>
        <v>295.48627059086647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0.76321207031259641</v>
      </c>
      <c r="EC42" s="23">
        <f>EXP(-LN(2)/2)*EC41+(1-EXP(-LN(2)/2))/(LN(2)/2)*DW42*DZ42*VLOOKUP('Données projet'!$B$14,Paramètres!$A$1:$I$89,3,0)*0.475*44/12</f>
        <v>0.16963647246471983</v>
      </c>
      <c r="ED42" s="24">
        <f t="shared" si="18"/>
        <v>0.93284854277731621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4</v>
      </c>
      <c r="EJ42" s="13">
        <f>IF('Données projet'!$A$192&gt;35,EJ41+EI42-ER41,IF(A42&lt;'Données projet'!$A$192,$EG$205^A42,IF(A42='Données projet'!$A$192,'Données projet'!$B$192,EJ41+EI42-ER41)))</f>
        <v>71</v>
      </c>
      <c r="EK42" s="18">
        <f>EJ42*VLOOKUP('Données projet'!$B$15,Paramètres!$A$1:$I$89,3,0)*VLOOKUP('Données projet'!$B$15,Paramètres!$A$1:$I$89,5,0)</f>
        <v>80.854799999999997</v>
      </c>
      <c r="EL42" s="14">
        <f t="shared" si="45"/>
        <v>22.346057714313609</v>
      </c>
      <c r="EM42" s="22">
        <f t="shared" si="19"/>
        <v>179.7414938524295</v>
      </c>
      <c r="EN42" s="62">
        <f t="shared" si="20"/>
        <v>473.07482718576284</v>
      </c>
      <c r="EO42" s="62">
        <f ca="1">AVERAGE(OFFSET($EN$3,0,0,'Données projet'!$E$15+1,1))-AVERAGE(OFFSET($H$3,0,0,'Données projet'!$E$15+1,1))</f>
        <v>220.03635832253951</v>
      </c>
      <c r="EP42" s="62">
        <f t="shared" si="46"/>
        <v>136.30639155882233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6.8</v>
      </c>
      <c r="FE42" s="13">
        <f>IF('Données projet'!$A$218&gt;35,FE41+FD42-FM41,IF(A42&lt;'Données projet'!$A$218,$FB$205^A42,IF(A42='Données projet'!$A$218,'Données projet'!$B$218,FE41+FD42-FM41)))</f>
        <v>232.20000000000007</v>
      </c>
      <c r="FF42" s="18">
        <f>FE42*VLOOKUP('Données projet'!$B$16,Paramètres!$A$1:$I$89,3,0)*VLOOKUP('Données projet'!$B$16,Paramètres!$A$1:$I$89,5,0)</f>
        <v>242.6954400000001</v>
      </c>
      <c r="FG42" s="14">
        <f t="shared" si="47"/>
        <v>59.019090031230249</v>
      </c>
      <c r="FH42" s="22">
        <f t="shared" si="22"/>
        <v>525.48613980439291</v>
      </c>
      <c r="FI42" s="62">
        <f t="shared" si="23"/>
        <v>818.81947313772616</v>
      </c>
      <c r="FJ42" s="62">
        <f ca="1">AVERAGE(OFFSET($FI$3,0,0,'Données projet'!$E$16+1,1))-AVERAGE(OFFSET($H$3,0,0,'Données projet'!$E$16+1,1))</f>
        <v>641.62708445664862</v>
      </c>
      <c r="FK42" s="62">
        <f t="shared" si="48"/>
        <v>379.46845863546929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0.95882951585455112</v>
      </c>
      <c r="FT42" s="24">
        <f t="shared" si="24"/>
        <v>0.95882951585455112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4</v>
      </c>
      <c r="FZ42" s="13">
        <f>IF('Données projet'!$A$244&gt;35,FZ41+FY42-GH41,IF(A42&lt;'Données projet'!$A$244,$FW$205^A42,IF(A42='Données projet'!$A$244,'Données projet'!$B$244,FZ41+FY42-GH41)))</f>
        <v>71</v>
      </c>
      <c r="GA42" s="18">
        <f>FZ42*VLOOKUP('Données projet'!$B$17,Paramètres!$A$1:$I$89,3,0)*VLOOKUP('Données projet'!$B$17,Paramètres!$A$1:$I$89,5,0)</f>
        <v>68.671200000000013</v>
      </c>
      <c r="GB42" s="14">
        <f t="shared" si="49"/>
        <v>19.343102525659866</v>
      </c>
      <c r="GC42" s="22">
        <f t="shared" si="25"/>
        <v>153.29157689885758</v>
      </c>
      <c r="GD42" s="62">
        <f t="shared" si="26"/>
        <v>446.62491023219093</v>
      </c>
      <c r="GE42" s="62">
        <f ca="1">AVERAGE(OFFSET($GD$3,0,0,'Données projet'!$E$17+1,1))-AVERAGE(OFFSET($H$3,0,0,'Données projet'!$E$17+1,1))</f>
        <v>181.39066880931728</v>
      </c>
      <c r="GF42" s="62">
        <f t="shared" si="50"/>
        <v>116.06078566855524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5.6</v>
      </c>
      <c r="GU42" s="13">
        <f>IF('Données projet'!$A$270&gt;35,GU41+GT42-HC41,IF(A42&lt;'Données projet'!$A$270,$GR$205^A42,IF(A42='Données projet'!$A$270,'Données projet'!$B$270,GU41+GT42-HC41)))</f>
        <v>117.39999999999998</v>
      </c>
      <c r="GV42" s="18">
        <f>GU42*VLOOKUP('Données projet'!$B$18,Paramètres!$A$1:$I$89,3,0)*VLOOKUP('Données projet'!$B$18,Paramètres!$A$1:$I$89,5,0)</f>
        <v>102.56064000000001</v>
      </c>
      <c r="GW42" s="14">
        <f t="shared" si="51"/>
        <v>27.571134131783779</v>
      </c>
      <c r="GX42" s="22">
        <f t="shared" si="28"/>
        <v>226.64617327952342</v>
      </c>
      <c r="GY42" s="62">
        <f t="shared" si="29"/>
        <v>519.97950661285677</v>
      </c>
      <c r="GZ42" s="62">
        <f ca="1">AVERAGE(OFFSET($GY$3,0,0,'Données projet'!$E$18+1,1))-AVERAGE(OFFSET($H$3,0,0,'Données projet'!$E$18+1,1))</f>
        <v>152.84277478695606</v>
      </c>
      <c r="HA42" s="62">
        <f t="shared" si="52"/>
        <v>179.22995976651015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9">
        <f t="shared" si="1"/>
        <v>306.9474660325443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160.21200000000005</v>
      </c>
      <c r="P43" s="14">
        <f t="shared" si="33"/>
        <v>40.890328912852695</v>
      </c>
      <c r="Q43" s="22">
        <f t="shared" si="53"/>
        <v>350.25322285655176</v>
      </c>
      <c r="R43" s="62">
        <f t="shared" si="0"/>
        <v>643.58655618988507</v>
      </c>
      <c r="S43" s="62">
        <f ca="1">AVERAGE(OFFSET($R$3,0,0,'Données projet'!$E$9+1,1))-AVERAGE(OFFSET($H$3,0,0,'Données projet'!$E$9+1,1))</f>
        <v>383.26814640166805</v>
      </c>
      <c r="T43" s="62">
        <f t="shared" si="34"/>
        <v>233.71216103405249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75</v>
      </c>
      <c r="AG43" s="13">
        <f>VLOOKUP(A43,'Données projet'!$A$61:$I$81,9,0)</f>
        <v>4</v>
      </c>
      <c r="AH43" s="13">
        <f t="array" ref="AH43">INDEX(AG:AG,MIN(IF(ISNUMBER(AG43:AG239),ROW(AG43:AG239),"")))</f>
        <v>4</v>
      </c>
      <c r="AI43" s="14">
        <f>IF('Données projet'!$A$62&gt;35,AI42+AH43-AQ42,IF(A43&lt;'Données projet'!$A$62,$AF$205^A43,IF(A43='Données projet'!$A$62,'Données projet'!$B$62,AI42+AH43-AQ42)))</f>
        <v>75</v>
      </c>
      <c r="AJ43" s="14">
        <f>AI43*VLOOKUP('Données projet'!$B$10,Paramètres!$A$1:$I$89,3,0)*VLOOKUP('Données projet'!$B$10,Paramètres!$A$1:$I$89,5,0)</f>
        <v>80.72999999999999</v>
      </c>
      <c r="AK43" s="14">
        <f t="shared" si="35"/>
        <v>22.315578453114171</v>
      </c>
      <c r="AL43" s="22">
        <f t="shared" si="4"/>
        <v>179.47104913917383</v>
      </c>
      <c r="AM43" s="62">
        <f t="shared" si="5"/>
        <v>472.80438247250714</v>
      </c>
      <c r="AN43" s="62">
        <f ca="1">AVERAGE(OFFSET($AM$3,0,0,'Données projet'!$E$10+1,1))-AVERAGE(OFFSET($H$3,0,0,'Données projet'!$E$10+1,1))</f>
        <v>205.99910063756408</v>
      </c>
      <c r="AO43" s="62">
        <f t="shared" si="36"/>
        <v>128.95330275493671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13.141346153846158</v>
      </c>
      <c r="BD43" s="13">
        <f>IF('Données projet'!$A$88&gt;35,BD42+BC43-BL42,IF(A43&lt;'Données projet'!$A$88,$BA$205^A43,IF(A43='Données projet'!$A$88,'Données projet'!$B$88,BD42+BC43-BL42)))</f>
        <v>250.5884615384615</v>
      </c>
      <c r="BE43" s="14">
        <f>BD43*VLOOKUP('Données projet'!$B$11,Paramètres!$A$1:$I$89,3,0)*VLOOKUP('Données projet'!$B$11,Paramètres!$A$1:$I$89,5,0)</f>
        <v>149.8519</v>
      </c>
      <c r="BF43" s="14">
        <f t="shared" si="37"/>
        <v>38.544927429723309</v>
      </c>
      <c r="BG43" s="22">
        <f t="shared" si="7"/>
        <v>328.12447444010144</v>
      </c>
      <c r="BH43" s="62">
        <f t="shared" si="8"/>
        <v>621.45780777343475</v>
      </c>
      <c r="BI43" s="62">
        <f ca="1">AVERAGE(OFFSET($BH$3,0,0,'Données projet'!$E$11+1,1))-AVERAGE(OFFSET($H$3,0,0,'Données projet'!$E$11+1,1))</f>
        <v>222.20580087523689</v>
      </c>
      <c r="BJ43" s="62">
        <f t="shared" si="38"/>
        <v>232.08940427392253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8.2101659247573515</v>
      </c>
      <c r="BQ43" s="23">
        <f>EXP(-LN(2)/25)*BQ42+(1-EXP(-LN(2)/25))/(LN(2)/25)*Calculateur!BL43*Calculateur!BN43*VLOOKUP('Données projet'!$B$11,Paramètres!$A$1:$I$89,3,0)*0.475*44/12</f>
        <v>12.456187120991428</v>
      </c>
      <c r="BR43" s="23">
        <f>EXP(-LN(2)/2)*BR42+(1-EXP(-LN(2)/2))/(LN(2)/2)*BL43*BO43*VLOOKUP('Données projet'!$B$11,Paramètres!$A$1:$I$89,3,0)*0.475*44/12</f>
        <v>0.19812377956012012</v>
      </c>
      <c r="BS43" s="24">
        <f t="shared" si="9"/>
        <v>20.864476825308898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10.407692307692306</v>
      </c>
      <c r="BY43" s="13">
        <f>IF('Données projet'!$A$114&gt;35,BY42+BX43-CG42,IF(A43&lt;'Données projet'!$A$114,$BV$205^A43,IF(A43='Données projet'!$A$114,'Données projet'!$B$114,BY42+BX43-CG42)))</f>
        <v>207.35384615384618</v>
      </c>
      <c r="BZ43" s="14">
        <f>BY43*VLOOKUP('Données projet'!$B$12,Paramètres!$A$1:$I$89,3,0)*VLOOKUP('Données projet'!$B$12,Paramètres!$A$1:$I$89,5,0)</f>
        <v>97.041600000000017</v>
      </c>
      <c r="CA43" s="14">
        <f t="shared" si="39"/>
        <v>26.255972457521427</v>
      </c>
      <c r="CB43" s="22">
        <f t="shared" si="10"/>
        <v>214.74327203018319</v>
      </c>
      <c r="CC43" s="62">
        <f t="shared" si="11"/>
        <v>508.07660536351648</v>
      </c>
      <c r="CD43" s="62">
        <f ca="1">AVERAGE(OFFSET($CC$3,0,0,'Données projet'!$E$12+1,1))-AVERAGE(OFFSET($H$3,0,0,'Données projet'!$E$12+1,1))</f>
        <v>179.14256291235466</v>
      </c>
      <c r="CE43" s="62">
        <f t="shared" si="40"/>
        <v>107.5256983607585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12.74038461538462</v>
      </c>
      <c r="CT43" s="13">
        <f>IF('Données projet'!$A$140&gt;35,CT42+CS43-DB42,IF(A43&lt;'Données projet'!$A$140,$CQ$205^A43,IF(A43='Données projet'!$A$140,'Données projet'!$B$140,CT42+CS43-DB42)))</f>
        <v>230.07500000000002</v>
      </c>
      <c r="CU43" s="18">
        <f>CT43*VLOOKUP('Données projet'!$B$13,Paramètres!$A$1:$I$89,3,0)*VLOOKUP('Données projet'!$B$13,Paramètres!$A$1:$I$89,5,0)</f>
        <v>137.58485000000002</v>
      </c>
      <c r="CV43" s="14">
        <f t="shared" si="41"/>
        <v>35.743169448737028</v>
      </c>
      <c r="CW43" s="22">
        <f t="shared" si="13"/>
        <v>301.87963387321702</v>
      </c>
      <c r="CX43" s="62">
        <f t="shared" si="14"/>
        <v>595.21296720655027</v>
      </c>
      <c r="CY43" s="62">
        <f ca="1">AVERAGE(OFFSET($CX$3,0,0,'Données projet'!$E$13+1,1))-AVERAGE(OFFSET($H$3,0,0,'Données projet'!$E$13+1,1))</f>
        <v>237.03649693529445</v>
      </c>
      <c r="CZ43" s="62">
        <f t="shared" si="42"/>
        <v>191.04289411674887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0.16446466803891979</v>
      </c>
      <c r="DI43" s="24">
        <f t="shared" si="15"/>
        <v>0.16446466803891979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150.4</v>
      </c>
      <c r="DM43" s="13">
        <f>VLOOKUP(A43,'Données projet'!$A$165:$I$185,9,0)</f>
        <v>4.6210000000000004</v>
      </c>
      <c r="DN43" s="13">
        <f t="array" ref="DN43">INDEX(DM:DM,MIN(IF(ISNUMBER(DM43:DM239),ROW(DM43:DM239),"")))</f>
        <v>4.6210000000000004</v>
      </c>
      <c r="DO43" s="13">
        <f>IF('Données projet'!$A$166&gt;35,DO42+DN43-DW42,IF(A43&lt;'Données projet'!$A$166,$DL$205^A43,IF(A43='Données projet'!$A$166,'Données projet'!$B$166,DO42+DN43-DW42)))</f>
        <v>150.4</v>
      </c>
      <c r="DP43" s="18">
        <f>DO43*VLOOKUP('Données projet'!$B$14,Paramètres!$A$1:$I$89,3,0)*VLOOKUP('Données projet'!$B$14,Paramètres!$A$1:$I$89,5,0)</f>
        <v>173.26079999999999</v>
      </c>
      <c r="DQ43" s="14">
        <f t="shared" si="43"/>
        <v>43.819524795404774</v>
      </c>
      <c r="DR43" s="22">
        <f t="shared" si="16"/>
        <v>378.08156568532991</v>
      </c>
      <c r="DS43" s="62">
        <f t="shared" si="17"/>
        <v>671.41489901866316</v>
      </c>
      <c r="DT43" s="62">
        <f ca="1">AVERAGE(OFFSET($DS$3,0,0,'Données projet'!$E$14+1,1))-AVERAGE(OFFSET($H$3,0,0,'Données projet'!$E$14+1,1))</f>
        <v>431.38469096974364</v>
      </c>
      <c r="DU43" s="62">
        <f t="shared" si="44"/>
        <v>295.48627059086647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16.8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0.74234199611432006</v>
      </c>
      <c r="EC43" s="23">
        <f>EXP(-LN(2)/2)*EC42+(1-EXP(-LN(2)/2))/(LN(2)/2)*DW43*DZ43*VLOOKUP('Données projet'!$B$14,Paramètres!$A$1:$I$89,3,0)*0.475*44/12</f>
        <v>0.11995110001636844</v>
      </c>
      <c r="ED43" s="24">
        <f t="shared" si="18"/>
        <v>0.8622930961306885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75</v>
      </c>
      <c r="EH43" s="13">
        <f>VLOOKUP(A43,'Données projet'!$A$191:$I$211,9,0)</f>
        <v>4</v>
      </c>
      <c r="EI43" s="13">
        <f t="array" ref="EI43">INDEX(EH:EH,MIN(IF(ISNUMBER(EH43:EH239),ROW(EH43:EH239),"")))</f>
        <v>4</v>
      </c>
      <c r="EJ43" s="13">
        <f>IF('Données projet'!$A$192&gt;35,EJ42+EI43-ER42,IF(A43&lt;'Données projet'!$A$192,$EG$205^A43,IF(A43='Données projet'!$A$192,'Données projet'!$B$192,EJ42+EI43-ER42)))</f>
        <v>75</v>
      </c>
      <c r="EK43" s="18">
        <f>EJ43*VLOOKUP('Données projet'!$B$15,Paramètres!$A$1:$I$89,3,0)*VLOOKUP('Données projet'!$B$15,Paramètres!$A$1:$I$89,5,0)</f>
        <v>85.41</v>
      </c>
      <c r="EL43" s="14">
        <f t="shared" si="45"/>
        <v>23.454877632453346</v>
      </c>
      <c r="EM43" s="22">
        <f t="shared" si="19"/>
        <v>189.60632854318956</v>
      </c>
      <c r="EN43" s="62">
        <f t="shared" si="20"/>
        <v>482.93966187652291</v>
      </c>
      <c r="EO43" s="62">
        <f ca="1">AVERAGE(OFFSET($EN$3,0,0,'Données projet'!$E$15+1,1))-AVERAGE(OFFSET($H$3,0,0,'Données projet'!$E$15+1,1))</f>
        <v>220.03635832253951</v>
      </c>
      <c r="EP43" s="62">
        <f t="shared" si="46"/>
        <v>136.30639155882233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239</v>
      </c>
      <c r="FC43" s="13">
        <f>VLOOKUP(A43,'Données projet'!$A$217:$I$237,9,0)</f>
        <v>6.8</v>
      </c>
      <c r="FD43" s="13">
        <f t="array" ref="FD43">INDEX(FC:FC,MIN(IF(ISNUMBER(FC43:FC239),ROW(FC43:FC239),"")))</f>
        <v>6.8</v>
      </c>
      <c r="FE43" s="13">
        <f>IF('Données projet'!$A$218&gt;35,FE42+FD43-FM42,IF(A43&lt;'Données projet'!$A$218,$FB$205^A43,IF(A43='Données projet'!$A$218,'Données projet'!$B$218,FE42+FD43-FM42)))</f>
        <v>239.00000000000009</v>
      </c>
      <c r="FF43" s="18">
        <f>FE43*VLOOKUP('Données projet'!$B$16,Paramètres!$A$1:$I$89,3,0)*VLOOKUP('Données projet'!$B$16,Paramètres!$A$1:$I$89,5,0)</f>
        <v>249.80280000000013</v>
      </c>
      <c r="FG43" s="14">
        <f t="shared" si="47"/>
        <v>60.543711501181193</v>
      </c>
      <c r="FH43" s="22">
        <f t="shared" si="22"/>
        <v>540.52017419789081</v>
      </c>
      <c r="FI43" s="62">
        <f t="shared" si="23"/>
        <v>833.85350753122407</v>
      </c>
      <c r="FJ43" s="62">
        <f ca="1">AVERAGE(OFFSET($FI$3,0,0,'Données projet'!$E$16+1,1))-AVERAGE(OFFSET($H$3,0,0,'Données projet'!$E$16+1,1))</f>
        <v>641.62708445664862</v>
      </c>
      <c r="FK43" s="62">
        <f t="shared" si="48"/>
        <v>379.46845863546929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35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0.67799485266256743</v>
      </c>
      <c r="FT43" s="24">
        <f t="shared" si="24"/>
        <v>0.67799485266256743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75</v>
      </c>
      <c r="FX43" s="13">
        <f>VLOOKUP(A43,'Données projet'!$A$243:$I$263,9,0)</f>
        <v>4</v>
      </c>
      <c r="FY43" s="13">
        <f t="array" ref="FY43">INDEX(FX:FX,MIN(IF(ISNUMBER(FX43:FX239),ROW(FX43:FX239),"")))</f>
        <v>4</v>
      </c>
      <c r="FZ43" s="13">
        <f>IF('Données projet'!$A$244&gt;35,FZ42+FY43-GH42,IF(A43&lt;'Données projet'!$A$244,$FW$205^A43,IF(A43='Données projet'!$A$244,'Données projet'!$B$244,FZ42+FY43-GH42)))</f>
        <v>75</v>
      </c>
      <c r="GA43" s="18">
        <f>FZ43*VLOOKUP('Données projet'!$B$17,Paramètres!$A$1:$I$89,3,0)*VLOOKUP('Données projet'!$B$17,Paramètres!$A$1:$I$89,5,0)</f>
        <v>72.540000000000006</v>
      </c>
      <c r="GB43" s="14">
        <f t="shared" si="49"/>
        <v>20.302914660456786</v>
      </c>
      <c r="GC43" s="22">
        <f t="shared" si="25"/>
        <v>161.70140970029556</v>
      </c>
      <c r="GD43" s="62">
        <f t="shared" si="26"/>
        <v>455.03474303362884</v>
      </c>
      <c r="GE43" s="62">
        <f ca="1">AVERAGE(OFFSET($GD$3,0,0,'Données projet'!$E$17+1,1))-AVERAGE(OFFSET($H$3,0,0,'Données projet'!$E$17+1,1))</f>
        <v>181.39066880931728</v>
      </c>
      <c r="GF43" s="62">
        <f t="shared" si="50"/>
        <v>116.06078566855524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123</v>
      </c>
      <c r="GS43" s="13">
        <f>VLOOKUP(A43,'Données projet'!$A$269:$I$289,9,0)</f>
        <v>5.6</v>
      </c>
      <c r="GT43" s="13">
        <f t="array" ref="GT43">INDEX(GS:GS,MIN(IF(ISNUMBER(GS43:GS239),ROW(GS43:GS239),"")))</f>
        <v>5.6</v>
      </c>
      <c r="GU43" s="13">
        <f>IF('Données projet'!$A$270&gt;35,GU42+GT43-HC42,IF(A43&lt;'Données projet'!$A$270,$GR$205^A43,IF(A43='Données projet'!$A$270,'Données projet'!$B$270,GU42+GT43-HC42)))</f>
        <v>122.99999999999997</v>
      </c>
      <c r="GV43" s="18">
        <f>GU43*VLOOKUP('Données projet'!$B$18,Paramètres!$A$1:$I$89,3,0)*VLOOKUP('Données projet'!$B$18,Paramètres!$A$1:$I$89,5,0)</f>
        <v>107.4528</v>
      </c>
      <c r="GW43" s="14">
        <f t="shared" si="51"/>
        <v>28.7300285196239</v>
      </c>
      <c r="GX43" s="22">
        <f t="shared" si="28"/>
        <v>237.18509300501162</v>
      </c>
      <c r="GY43" s="62">
        <f t="shared" si="29"/>
        <v>530.51842633834497</v>
      </c>
      <c r="GZ43" s="62">
        <f ca="1">AVERAGE(OFFSET($GY$3,0,0,'Données projet'!$E$18+1,1))-AVERAGE(OFFSET($H$3,0,0,'Données projet'!$E$18+1,1))</f>
        <v>152.84277478695606</v>
      </c>
      <c r="HA43" s="62">
        <f t="shared" si="52"/>
        <v>179.22995976651015</v>
      </c>
      <c r="HB43" s="16">
        <f>IF(ISNA(VLOOKUP(A43,'Données projet'!$A$269:$I$289,3,0)),0,VLOOKUP(A43,'Données projet'!$A$269:$I$289,3,0))</f>
        <v>2</v>
      </c>
      <c r="HC43" s="16">
        <f>IF(ISNA(VLOOKUP(A43,'Données projet'!$A$269:$I$289,4,0)),0,VLOOKUP(A43,'Données projet'!$A$269:$I$289,4,0))</f>
        <v>28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9">
        <f t="shared" si="1"/>
        <v>308.16846958846969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126.14160000000005</v>
      </c>
      <c r="P44" s="14">
        <f t="shared" si="33"/>
        <v>33.10323903126482</v>
      </c>
      <c r="Q44" s="22">
        <f t="shared" si="53"/>
        <v>277.35142797945298</v>
      </c>
      <c r="R44" s="62">
        <f t="shared" si="0"/>
        <v>570.68476131278635</v>
      </c>
      <c r="S44" s="62">
        <f ca="1">AVERAGE(OFFSET($R$3,0,0,'Données projet'!$E$9+1,1))-AVERAGE(OFFSET($H$3,0,0,'Données projet'!$E$9+1,1))</f>
        <v>383.26814640166805</v>
      </c>
      <c r="T44" s="62">
        <f t="shared" si="34"/>
        <v>233.71216103405249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3.8</v>
      </c>
      <c r="AI44" s="14">
        <f>IF('Données projet'!$A$62&gt;35,AI43+AH44-AQ43,IF(A44&lt;'Données projet'!$A$62,$AF$205^A44,IF(A44='Données projet'!$A$62,'Données projet'!$B$62,AI43+AH44-AQ43)))</f>
        <v>78.8</v>
      </c>
      <c r="AJ44" s="14">
        <f>AI44*VLOOKUP('Données projet'!$B$10,Paramètres!$A$1:$I$89,3,0)*VLOOKUP('Données projet'!$B$10,Paramètres!$A$1:$I$89,5,0)</f>
        <v>84.820319999999995</v>
      </c>
      <c r="AK44" s="14">
        <f t="shared" si="35"/>
        <v>23.311734183304917</v>
      </c>
      <c r="AL44" s="22">
        <f t="shared" si="4"/>
        <v>188.32999436925604</v>
      </c>
      <c r="AM44" s="62">
        <f t="shared" si="5"/>
        <v>481.66332770258936</v>
      </c>
      <c r="AN44" s="62">
        <f ca="1">AVERAGE(OFFSET($AM$3,0,0,'Données projet'!$E$10+1,1))-AVERAGE(OFFSET($H$3,0,0,'Données projet'!$E$10+1,1))</f>
        <v>205.99910063756408</v>
      </c>
      <c r="AO44" s="62">
        <f t="shared" si="36"/>
        <v>128.95330275493671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13.141346153846158</v>
      </c>
      <c r="BD44" s="13">
        <f>IF('Données projet'!$A$88&gt;35,BD43+BC44-BL43,IF(A44&lt;'Données projet'!$A$88,$BA$205^A44,IF(A44='Données projet'!$A$88,'Données projet'!$B$88,BD43+BC44-BL43)))</f>
        <v>263.72980769230765</v>
      </c>
      <c r="BE44" s="14">
        <f>BD44*VLOOKUP('Données projet'!$B$11,Paramètres!$A$1:$I$89,3,0)*VLOOKUP('Données projet'!$B$11,Paramètres!$A$1:$I$89,5,0)</f>
        <v>157.71042499999999</v>
      </c>
      <c r="BF44" s="14">
        <f t="shared" si="37"/>
        <v>40.325662975074472</v>
      </c>
      <c r="BG44" s="22">
        <f t="shared" si="7"/>
        <v>344.91285322325461</v>
      </c>
      <c r="BH44" s="62">
        <f t="shared" si="8"/>
        <v>638.24618655658787</v>
      </c>
      <c r="BI44" s="62">
        <f ca="1">AVERAGE(OFFSET($BH$3,0,0,'Données projet'!$E$11+1,1))-AVERAGE(OFFSET($H$3,0,0,'Données projet'!$E$11+1,1))</f>
        <v>222.20580087523689</v>
      </c>
      <c r="BJ44" s="62">
        <f t="shared" si="38"/>
        <v>232.08940427392253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8.0491695786796047</v>
      </c>
      <c r="BQ44" s="23">
        <f>EXP(-LN(2)/25)*BQ43+(1-EXP(-LN(2)/25))/(LN(2)/25)*Calculateur!BL44*Calculateur!BN44*VLOOKUP('Données projet'!$B$11,Paramètres!$A$1:$I$89,3,0)*0.475*44/12</f>
        <v>12.115572029125506</v>
      </c>
      <c r="BR44" s="23">
        <f>EXP(-LN(2)/2)*BR43+(1-EXP(-LN(2)/2))/(LN(2)/2)*BL44*BO44*VLOOKUP('Données projet'!$B$11,Paramètres!$A$1:$I$89,3,0)*0.475*44/12</f>
        <v>0.14009466804126963</v>
      </c>
      <c r="BS44" s="24">
        <f t="shared" si="9"/>
        <v>20.30483627584638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10.407692307692306</v>
      </c>
      <c r="BY44" s="13">
        <f>IF('Données projet'!$A$114&gt;35,BY43+BX44-CG43,IF(A44&lt;'Données projet'!$A$114,$BV$205^A44,IF(A44='Données projet'!$A$114,'Données projet'!$B$114,BY43+BX44-CG43)))</f>
        <v>217.76153846153849</v>
      </c>
      <c r="BZ44" s="14">
        <f>BY44*VLOOKUP('Données projet'!$B$12,Paramètres!$A$1:$I$89,3,0)*VLOOKUP('Données projet'!$B$12,Paramètres!$A$1:$I$89,5,0)</f>
        <v>101.91240000000002</v>
      </c>
      <c r="CA44" s="14">
        <f t="shared" si="39"/>
        <v>27.417096956022522</v>
      </c>
      <c r="CB44" s="22">
        <f t="shared" si="10"/>
        <v>225.2488738650726</v>
      </c>
      <c r="CC44" s="62">
        <f t="shared" si="11"/>
        <v>518.58220719840597</v>
      </c>
      <c r="CD44" s="62">
        <f ca="1">AVERAGE(OFFSET($CC$3,0,0,'Données projet'!$E$12+1,1))-AVERAGE(OFFSET($H$3,0,0,'Données projet'!$E$12+1,1))</f>
        <v>179.14256291235466</v>
      </c>
      <c r="CE44" s="62">
        <f t="shared" si="40"/>
        <v>107.5256983607585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>
        <f>VLOOKUP(A44,'Données projet'!$A$139:$I$159,2,0)</f>
        <v>242.81538461538463</v>
      </c>
      <c r="CR44" s="13">
        <f>VLOOKUP(A44,'Données projet'!$A$139:$I$159,9,0)</f>
        <v>12.74038461538462</v>
      </c>
      <c r="CS44" s="13">
        <f t="array" ref="CS44">INDEX(CR:CR,MIN(IF(ISNUMBER(CR44:CR240),ROW(CR44:CR240),"")))</f>
        <v>12.74038461538462</v>
      </c>
      <c r="CT44" s="13">
        <f>IF('Données projet'!$A$140&gt;35,CT43+CS44-DB43,IF(A44&lt;'Données projet'!$A$140,$CQ$205^A44,IF(A44='Données projet'!$A$140,'Données projet'!$B$140,CT43+CS44-DB43)))</f>
        <v>242.81538461538463</v>
      </c>
      <c r="CU44" s="18">
        <f>CT44*VLOOKUP('Données projet'!$B$13,Paramètres!$A$1:$I$89,3,0)*VLOOKUP('Données projet'!$B$13,Paramètres!$A$1:$I$89,5,0)</f>
        <v>145.20360000000002</v>
      </c>
      <c r="CV44" s="14">
        <f t="shared" si="41"/>
        <v>37.486533463390735</v>
      </c>
      <c r="CW44" s="22">
        <f t="shared" si="13"/>
        <v>318.18531578207222</v>
      </c>
      <c r="CX44" s="62">
        <f t="shared" si="14"/>
        <v>611.51864911540554</v>
      </c>
      <c r="CY44" s="62">
        <f ca="1">AVERAGE(OFFSET($CX$3,0,0,'Données projet'!$E$13+1,1))-AVERAGE(OFFSET($H$3,0,0,'Données projet'!$E$13+1,1))</f>
        <v>237.03649693529445</v>
      </c>
      <c r="CZ44" s="62">
        <f t="shared" si="42"/>
        <v>191.04289411674887</v>
      </c>
      <c r="DA44" s="16">
        <f>IF(ISNA(VLOOKUP(A44,'Données projet'!$A$139:$I$159,3,0)),0,VLOOKUP(A44,'Données projet'!$A$139:$I$159,3,0))</f>
        <v>4</v>
      </c>
      <c r="DB44" s="16">
        <f>IF(ISNA(VLOOKUP(A44,'Données projet'!$A$139:$I$159,4,0)),0,VLOOKUP(A44,'Données projet'!$A$139:$I$159,4,0))</f>
        <v>58.484615384615381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0.11629408203591464</v>
      </c>
      <c r="DI44" s="24">
        <f t="shared" si="15"/>
        <v>0.11629408203591464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4.4930000000000003</v>
      </c>
      <c r="DO44" s="13">
        <f>IF('Données projet'!$A$166&gt;35,DO43+DN44-DW43,IF(A44&lt;'Données projet'!$A$166,$DL$205^A44,IF(A44='Données projet'!$A$166,'Données projet'!$B$166,DO43+DN44-DW43)))</f>
        <v>138.09299999999999</v>
      </c>
      <c r="DP44" s="18">
        <f>DO44*VLOOKUP('Données projet'!$B$14,Paramètres!$A$1:$I$89,3,0)*VLOOKUP('Données projet'!$B$14,Paramètres!$A$1:$I$89,5,0)</f>
        <v>159.083136</v>
      </c>
      <c r="DQ44" s="14">
        <f t="shared" si="43"/>
        <v>40.635645054567391</v>
      </c>
      <c r="DR44" s="22">
        <f t="shared" si="16"/>
        <v>347.84354367003817</v>
      </c>
      <c r="DS44" s="62">
        <f t="shared" si="17"/>
        <v>641.17687700337149</v>
      </c>
      <c r="DT44" s="62">
        <f ca="1">AVERAGE(OFFSET($DS$3,0,0,'Données projet'!$E$14+1,1))-AVERAGE(OFFSET($H$3,0,0,'Données projet'!$E$14+1,1))</f>
        <v>431.38469096974364</v>
      </c>
      <c r="DU44" s="62">
        <f t="shared" si="44"/>
        <v>295.48627059086647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0.72204261519250501</v>
      </c>
      <c r="EC44" s="23">
        <f>EXP(-LN(2)/2)*EC43+(1-EXP(-LN(2)/2))/(LN(2)/2)*DW44*DZ44*VLOOKUP('Données projet'!$B$14,Paramètres!$A$1:$I$89,3,0)*0.475*44/12</f>
        <v>8.4818236232359914E-2</v>
      </c>
      <c r="ED44" s="24">
        <f t="shared" si="18"/>
        <v>0.80686085142486497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3.8</v>
      </c>
      <c r="EJ44" s="13">
        <f>IF('Données projet'!$A$192&gt;35,EJ43+EI44-ER43,IF(A44&lt;'Données projet'!$A$192,$EG$205^A44,IF(A44='Données projet'!$A$192,'Données projet'!$B$192,EJ43+EI44-ER43)))</f>
        <v>78.8</v>
      </c>
      <c r="EK44" s="18">
        <f>EJ44*VLOOKUP('Données projet'!$B$15,Paramètres!$A$1:$I$89,3,0)*VLOOKUP('Données projet'!$B$15,Paramètres!$A$1:$I$89,5,0)</f>
        <v>89.737439999999992</v>
      </c>
      <c r="EL44" s="14">
        <f t="shared" si="45"/>
        <v>24.501891081088839</v>
      </c>
      <c r="EM44" s="22">
        <f t="shared" si="19"/>
        <v>198.96683496622973</v>
      </c>
      <c r="EN44" s="62">
        <f t="shared" si="20"/>
        <v>492.30016829956304</v>
      </c>
      <c r="EO44" s="62">
        <f ca="1">AVERAGE(OFFSET($EN$3,0,0,'Données projet'!$E$15+1,1))-AVERAGE(OFFSET($H$3,0,0,'Données projet'!$E$15+1,1))</f>
        <v>220.03635832253951</v>
      </c>
      <c r="EP44" s="62">
        <f t="shared" si="46"/>
        <v>136.30639155882233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13.2</v>
      </c>
      <c r="FE44" s="13">
        <f>IF('Données projet'!$A$218&gt;35,FE43+FD44-FM43,IF(A44&lt;'Données projet'!$A$218,$FB$205^A44,IF(A44='Données projet'!$A$218,'Données projet'!$B$218,FE43+FD44-FM43)))</f>
        <v>217.20000000000007</v>
      </c>
      <c r="FF44" s="18">
        <f>FE44*VLOOKUP('Données projet'!$B$16,Paramètres!$A$1:$I$89,3,0)*VLOOKUP('Données projet'!$B$16,Paramètres!$A$1:$I$89,5,0)</f>
        <v>227.01744000000011</v>
      </c>
      <c r="FG44" s="14">
        <f t="shared" si="47"/>
        <v>55.637293245260807</v>
      </c>
      <c r="FH44" s="22">
        <f t="shared" si="22"/>
        <v>492.29032706882936</v>
      </c>
      <c r="FI44" s="62">
        <f t="shared" si="23"/>
        <v>785.62366040216261</v>
      </c>
      <c r="FJ44" s="62">
        <f ca="1">AVERAGE(OFFSET($FI$3,0,0,'Données projet'!$E$16+1,1))-AVERAGE(OFFSET($H$3,0,0,'Données projet'!$E$16+1,1))</f>
        <v>641.62708445664862</v>
      </c>
      <c r="FK44" s="62">
        <f t="shared" si="48"/>
        <v>379.46845863546929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0.47941475792727561</v>
      </c>
      <c r="FT44" s="24">
        <f t="shared" si="24"/>
        <v>0.47941475792727561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3.8</v>
      </c>
      <c r="FZ44" s="13">
        <f>IF('Données projet'!$A$244&gt;35,FZ43+FY44-GH43,IF(A44&lt;'Données projet'!$A$244,$FW$205^A44,IF(A44='Données projet'!$A$244,'Données projet'!$B$244,FZ43+FY44-GH43)))</f>
        <v>78.8</v>
      </c>
      <c r="GA44" s="18">
        <f>FZ44*VLOOKUP('Données projet'!$B$17,Paramètres!$A$1:$I$89,3,0)*VLOOKUP('Données projet'!$B$17,Paramètres!$A$1:$I$89,5,0)</f>
        <v>76.21535999999999</v>
      </c>
      <c r="GB44" s="14">
        <f t="shared" si="49"/>
        <v>21.209226133452251</v>
      </c>
      <c r="GC44" s="22">
        <f t="shared" si="25"/>
        <v>169.68115418242931</v>
      </c>
      <c r="GD44" s="62">
        <f t="shared" si="26"/>
        <v>463.01448751576265</v>
      </c>
      <c r="GE44" s="62">
        <f ca="1">AVERAGE(OFFSET($GD$3,0,0,'Données projet'!$E$17+1,1))-AVERAGE(OFFSET($H$3,0,0,'Données projet'!$E$17+1,1))</f>
        <v>181.39066880931728</v>
      </c>
      <c r="GF44" s="62">
        <f t="shared" si="50"/>
        <v>116.06078566855524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5</v>
      </c>
      <c r="GU44" s="13">
        <f>IF('Données projet'!$A$270&gt;35,GU43+GT44-HC43,IF(A44&lt;'Données projet'!$A$270,$GR$205^A44,IF(A44='Données projet'!$A$270,'Données projet'!$B$270,GU43+GT44-HC43)))</f>
        <v>99.999999999999972</v>
      </c>
      <c r="GV44" s="18">
        <f>GU44*VLOOKUP('Données projet'!$B$18,Paramètres!$A$1:$I$89,3,0)*VLOOKUP('Données projet'!$B$18,Paramètres!$A$1:$I$89,5,0)</f>
        <v>87.359999999999985</v>
      </c>
      <c r="GW44" s="14">
        <f t="shared" si="51"/>
        <v>23.927421530185931</v>
      </c>
      <c r="GX44" s="22">
        <f t="shared" si="28"/>
        <v>193.82559249840713</v>
      </c>
      <c r="GY44" s="62">
        <f t="shared" si="29"/>
        <v>487.15892583174048</v>
      </c>
      <c r="GZ44" s="62">
        <f ca="1">AVERAGE(OFFSET($GY$3,0,0,'Données projet'!$E$18+1,1))-AVERAGE(OFFSET($H$3,0,0,'Données projet'!$E$18+1,1))</f>
        <v>152.84277478695606</v>
      </c>
      <c r="HA44" s="62">
        <f t="shared" si="52"/>
        <v>179.22995976651015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9">
        <f t="shared" si="1"/>
        <v>309.38870746282663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134.65920000000006</v>
      </c>
      <c r="P45" s="14">
        <f t="shared" si="33"/>
        <v>35.07074737441733</v>
      </c>
      <c r="Q45" s="22">
        <f t="shared" si="53"/>
        <v>295.61299167711024</v>
      </c>
      <c r="R45" s="62">
        <f t="shared" si="0"/>
        <v>588.94632501044362</v>
      </c>
      <c r="S45" s="62">
        <f ca="1">AVERAGE(OFFSET($R$3,0,0,'Données projet'!$E$9+1,1))-AVERAGE(OFFSET($H$3,0,0,'Données projet'!$E$9+1,1))</f>
        <v>383.26814640166805</v>
      </c>
      <c r="T45" s="62">
        <f t="shared" si="34"/>
        <v>233.71216103405249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3.8</v>
      </c>
      <c r="AI45" s="14">
        <f>IF('Données projet'!$A$62&gt;35,AI44+AH45-AQ44,IF(A45&lt;'Données projet'!$A$62,$AF$205^A45,IF(A45='Données projet'!$A$62,'Données projet'!$B$62,AI44+AH45-AQ44)))</f>
        <v>82.6</v>
      </c>
      <c r="AJ45" s="14">
        <f>AI45*VLOOKUP('Données projet'!$B$10,Paramètres!$A$1:$I$89,3,0)*VLOOKUP('Données projet'!$B$10,Paramètres!$A$1:$I$89,5,0)</f>
        <v>88.910639999999987</v>
      </c>
      <c r="AK45" s="14">
        <f t="shared" si="35"/>
        <v>24.302311675558148</v>
      </c>
      <c r="AL45" s="22">
        <f t="shared" si="4"/>
        <v>197.17922416826374</v>
      </c>
      <c r="AM45" s="62">
        <f t="shared" si="5"/>
        <v>490.51255750159703</v>
      </c>
      <c r="AN45" s="62">
        <f ca="1">AVERAGE(OFFSET($AM$3,0,0,'Données projet'!$E$10+1,1))-AVERAGE(OFFSET($H$3,0,0,'Données projet'!$E$10+1,1))</f>
        <v>205.99910063756408</v>
      </c>
      <c r="AO45" s="62">
        <f t="shared" si="36"/>
        <v>128.95330275493671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13.141346153846158</v>
      </c>
      <c r="BD45" s="13">
        <f>IF('Données projet'!$A$88&gt;35,BD44+BC45-BL44,IF(A45&lt;'Données projet'!$A$88,$BA$205^A45,IF(A45='Données projet'!$A$88,'Données projet'!$B$88,BD44+BC45-BL44)))</f>
        <v>276.87115384615379</v>
      </c>
      <c r="BE45" s="14">
        <f>BD45*VLOOKUP('Données projet'!$B$11,Paramètres!$A$1:$I$89,3,0)*VLOOKUP('Données projet'!$B$11,Paramètres!$A$1:$I$89,5,0)</f>
        <v>165.56894999999997</v>
      </c>
      <c r="BF45" s="14">
        <f t="shared" si="37"/>
        <v>42.096095514085818</v>
      </c>
      <c r="BG45" s="22">
        <f t="shared" si="7"/>
        <v>361.6832876036994</v>
      </c>
      <c r="BH45" s="62">
        <f t="shared" si="8"/>
        <v>655.01662093703271</v>
      </c>
      <c r="BI45" s="62">
        <f ca="1">AVERAGE(OFFSET($BH$3,0,0,'Données projet'!$E$11+1,1))-AVERAGE(OFFSET($H$3,0,0,'Données projet'!$E$11+1,1))</f>
        <v>222.20580087523689</v>
      </c>
      <c r="BJ45" s="62">
        <f t="shared" si="38"/>
        <v>232.08940427392253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7.8913302727503671</v>
      </c>
      <c r="BQ45" s="23">
        <f>EXP(-LN(2)/25)*BQ44+(1-EXP(-LN(2)/25))/(LN(2)/25)*Calculateur!BL45*Calculateur!BN45*VLOOKUP('Données projet'!$B$11,Paramètres!$A$1:$I$89,3,0)*0.475*44/12</f>
        <v>11.784271074858827</v>
      </c>
      <c r="BR45" s="23">
        <f>EXP(-LN(2)/2)*BR44+(1-EXP(-LN(2)/2))/(LN(2)/2)*BL45*BO45*VLOOKUP('Données projet'!$B$11,Paramètres!$A$1:$I$89,3,0)*0.475*44/12</f>
        <v>9.9061889780060058E-2</v>
      </c>
      <c r="BS45" s="24">
        <f t="shared" si="9"/>
        <v>19.774663237389255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10.407692307692306</v>
      </c>
      <c r="BY45" s="13">
        <f>IF('Données projet'!$A$114&gt;35,BY44+BX45-CG44,IF(A45&lt;'Données projet'!$A$114,$BV$205^A45,IF(A45='Données projet'!$A$114,'Données projet'!$B$114,BY44+BX45-CG44)))</f>
        <v>228.16923076923081</v>
      </c>
      <c r="BZ45" s="14">
        <f>BY45*VLOOKUP('Données projet'!$B$12,Paramètres!$A$1:$I$89,3,0)*VLOOKUP('Données projet'!$B$12,Paramètres!$A$1:$I$89,5,0)</f>
        <v>106.78320000000002</v>
      </c>
      <c r="CA45" s="14">
        <f t="shared" si="39"/>
        <v>28.571777207672977</v>
      </c>
      <c r="CB45" s="22">
        <f t="shared" si="10"/>
        <v>235.74325197003046</v>
      </c>
      <c r="CC45" s="62">
        <f t="shared" si="11"/>
        <v>529.0765853033638</v>
      </c>
      <c r="CD45" s="62">
        <f ca="1">AVERAGE(OFFSET($CC$3,0,0,'Données projet'!$E$12+1,1))-AVERAGE(OFFSET($H$3,0,0,'Données projet'!$E$12+1,1))</f>
        <v>179.14256291235466</v>
      </c>
      <c r="CE45" s="62">
        <f t="shared" si="40"/>
        <v>107.5256983607585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11.861538461538462</v>
      </c>
      <c r="CT45" s="13">
        <f>IF('Données projet'!$A$140&gt;35,CT44+CS45-DB44,IF(A45&lt;'Données projet'!$A$140,$CQ$205^A45,IF(A45='Données projet'!$A$140,'Données projet'!$B$140,CT44+CS45-DB44)))</f>
        <v>196.19230769230771</v>
      </c>
      <c r="CU45" s="18">
        <f>CT45*VLOOKUP('Données projet'!$B$13,Paramètres!$A$1:$I$89,3,0)*VLOOKUP('Données projet'!$B$13,Paramètres!$A$1:$I$89,5,0)</f>
        <v>117.32300000000002</v>
      </c>
      <c r="CV45" s="14">
        <f t="shared" si="41"/>
        <v>31.049815552357138</v>
      </c>
      <c r="CW45" s="22">
        <f t="shared" si="13"/>
        <v>258.41598708702207</v>
      </c>
      <c r="CX45" s="62">
        <f t="shared" si="14"/>
        <v>551.74932042035539</v>
      </c>
      <c r="CY45" s="62">
        <f ca="1">AVERAGE(OFFSET($CX$3,0,0,'Données projet'!$E$13+1,1))-AVERAGE(OFFSET($H$3,0,0,'Données projet'!$E$13+1,1))</f>
        <v>237.03649693529445</v>
      </c>
      <c r="CZ45" s="62">
        <f t="shared" si="42"/>
        <v>191.04289411674887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8.223233401945991E-2</v>
      </c>
      <c r="DI45" s="24">
        <f t="shared" si="15"/>
        <v>8.223233401945991E-2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4.4930000000000003</v>
      </c>
      <c r="DO45" s="13">
        <f>IF('Données projet'!$A$166&gt;35,DO44+DN45-DW44,IF(A45&lt;'Données projet'!$A$166,$DL$205^A45,IF(A45='Données projet'!$A$166,'Données projet'!$B$166,DO44+DN45-DW44)))</f>
        <v>142.58599999999998</v>
      </c>
      <c r="DP45" s="18">
        <f>DO45*VLOOKUP('Données projet'!$B$14,Paramètres!$A$1:$I$89,3,0)*VLOOKUP('Données projet'!$B$14,Paramètres!$A$1:$I$89,5,0)</f>
        <v>164.25907199999997</v>
      </c>
      <c r="DQ45" s="14">
        <f t="shared" si="43"/>
        <v>41.801687255057367</v>
      </c>
      <c r="DR45" s="22">
        <f t="shared" si="16"/>
        <v>358.88915570255818</v>
      </c>
      <c r="DS45" s="62">
        <f t="shared" si="17"/>
        <v>652.2224890358915</v>
      </c>
      <c r="DT45" s="62">
        <f ca="1">AVERAGE(OFFSET($DS$3,0,0,'Données projet'!$E$14+1,1))-AVERAGE(OFFSET($H$3,0,0,'Données projet'!$E$14+1,1))</f>
        <v>431.38469096974364</v>
      </c>
      <c r="DU45" s="62">
        <f t="shared" si="44"/>
        <v>295.48627059086647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0.70229832190949504</v>
      </c>
      <c r="EC45" s="23">
        <f>EXP(-LN(2)/2)*EC44+(1-EXP(-LN(2)/2))/(LN(2)/2)*DW45*DZ45*VLOOKUP('Données projet'!$B$14,Paramètres!$A$1:$I$89,3,0)*0.475*44/12</f>
        <v>5.997555000818422E-2</v>
      </c>
      <c r="ED45" s="24">
        <f t="shared" si="18"/>
        <v>0.76227387191767926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3.8</v>
      </c>
      <c r="EJ45" s="13">
        <f>IF('Données projet'!$A$192&gt;35,EJ44+EI45-ER44,IF(A45&lt;'Données projet'!$A$192,$EG$205^A45,IF(A45='Données projet'!$A$192,'Données projet'!$B$192,EJ44+EI45-ER44)))</f>
        <v>82.6</v>
      </c>
      <c r="EK45" s="18">
        <f>EJ45*VLOOKUP('Données projet'!$B$15,Paramètres!$A$1:$I$89,3,0)*VLOOKUP('Données projet'!$B$15,Paramètres!$A$1:$I$89,5,0)</f>
        <v>94.064879999999988</v>
      </c>
      <c r="EL45" s="14">
        <f t="shared" si="45"/>
        <v>25.543041500517926</v>
      </c>
      <c r="EM45" s="22">
        <f t="shared" si="19"/>
        <v>208.31712994673535</v>
      </c>
      <c r="EN45" s="62">
        <f t="shared" si="20"/>
        <v>501.65046328006866</v>
      </c>
      <c r="EO45" s="62">
        <f ca="1">AVERAGE(OFFSET($EN$3,0,0,'Données projet'!$E$15+1,1))-AVERAGE(OFFSET($H$3,0,0,'Données projet'!$E$15+1,1))</f>
        <v>220.03635832253951</v>
      </c>
      <c r="EP45" s="62">
        <f t="shared" si="46"/>
        <v>136.30639155882233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13.2</v>
      </c>
      <c r="FE45" s="13">
        <f>IF('Données projet'!$A$218&gt;35,FE44+FD45-FM44,IF(A45&lt;'Données projet'!$A$218,$FB$205^A45,IF(A45='Données projet'!$A$218,'Données projet'!$B$218,FE44+FD45-FM44)))</f>
        <v>230.40000000000006</v>
      </c>
      <c r="FF45" s="18">
        <f>FE45*VLOOKUP('Données projet'!$B$16,Paramètres!$A$1:$I$89,3,0)*VLOOKUP('Données projet'!$B$16,Paramètres!$A$1:$I$89,5,0)</f>
        <v>240.81408000000008</v>
      </c>
      <c r="FG45" s="14">
        <f t="shared" si="47"/>
        <v>58.61464922570665</v>
      </c>
      <c r="FH45" s="22">
        <f t="shared" si="22"/>
        <v>521.50503673477249</v>
      </c>
      <c r="FI45" s="62">
        <f t="shared" si="23"/>
        <v>814.83837006810586</v>
      </c>
      <c r="FJ45" s="62">
        <f ca="1">AVERAGE(OFFSET($FI$3,0,0,'Données projet'!$E$16+1,1))-AVERAGE(OFFSET($H$3,0,0,'Données projet'!$E$16+1,1))</f>
        <v>641.62708445664862</v>
      </c>
      <c r="FK45" s="62">
        <f t="shared" si="48"/>
        <v>379.46845863546929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0.33899742633128377</v>
      </c>
      <c r="FT45" s="24">
        <f t="shared" si="24"/>
        <v>0.33899742633128377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3.8</v>
      </c>
      <c r="FZ45" s="13">
        <f>IF('Données projet'!$A$244&gt;35,FZ44+FY45-GH44,IF(A45&lt;'Données projet'!$A$244,$FW$205^A45,IF(A45='Données projet'!$A$244,'Données projet'!$B$244,FZ44+FY45-GH44)))</f>
        <v>82.6</v>
      </c>
      <c r="GA45" s="18">
        <f>FZ45*VLOOKUP('Données projet'!$B$17,Paramètres!$A$1:$I$89,3,0)*VLOOKUP('Données projet'!$B$17,Paramètres!$A$1:$I$89,5,0)</f>
        <v>79.890720000000002</v>
      </c>
      <c r="GB45" s="14">
        <f t="shared" si="49"/>
        <v>22.110462475232147</v>
      </c>
      <c r="GC45" s="22">
        <f t="shared" si="25"/>
        <v>177.65205947769599</v>
      </c>
      <c r="GD45" s="62">
        <f t="shared" si="26"/>
        <v>470.98539281102933</v>
      </c>
      <c r="GE45" s="62">
        <f ca="1">AVERAGE(OFFSET($GD$3,0,0,'Données projet'!$E$17+1,1))-AVERAGE(OFFSET($H$3,0,0,'Données projet'!$E$17+1,1))</f>
        <v>181.39066880931728</v>
      </c>
      <c r="GF45" s="62">
        <f t="shared" si="50"/>
        <v>116.06078566855524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5</v>
      </c>
      <c r="GU45" s="13">
        <f>IF('Données projet'!$A$270&gt;35,GU44+GT45-HC44,IF(A45&lt;'Données projet'!$A$270,$GR$205^A45,IF(A45='Données projet'!$A$270,'Données projet'!$B$270,GU44+GT45-HC44)))</f>
        <v>104.99999999999997</v>
      </c>
      <c r="GV45" s="18">
        <f>GU45*VLOOKUP('Données projet'!$B$18,Paramètres!$A$1:$I$89,3,0)*VLOOKUP('Données projet'!$B$18,Paramètres!$A$1:$I$89,5,0)</f>
        <v>91.727999999999994</v>
      </c>
      <c r="GW45" s="14">
        <f t="shared" si="51"/>
        <v>24.981514582386563</v>
      </c>
      <c r="GX45" s="22">
        <f t="shared" si="28"/>
        <v>203.26907123098991</v>
      </c>
      <c r="GY45" s="62">
        <f t="shared" si="29"/>
        <v>496.60240456432325</v>
      </c>
      <c r="GZ45" s="62">
        <f ca="1">AVERAGE(OFFSET($GY$3,0,0,'Données projet'!$E$18+1,1))-AVERAGE(OFFSET($H$3,0,0,'Données projet'!$E$18+1,1))</f>
        <v>152.84277478695606</v>
      </c>
      <c r="HA45" s="62">
        <f t="shared" si="52"/>
        <v>179.22995976651015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9">
        <f t="shared" si="1"/>
        <v>310.608199983867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2">
        <f t="shared" si="0"/>
        <v>607.18273374145838</v>
      </c>
      <c r="S46" s="62">
        <f ca="1">AVERAGE(OFFSET($R$3,0,0,'Données projet'!$E$9+1,1))-AVERAGE(OFFSET($H$3,0,0,'Données projet'!$E$9+1,1))</f>
        <v>383.26814640166805</v>
      </c>
      <c r="T46" s="62">
        <f t="shared" si="34"/>
        <v>233.71216103405249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3.8</v>
      </c>
      <c r="AI46" s="14">
        <f>IF('Données projet'!$A$62&gt;35,AI45+AH46-AQ45,IF(A46&lt;'Données projet'!$A$62,$AF$205^A46,IF(A46='Données projet'!$A$62,'Données projet'!$B$62,AI45+AH46-AQ45)))</f>
        <v>86.399999999999991</v>
      </c>
      <c r="AJ46" s="14">
        <f>AI46*VLOOKUP('Données projet'!$B$10,Paramètres!$A$1:$I$89,3,0)*VLOOKUP('Données projet'!$B$10,Paramètres!$A$1:$I$89,5,0)</f>
        <v>93.000959999999992</v>
      </c>
      <c r="AK46" s="14">
        <f t="shared" si="35"/>
        <v>25.28759686753336</v>
      </c>
      <c r="AL46" s="22">
        <f t="shared" si="4"/>
        <v>206.01923654428722</v>
      </c>
      <c r="AM46" s="62">
        <f t="shared" si="5"/>
        <v>499.35256987762057</v>
      </c>
      <c r="AN46" s="62">
        <f ca="1">AVERAGE(OFFSET($AM$3,0,0,'Données projet'!$E$10+1,1))-AVERAGE(OFFSET($H$3,0,0,'Données projet'!$E$10+1,1))</f>
        <v>205.99910063756408</v>
      </c>
      <c r="AO46" s="62">
        <f t="shared" si="36"/>
        <v>128.95330275493671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13.141346153846158</v>
      </c>
      <c r="BD46" s="13">
        <f>IF('Données projet'!$A$88&gt;35,BD45+BC46-BL45,IF(A46&lt;'Données projet'!$A$88,$BA$205^A46,IF(A46='Données projet'!$A$88,'Données projet'!$B$88,BD45+BC46-BL45)))</f>
        <v>290.01249999999993</v>
      </c>
      <c r="BE46" s="14">
        <f>BD46*VLOOKUP('Données projet'!$B$11,Paramètres!$A$1:$I$89,3,0)*VLOOKUP('Données projet'!$B$11,Paramètres!$A$1:$I$89,5,0)</f>
        <v>173.42747499999999</v>
      </c>
      <c r="BF46" s="14">
        <f t="shared" si="37"/>
        <v>43.856769901180428</v>
      </c>
      <c r="BG46" s="22">
        <f t="shared" si="7"/>
        <v>378.43672653622252</v>
      </c>
      <c r="BH46" s="62">
        <f t="shared" si="8"/>
        <v>671.77005986955578</v>
      </c>
      <c r="BI46" s="62">
        <f ca="1">AVERAGE(OFFSET($BH$3,0,0,'Données projet'!$E$11+1,1))-AVERAGE(OFFSET($H$3,0,0,'Données projet'!$E$11+1,1))</f>
        <v>222.20580087523689</v>
      </c>
      <c r="BJ46" s="62">
        <f t="shared" si="38"/>
        <v>232.08940427392253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7.7365860993379316</v>
      </c>
      <c r="BQ46" s="23">
        <f>EXP(-LN(2)/25)*BQ45+(1-EXP(-LN(2)/25))/(LN(2)/25)*Calculateur!BL46*Calculateur!BN46*VLOOKUP('Données projet'!$B$11,Paramètres!$A$1:$I$89,3,0)*0.475*44/12</f>
        <v>11.462029562608929</v>
      </c>
      <c r="BR46" s="23">
        <f>EXP(-LN(2)/2)*BR45+(1-EXP(-LN(2)/2))/(LN(2)/2)*BL46*BO46*VLOOKUP('Données projet'!$B$11,Paramètres!$A$1:$I$89,3,0)*0.475*44/12</f>
        <v>7.0047334020634816E-2</v>
      </c>
      <c r="BS46" s="24">
        <f t="shared" si="9"/>
        <v>19.268662995967496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10.407692307692306</v>
      </c>
      <c r="BY46" s="13">
        <f>IF('Données projet'!$A$114&gt;35,BY45+BX46-CG45,IF(A46&lt;'Données projet'!$A$114,$BV$205^A46,IF(A46='Données projet'!$A$114,'Données projet'!$B$114,BY45+BX46-CG45)))</f>
        <v>238.57692307692312</v>
      </c>
      <c r="BZ46" s="14">
        <f>BY46*VLOOKUP('Données projet'!$B$12,Paramètres!$A$1:$I$89,3,0)*VLOOKUP('Données projet'!$B$12,Paramètres!$A$1:$I$89,5,0)</f>
        <v>111.65400000000002</v>
      </c>
      <c r="CA46" s="14">
        <f t="shared" si="39"/>
        <v>29.720340737744728</v>
      </c>
      <c r="CB46" s="22">
        <f t="shared" si="10"/>
        <v>246.22697678490542</v>
      </c>
      <c r="CC46" s="62">
        <f t="shared" si="11"/>
        <v>539.5603101182387</v>
      </c>
      <c r="CD46" s="62">
        <f ca="1">AVERAGE(OFFSET($CC$3,0,0,'Données projet'!$E$12+1,1))-AVERAGE(OFFSET($H$3,0,0,'Données projet'!$E$12+1,1))</f>
        <v>179.14256291235466</v>
      </c>
      <c r="CE46" s="62">
        <f t="shared" si="40"/>
        <v>107.5256983607585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11.861538461538462</v>
      </c>
      <c r="CT46" s="13">
        <f>IF('Données projet'!$A$140&gt;35,CT45+CS46-DB45,IF(A46&lt;'Données projet'!$A$140,$CQ$205^A46,IF(A46='Données projet'!$A$140,'Données projet'!$B$140,CT45+CS46-DB45)))</f>
        <v>208.05384615384617</v>
      </c>
      <c r="CU46" s="18">
        <f>CT46*VLOOKUP('Données projet'!$B$13,Paramètres!$A$1:$I$89,3,0)*VLOOKUP('Données projet'!$B$13,Paramètres!$A$1:$I$89,5,0)</f>
        <v>124.41620000000002</v>
      </c>
      <c r="CV46" s="14">
        <f t="shared" si="41"/>
        <v>32.702828934083335</v>
      </c>
      <c r="CW46" s="22">
        <f t="shared" si="13"/>
        <v>273.64897539352847</v>
      </c>
      <c r="CX46" s="62">
        <f t="shared" si="14"/>
        <v>566.98230872686179</v>
      </c>
      <c r="CY46" s="62">
        <f ca="1">AVERAGE(OFFSET($CX$3,0,0,'Données projet'!$E$13+1,1))-AVERAGE(OFFSET($H$3,0,0,'Données projet'!$E$13+1,1))</f>
        <v>237.03649693529445</v>
      </c>
      <c r="CZ46" s="62">
        <f t="shared" si="42"/>
        <v>191.04289411674887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5.8147041017957334E-2</v>
      </c>
      <c r="DI46" s="24">
        <f t="shared" si="15"/>
        <v>5.8147041017957334E-2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4.4930000000000003</v>
      </c>
      <c r="DO46" s="13">
        <f>IF('Données projet'!$A$166&gt;35,DO45+DN46-DW45,IF(A46&lt;'Données projet'!$A$166,$DL$205^A46,IF(A46='Données projet'!$A$166,'Données projet'!$B$166,DO45+DN46-DW45)))</f>
        <v>147.07899999999998</v>
      </c>
      <c r="DP46" s="18">
        <f>DO46*VLOOKUP('Données projet'!$B$14,Paramètres!$A$1:$I$89,3,0)*VLOOKUP('Données projet'!$B$14,Paramètres!$A$1:$I$89,5,0)</f>
        <v>169.43500799999995</v>
      </c>
      <c r="DQ46" s="14">
        <f t="shared" si="43"/>
        <v>42.963459665714076</v>
      </c>
      <c r="DR46" s="22">
        <f t="shared" si="16"/>
        <v>369.92733118445193</v>
      </c>
      <c r="DS46" s="62">
        <f t="shared" si="17"/>
        <v>663.26066451778524</v>
      </c>
      <c r="DT46" s="62">
        <f ca="1">AVERAGE(OFFSET($DS$3,0,0,'Données projet'!$E$14+1,1))-AVERAGE(OFFSET($H$3,0,0,'Données projet'!$E$14+1,1))</f>
        <v>431.38469096974364</v>
      </c>
      <c r="DU46" s="62">
        <f t="shared" si="44"/>
        <v>295.48627059086647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0.68309393736461632</v>
      </c>
      <c r="EC46" s="23">
        <f>EXP(-LN(2)/2)*EC45+(1-EXP(-LN(2)/2))/(LN(2)/2)*DW46*DZ46*VLOOKUP('Données projet'!$B$14,Paramètres!$A$1:$I$89,3,0)*0.475*44/12</f>
        <v>4.2409118116179957E-2</v>
      </c>
      <c r="ED46" s="24">
        <f t="shared" si="18"/>
        <v>0.7255030554807963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3.8</v>
      </c>
      <c r="EJ46" s="13">
        <f>IF('Données projet'!$A$192&gt;35,EJ45+EI46-ER45,IF(A46&lt;'Données projet'!$A$192,$EG$205^A46,IF(A46='Données projet'!$A$192,'Données projet'!$B$192,EJ45+EI46-ER45)))</f>
        <v>86.399999999999991</v>
      </c>
      <c r="EK46" s="18">
        <f>EJ46*VLOOKUP('Données projet'!$B$15,Paramètres!$A$1:$I$89,3,0)*VLOOKUP('Données projet'!$B$15,Paramètres!$A$1:$I$89,5,0)</f>
        <v>98.392319999999998</v>
      </c>
      <c r="EL46" s="14">
        <f t="shared" si="45"/>
        <v>26.578629426656668</v>
      </c>
      <c r="EM46" s="22">
        <f t="shared" si="19"/>
        <v>217.65773691809366</v>
      </c>
      <c r="EN46" s="62">
        <f t="shared" si="20"/>
        <v>510.991070251427</v>
      </c>
      <c r="EO46" s="62">
        <f ca="1">AVERAGE(OFFSET($EN$3,0,0,'Données projet'!$E$15+1,1))-AVERAGE(OFFSET($H$3,0,0,'Données projet'!$E$15+1,1))</f>
        <v>220.03635832253951</v>
      </c>
      <c r="EP46" s="62">
        <f t="shared" si="46"/>
        <v>136.30639155882233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13.2</v>
      </c>
      <c r="FE46" s="13">
        <f>IF('Données projet'!$A$218&gt;35,FE45+FD46-FM45,IF(A46&lt;'Données projet'!$A$218,$FB$205^A46,IF(A46='Données projet'!$A$218,'Données projet'!$B$218,FE45+FD46-FM45)))</f>
        <v>243.60000000000005</v>
      </c>
      <c r="FF46" s="18">
        <f>FE46*VLOOKUP('Données projet'!$B$16,Paramètres!$A$1:$I$89,3,0)*VLOOKUP('Données projet'!$B$16,Paramètres!$A$1:$I$89,5,0)</f>
        <v>254.61072000000007</v>
      </c>
      <c r="FG46" s="14">
        <f t="shared" si="47"/>
        <v>61.572204587965729</v>
      </c>
      <c r="FH46" s="22">
        <f t="shared" si="22"/>
        <v>550.68526032404031</v>
      </c>
      <c r="FI46" s="62">
        <f t="shared" si="23"/>
        <v>844.01859365737369</v>
      </c>
      <c r="FJ46" s="62">
        <f ca="1">AVERAGE(OFFSET($FI$3,0,0,'Données projet'!$E$16+1,1))-AVERAGE(OFFSET($H$3,0,0,'Données projet'!$E$16+1,1))</f>
        <v>641.62708445664862</v>
      </c>
      <c r="FK46" s="62">
        <f t="shared" si="48"/>
        <v>379.46845863546929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0.23970737896363786</v>
      </c>
      <c r="FT46" s="24">
        <f t="shared" si="24"/>
        <v>0.23970737896363786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3.8</v>
      </c>
      <c r="FZ46" s="13">
        <f>IF('Données projet'!$A$244&gt;35,FZ45+FY46-GH45,IF(A46&lt;'Données projet'!$A$244,$FW$205^A46,IF(A46='Données projet'!$A$244,'Données projet'!$B$244,FZ45+FY46-GH45)))</f>
        <v>86.399999999999991</v>
      </c>
      <c r="GA46" s="18">
        <f>FZ46*VLOOKUP('Données projet'!$B$17,Paramètres!$A$1:$I$89,3,0)*VLOOKUP('Données projet'!$B$17,Paramètres!$A$1:$I$89,5,0)</f>
        <v>83.566079999999999</v>
      </c>
      <c r="GB46" s="14">
        <f t="shared" si="49"/>
        <v>23.006883834459444</v>
      </c>
      <c r="GC46" s="22">
        <f t="shared" si="25"/>
        <v>185.6145786783502</v>
      </c>
      <c r="GD46" s="62">
        <f t="shared" si="26"/>
        <v>478.94791201168351</v>
      </c>
      <c r="GE46" s="62">
        <f ca="1">AVERAGE(OFFSET($GD$3,0,0,'Données projet'!$E$17+1,1))-AVERAGE(OFFSET($H$3,0,0,'Données projet'!$E$17+1,1))</f>
        <v>181.39066880931728</v>
      </c>
      <c r="GF46" s="62">
        <f t="shared" si="50"/>
        <v>116.06078566855524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5</v>
      </c>
      <c r="GU46" s="13">
        <f>IF('Données projet'!$A$270&gt;35,GU45+GT46-HC45,IF(A46&lt;'Données projet'!$A$270,$GR$205^A46,IF(A46='Données projet'!$A$270,'Données projet'!$B$270,GU45+GT46-HC45)))</f>
        <v>109.99999999999997</v>
      </c>
      <c r="GV46" s="18">
        <f>GU46*VLOOKUP('Données projet'!$B$18,Paramètres!$A$1:$I$89,3,0)*VLOOKUP('Données projet'!$B$18,Paramètres!$A$1:$I$89,5,0)</f>
        <v>96.095999999999989</v>
      </c>
      <c r="GW46" s="14">
        <f t="shared" si="51"/>
        <v>26.029778784173352</v>
      </c>
      <c r="GX46" s="22">
        <f t="shared" si="28"/>
        <v>212.70239804910193</v>
      </c>
      <c r="GY46" s="62">
        <f t="shared" si="29"/>
        <v>506.03573138243524</v>
      </c>
      <c r="GZ46" s="62">
        <f ca="1">AVERAGE(OFFSET($GY$3,0,0,'Données projet'!$E$18+1,1))-AVERAGE(OFFSET($H$3,0,0,'Données projet'!$E$18+1,1))</f>
        <v>152.84277478695606</v>
      </c>
      <c r="HA46" s="62">
        <f t="shared" si="52"/>
        <v>179.22995976651015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9">
        <f t="shared" si="1"/>
        <v>311.82696648039632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151.69440000000006</v>
      </c>
      <c r="P47" s="14">
        <f t="shared" si="33"/>
        <v>38.963392010880654</v>
      </c>
      <c r="Q47" s="22">
        <f t="shared" si="53"/>
        <v>332.06232108561721</v>
      </c>
      <c r="R47" s="62">
        <f t="shared" si="0"/>
        <v>625.39565441895047</v>
      </c>
      <c r="S47" s="62">
        <f ca="1">AVERAGE(OFFSET($R$3,0,0,'Données projet'!$E$9+1,1))-AVERAGE(OFFSET($H$3,0,0,'Données projet'!$E$9+1,1))</f>
        <v>383.26814640166805</v>
      </c>
      <c r="T47" s="62">
        <f t="shared" si="34"/>
        <v>233.71216103405249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3.8</v>
      </c>
      <c r="AI47" s="14">
        <f>IF('Données projet'!$A$62&gt;35,AI46+AH47-AQ46,IF(A47&lt;'Données projet'!$A$62,$AF$205^A47,IF(A47='Données projet'!$A$62,'Données projet'!$B$62,AI46+AH47-AQ46)))</f>
        <v>90.199999999999989</v>
      </c>
      <c r="AJ47" s="14">
        <f>AI47*VLOOKUP('Données projet'!$B$10,Paramètres!$A$1:$I$89,3,0)*VLOOKUP('Données projet'!$B$10,Paramètres!$A$1:$I$89,5,0)</f>
        <v>97.091279999999983</v>
      </c>
      <c r="AK47" s="14">
        <f t="shared" si="35"/>
        <v>26.267849122787243</v>
      </c>
      <c r="AL47" s="22">
        <f t="shared" si="4"/>
        <v>214.85048322218776</v>
      </c>
      <c r="AM47" s="62">
        <f t="shared" si="5"/>
        <v>508.18381655552105</v>
      </c>
      <c r="AN47" s="62">
        <f ca="1">AVERAGE(OFFSET($AM$3,0,0,'Données projet'!$E$10+1,1))-AVERAGE(OFFSET($H$3,0,0,'Données projet'!$E$10+1,1))</f>
        <v>205.99910063756408</v>
      </c>
      <c r="AO47" s="62">
        <f t="shared" si="36"/>
        <v>128.95330275493671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303.15384615384619</v>
      </c>
      <c r="BB47" s="13">
        <f>VLOOKUP(A47,'Données projet'!$A$87:$I$107,9,0)</f>
        <v>13.141346153846158</v>
      </c>
      <c r="BC47" s="13">
        <f t="array" ref="BC47">INDEX(BB:BB,MIN(IF(ISNUMBER(BB47:BB243),ROW(BB47:BB243),"")))</f>
        <v>13.141346153846158</v>
      </c>
      <c r="BD47" s="13">
        <f>IF('Données projet'!$A$88&gt;35,BD46+BC47-BL46,IF(A47&lt;'Données projet'!$A$88,$BA$205^A47,IF(A47='Données projet'!$A$88,'Données projet'!$B$88,BD46+BC47-BL46)))</f>
        <v>303.15384615384608</v>
      </c>
      <c r="BE47" s="14">
        <f>BD47*VLOOKUP('Données projet'!$B$11,Paramètres!$A$1:$I$89,3,0)*VLOOKUP('Données projet'!$B$11,Paramètres!$A$1:$I$89,5,0)</f>
        <v>181.28599999999997</v>
      </c>
      <c r="BF47" s="14">
        <f t="shared" si="37"/>
        <v>45.608178821536583</v>
      </c>
      <c r="BG47" s="22">
        <f t="shared" si="7"/>
        <v>395.17402811417611</v>
      </c>
      <c r="BH47" s="62">
        <f t="shared" si="8"/>
        <v>688.50736144750942</v>
      </c>
      <c r="BI47" s="62">
        <f ca="1">AVERAGE(OFFSET($BH$3,0,0,'Données projet'!$E$11+1,1))-AVERAGE(OFFSET($H$3,0,0,'Données projet'!$E$11+1,1))</f>
        <v>222.20580087523689</v>
      </c>
      <c r="BJ47" s="62">
        <f t="shared" si="38"/>
        <v>232.08940427392253</v>
      </c>
      <c r="BK47" s="16">
        <f>IF(ISNA(VLOOKUP(A47,'Données projet'!$A$87:$I$107,3,0)),0,VLOOKUP(A47,'Données projet'!$A$87:$I$107,3,0))</f>
        <v>5</v>
      </c>
      <c r="BL47" s="16">
        <f>IF(ISNA(VLOOKUP(A47,'Données projet'!$A$87:$I$107,4,0)),0,VLOOKUP(A47,'Données projet'!$A$87:$I$107,4,0))</f>
        <v>64.476923076923114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7.5848763647814872</v>
      </c>
      <c r="BQ47" s="23">
        <f>EXP(-LN(2)/25)*BQ46+(1-EXP(-LN(2)/25))/(LN(2)/25)*Calculateur!BL47*Calculateur!BN47*VLOOKUP('Données projet'!$B$11,Paramètres!$A$1:$I$89,3,0)*0.475*44/12</f>
        <v>11.148599761457451</v>
      </c>
      <c r="BR47" s="23">
        <f>EXP(-LN(2)/2)*BR46+(1-EXP(-LN(2)/2))/(LN(2)/2)*BL47*BO47*VLOOKUP('Données projet'!$B$11,Paramètres!$A$1:$I$89,3,0)*0.475*44/12</f>
        <v>4.9530944890030029E-2</v>
      </c>
      <c r="BS47" s="24">
        <f t="shared" si="9"/>
        <v>18.783007071128967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10.407692307692306</v>
      </c>
      <c r="BY47" s="13">
        <f>IF('Données projet'!$A$114&gt;35,BY46+BX47-CG46,IF(A47&lt;'Données projet'!$A$114,$BV$205^A47,IF(A47='Données projet'!$A$114,'Données projet'!$B$114,BY46+BX47-CG46)))</f>
        <v>248.98461538461544</v>
      </c>
      <c r="BZ47" s="14">
        <f>BY47*VLOOKUP('Données projet'!$B$12,Paramètres!$A$1:$I$89,3,0)*VLOOKUP('Données projet'!$B$12,Paramètres!$A$1:$I$89,5,0)</f>
        <v>116.52480000000001</v>
      </c>
      <c r="CA47" s="14">
        <f t="shared" si="39"/>
        <v>30.86308487963316</v>
      </c>
      <c r="CB47" s="22">
        <f t="shared" si="10"/>
        <v>256.70056616536107</v>
      </c>
      <c r="CC47" s="62">
        <f t="shared" si="11"/>
        <v>550.03389949869438</v>
      </c>
      <c r="CD47" s="62">
        <f ca="1">AVERAGE(OFFSET($CC$3,0,0,'Données projet'!$E$12+1,1))-AVERAGE(OFFSET($H$3,0,0,'Données projet'!$E$12+1,1))</f>
        <v>179.14256291235466</v>
      </c>
      <c r="CE47" s="62">
        <f t="shared" si="40"/>
        <v>107.5256983607585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11.861538461538462</v>
      </c>
      <c r="CT47" s="13">
        <f>IF('Données projet'!$A$140&gt;35,CT46+CS47-DB46,IF(A47&lt;'Données projet'!$A$140,$CQ$205^A47,IF(A47='Données projet'!$A$140,'Données projet'!$B$140,CT46+CS47-DB46)))</f>
        <v>219.91538461538462</v>
      </c>
      <c r="CU47" s="18">
        <f>CT47*VLOOKUP('Données projet'!$B$13,Paramètres!$A$1:$I$89,3,0)*VLOOKUP('Données projet'!$B$13,Paramètres!$A$1:$I$89,5,0)</f>
        <v>131.50940000000003</v>
      </c>
      <c r="CV47" s="14">
        <f t="shared" si="41"/>
        <v>34.344902681781598</v>
      </c>
      <c r="CW47" s="22">
        <f t="shared" si="13"/>
        <v>288.86291050410301</v>
      </c>
      <c r="CX47" s="62">
        <f t="shared" si="14"/>
        <v>582.19624383743633</v>
      </c>
      <c r="CY47" s="62">
        <f ca="1">AVERAGE(OFFSET($CX$3,0,0,'Données projet'!$E$13+1,1))-AVERAGE(OFFSET($H$3,0,0,'Données projet'!$E$13+1,1))</f>
        <v>237.03649693529445</v>
      </c>
      <c r="CZ47" s="62">
        <f t="shared" si="42"/>
        <v>191.04289411674887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4.1116167009729962E-2</v>
      </c>
      <c r="DI47" s="24">
        <f t="shared" si="15"/>
        <v>4.1116167009729962E-2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4.4930000000000003</v>
      </c>
      <c r="DO47" s="13">
        <f>IF('Données projet'!$A$166&gt;35,DO46+DN47-DW46,IF(A47&lt;'Données projet'!$A$166,$DL$205^A47,IF(A47='Données projet'!$A$166,'Données projet'!$B$166,DO46+DN47-DW46)))</f>
        <v>151.57199999999997</v>
      </c>
      <c r="DP47" s="18">
        <f>DO47*VLOOKUP('Données projet'!$B$14,Paramètres!$A$1:$I$89,3,0)*VLOOKUP('Données projet'!$B$14,Paramètres!$A$1:$I$89,5,0)</f>
        <v>174.61094399999996</v>
      </c>
      <c r="DQ47" s="14">
        <f t="shared" si="43"/>
        <v>44.12110769082264</v>
      </c>
      <c r="DR47" s="22">
        <f t="shared" si="16"/>
        <v>380.95832336151602</v>
      </c>
      <c r="DS47" s="62">
        <f t="shared" si="17"/>
        <v>674.29165669484928</v>
      </c>
      <c r="DT47" s="62">
        <f ca="1">AVERAGE(OFFSET($DS$3,0,0,'Données projet'!$E$14+1,1))-AVERAGE(OFFSET($H$3,0,0,'Données projet'!$E$14+1,1))</f>
        <v>431.38469096974364</v>
      </c>
      <c r="DU47" s="62">
        <f t="shared" si="44"/>
        <v>295.48627059086647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0.66441469772503192</v>
      </c>
      <c r="EC47" s="23">
        <f>EXP(-LN(2)/2)*EC46+(1-EXP(-LN(2)/2))/(LN(2)/2)*DW47*DZ47*VLOOKUP('Données projet'!$B$14,Paramètres!$A$1:$I$89,3,0)*0.475*44/12</f>
        <v>2.998777500409211E-2</v>
      </c>
      <c r="ED47" s="24">
        <f t="shared" si="18"/>
        <v>0.69440247272912403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3.8</v>
      </c>
      <c r="EJ47" s="13">
        <f>IF('Données projet'!$A$192&gt;35,EJ46+EI47-ER46,IF(A47&lt;'Données projet'!$A$192,$EG$205^A47,IF(A47='Données projet'!$A$192,'Données projet'!$B$192,EJ46+EI47-ER46)))</f>
        <v>90.199999999999989</v>
      </c>
      <c r="EK47" s="18">
        <f>EJ47*VLOOKUP('Données projet'!$B$15,Paramètres!$A$1:$I$89,3,0)*VLOOKUP('Données projet'!$B$15,Paramètres!$A$1:$I$89,5,0)</f>
        <v>102.71975999999999</v>
      </c>
      <c r="EL47" s="14">
        <f t="shared" si="45"/>
        <v>27.608927464604609</v>
      </c>
      <c r="EM47" s="22">
        <f t="shared" si="19"/>
        <v>226.98913066751967</v>
      </c>
      <c r="EN47" s="62">
        <f t="shared" si="20"/>
        <v>520.32246400085296</v>
      </c>
      <c r="EO47" s="62">
        <f ca="1">AVERAGE(OFFSET($EN$3,0,0,'Données projet'!$E$15+1,1))-AVERAGE(OFFSET($H$3,0,0,'Données projet'!$E$15+1,1))</f>
        <v>220.03635832253951</v>
      </c>
      <c r="EP47" s="62">
        <f t="shared" si="46"/>
        <v>136.30639155882233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13.2</v>
      </c>
      <c r="FE47" s="13">
        <f>IF('Données projet'!$A$218&gt;35,FE46+FD47-FM46,IF(A47&lt;'Données projet'!$A$218,$FB$205^A47,IF(A47='Données projet'!$A$218,'Données projet'!$B$218,FE46+FD47-FM46)))</f>
        <v>256.80000000000007</v>
      </c>
      <c r="FF47" s="18">
        <f>FE47*VLOOKUP('Données projet'!$B$16,Paramètres!$A$1:$I$89,3,0)*VLOOKUP('Données projet'!$B$16,Paramètres!$A$1:$I$89,5,0)</f>
        <v>268.4073600000001</v>
      </c>
      <c r="FG47" s="14">
        <f t="shared" si="47"/>
        <v>64.511154593132588</v>
      </c>
      <c r="FH47" s="22">
        <f t="shared" si="22"/>
        <v>579.83307958303942</v>
      </c>
      <c r="FI47" s="62">
        <f t="shared" si="23"/>
        <v>873.16641291637279</v>
      </c>
      <c r="FJ47" s="62">
        <f ca="1">AVERAGE(OFFSET($FI$3,0,0,'Données projet'!$E$16+1,1))-AVERAGE(OFFSET($H$3,0,0,'Données projet'!$E$16+1,1))</f>
        <v>641.62708445664862</v>
      </c>
      <c r="FK47" s="62">
        <f t="shared" si="48"/>
        <v>379.46845863546929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0.16949871316564191</v>
      </c>
      <c r="FT47" s="24">
        <f t="shared" si="24"/>
        <v>0.16949871316564191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3.8</v>
      </c>
      <c r="FZ47" s="13">
        <f>IF('Données projet'!$A$244&gt;35,FZ46+FY47-GH46,IF(A47&lt;'Données projet'!$A$244,$FW$205^A47,IF(A47='Données projet'!$A$244,'Données projet'!$B$244,FZ46+FY47-GH46)))</f>
        <v>90.199999999999989</v>
      </c>
      <c r="GA47" s="18">
        <f>FZ47*VLOOKUP('Données projet'!$B$17,Paramètres!$A$1:$I$89,3,0)*VLOOKUP('Données projet'!$B$17,Paramètres!$A$1:$I$89,5,0)</f>
        <v>87.241439999999997</v>
      </c>
      <c r="GB47" s="14">
        <f t="shared" si="49"/>
        <v>23.898726182438701</v>
      </c>
      <c r="GC47" s="22">
        <f t="shared" si="25"/>
        <v>193.56912276774736</v>
      </c>
      <c r="GD47" s="62">
        <f t="shared" si="26"/>
        <v>486.9024561010807</v>
      </c>
      <c r="GE47" s="62">
        <f ca="1">AVERAGE(OFFSET($GD$3,0,0,'Données projet'!$E$17+1,1))-AVERAGE(OFFSET($H$3,0,0,'Données projet'!$E$17+1,1))</f>
        <v>181.39066880931728</v>
      </c>
      <c r="GF47" s="62">
        <f t="shared" si="50"/>
        <v>116.06078566855524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5</v>
      </c>
      <c r="GU47" s="13">
        <f>IF('Données projet'!$A$270&gt;35,GU46+GT47-HC46,IF(A47&lt;'Données projet'!$A$270,$GR$205^A47,IF(A47='Données projet'!$A$270,'Données projet'!$B$270,GU46+GT47-HC46)))</f>
        <v>114.99999999999997</v>
      </c>
      <c r="GV47" s="18">
        <f>GU47*VLOOKUP('Données projet'!$B$18,Paramètres!$A$1:$I$89,3,0)*VLOOKUP('Données projet'!$B$18,Paramètres!$A$1:$I$89,5,0)</f>
        <v>100.46399999999998</v>
      </c>
      <c r="GW47" s="14">
        <f t="shared" si="51"/>
        <v>27.072509349827456</v>
      </c>
      <c r="GX47" s="22">
        <f t="shared" si="28"/>
        <v>222.12608711761615</v>
      </c>
      <c r="GY47" s="62">
        <f t="shared" si="29"/>
        <v>515.45942045094944</v>
      </c>
      <c r="GZ47" s="62">
        <f ca="1">AVERAGE(OFFSET($GY$3,0,0,'Données projet'!$E$18+1,1))-AVERAGE(OFFSET($H$3,0,0,'Données projet'!$E$18+1,1))</f>
        <v>152.84277478695606</v>
      </c>
      <c r="HA47" s="62">
        <f t="shared" si="52"/>
        <v>179.22995976651015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9">
        <f t="shared" si="1"/>
        <v>313.04502535249287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160.21200000000007</v>
      </c>
      <c r="P48" s="14">
        <f t="shared" si="33"/>
        <v>40.890328912852731</v>
      </c>
      <c r="Q48" s="22">
        <f t="shared" si="53"/>
        <v>350.25322285655193</v>
      </c>
      <c r="R48" s="62">
        <f t="shared" si="0"/>
        <v>643.58655618988519</v>
      </c>
      <c r="S48" s="62">
        <f ca="1">AVERAGE(OFFSET($R$3,0,0,'Données projet'!$E$9+1,1))-AVERAGE(OFFSET($H$3,0,0,'Données projet'!$E$9+1,1))</f>
        <v>383.26814640166805</v>
      </c>
      <c r="T48" s="62">
        <f t="shared" si="34"/>
        <v>233.71216103405249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94</v>
      </c>
      <c r="AG48" s="13">
        <f>VLOOKUP(A48,'Données projet'!$A$61:$I$81,9,0)</f>
        <v>3.8</v>
      </c>
      <c r="AH48" s="13">
        <f t="array" ref="AH48">INDEX(AG:AG,MIN(IF(ISNUMBER(AG48:AG244),ROW(AG48:AG244),"")))</f>
        <v>3.8</v>
      </c>
      <c r="AI48" s="14">
        <f>IF('Données projet'!$A$62&gt;35,AI47+AH48-AQ47,IF(A48&lt;'Données projet'!$A$62,$AF$205^A48,IF(A48='Données projet'!$A$62,'Données projet'!$B$62,AI47+AH48-AQ47)))</f>
        <v>93.999999999999986</v>
      </c>
      <c r="AJ48" s="14">
        <f>AI48*VLOOKUP('Données projet'!$B$10,Paramètres!$A$1:$I$89,3,0)*VLOOKUP('Données projet'!$B$10,Paramètres!$A$1:$I$89,5,0)</f>
        <v>101.18159999999997</v>
      </c>
      <c r="AK48" s="14">
        <f t="shared" si="35"/>
        <v>27.243304715412336</v>
      </c>
      <c r="AL48" s="22">
        <f t="shared" si="4"/>
        <v>223.6733757126764</v>
      </c>
      <c r="AM48" s="62">
        <f t="shared" si="5"/>
        <v>517.00670904600975</v>
      </c>
      <c r="AN48" s="62">
        <f ca="1">AVERAGE(OFFSET($AM$3,0,0,'Données projet'!$E$10+1,1))-AVERAGE(OFFSET($H$3,0,0,'Données projet'!$E$10+1,1))</f>
        <v>205.99910063756408</v>
      </c>
      <c r="AO48" s="62">
        <f t="shared" si="36"/>
        <v>128.95330275493671</v>
      </c>
      <c r="AP48" s="16">
        <f>IF(ISNA(VLOOKUP(A48,'Données projet'!$A$61:$I$81,3,0)),0,VLOOKUP(A48,'Données projet'!$A$61:$I$81,3,0))</f>
        <v>2</v>
      </c>
      <c r="AQ48" s="16">
        <f>IF(ISNA(VLOOKUP(A48,'Données projet'!$A$61:$I$81,4,0)),0,VLOOKUP(A48,'Données projet'!$A$61:$I$81,4,0))</f>
        <v>18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11.611538461538466</v>
      </c>
      <c r="BD48" s="13">
        <f>IF('Données projet'!$A$88&gt;35,BD47+BC48-BL47,IF(A48&lt;'Données projet'!$A$88,$BA$205^A48,IF(A48='Données projet'!$A$88,'Données projet'!$B$88,BD47+BC48-BL47)))</f>
        <v>250.28846153846143</v>
      </c>
      <c r="BE48" s="14">
        <f>BD48*VLOOKUP('Données projet'!$B$11,Paramètres!$A$1:$I$89,3,0)*VLOOKUP('Données projet'!$B$11,Paramètres!$A$1:$I$89,5,0)</f>
        <v>149.67249999999996</v>
      </c>
      <c r="BF48" s="14">
        <f t="shared" si="37"/>
        <v>38.504150605716987</v>
      </c>
      <c r="BG48" s="22">
        <f t="shared" si="7"/>
        <v>327.74099980495697</v>
      </c>
      <c r="BH48" s="62">
        <f t="shared" si="8"/>
        <v>621.07433313829029</v>
      </c>
      <c r="BI48" s="62">
        <f ca="1">AVERAGE(OFFSET($BH$3,0,0,'Données projet'!$E$11+1,1))-AVERAGE(OFFSET($H$3,0,0,'Données projet'!$E$11+1,1))</f>
        <v>222.20580087523689</v>
      </c>
      <c r="BJ48" s="62">
        <f t="shared" si="38"/>
        <v>232.08940427392253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7.4361415655858938</v>
      </c>
      <c r="BQ48" s="23">
        <f>EXP(-LN(2)/25)*BQ47+(1-EXP(-LN(2)/25))/(LN(2)/25)*Calculateur!BL48*Calculateur!BN48*VLOOKUP('Données projet'!$B$11,Paramètres!$A$1:$I$89,3,0)*0.475*44/12</f>
        <v>10.843740714701015</v>
      </c>
      <c r="BR48" s="23">
        <f>EXP(-LN(2)/2)*BR47+(1-EXP(-LN(2)/2))/(LN(2)/2)*BL48*BO48*VLOOKUP('Données projet'!$B$11,Paramètres!$A$1:$I$89,3,0)*0.475*44/12</f>
        <v>3.5023667010317408E-2</v>
      </c>
      <c r="BS48" s="24">
        <f t="shared" si="9"/>
        <v>18.314905947297227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10.407692307692306</v>
      </c>
      <c r="BY48" s="13">
        <f>IF('Données projet'!$A$114&gt;35,BY47+BX48-CG47,IF(A48&lt;'Données projet'!$A$114,$BV$205^A48,IF(A48='Données projet'!$A$114,'Données projet'!$B$114,BY47+BX48-CG47)))</f>
        <v>259.39230769230772</v>
      </c>
      <c r="BZ48" s="14">
        <f>BY48*VLOOKUP('Données projet'!$B$12,Paramètres!$A$1:$I$89,3,0)*VLOOKUP('Données projet'!$B$12,Paramètres!$A$1:$I$89,5,0)</f>
        <v>121.39560000000002</v>
      </c>
      <c r="CA48" s="14">
        <f t="shared" si="39"/>
        <v>32.000280703058984</v>
      </c>
      <c r="CB48" s="22">
        <f t="shared" si="10"/>
        <v>267.16449222449438</v>
      </c>
      <c r="CC48" s="62">
        <f t="shared" si="11"/>
        <v>560.4978255578277</v>
      </c>
      <c r="CD48" s="62">
        <f ca="1">AVERAGE(OFFSET($CC$3,0,0,'Données projet'!$E$12+1,1))-AVERAGE(OFFSET($H$3,0,0,'Données projet'!$E$12+1,1))</f>
        <v>179.14256291235466</v>
      </c>
      <c r="CE48" s="62">
        <f t="shared" si="40"/>
        <v>107.5256983607585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11.861538461538462</v>
      </c>
      <c r="CT48" s="13">
        <f>IF('Données projet'!$A$140&gt;35,CT47+CS48-DB47,IF(A48&lt;'Données projet'!$A$140,$CQ$205^A48,IF(A48='Données projet'!$A$140,'Données projet'!$B$140,CT47+CS48-DB47)))</f>
        <v>231.77692307692308</v>
      </c>
      <c r="CU48" s="18">
        <f>CT48*VLOOKUP('Données projet'!$B$13,Paramètres!$A$1:$I$89,3,0)*VLOOKUP('Données projet'!$B$13,Paramètres!$A$1:$I$89,5,0)</f>
        <v>138.60260000000002</v>
      </c>
      <c r="CV48" s="14">
        <f t="shared" si="41"/>
        <v>35.976694116938233</v>
      </c>
      <c r="CW48" s="22">
        <f t="shared" si="13"/>
        <v>304.05893725366747</v>
      </c>
      <c r="CX48" s="62">
        <f t="shared" si="14"/>
        <v>597.39227058700078</v>
      </c>
      <c r="CY48" s="62">
        <f ca="1">AVERAGE(OFFSET($CX$3,0,0,'Données projet'!$E$13+1,1))-AVERAGE(OFFSET($H$3,0,0,'Données projet'!$E$13+1,1))</f>
        <v>237.03649693529445</v>
      </c>
      <c r="CZ48" s="62">
        <f t="shared" si="42"/>
        <v>191.04289411674887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2.907352050897867E-2</v>
      </c>
      <c r="DI48" s="24">
        <f t="shared" si="15"/>
        <v>2.907352050897867E-2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4.4930000000000003</v>
      </c>
      <c r="DO48" s="13">
        <f>IF('Données projet'!$A$166&gt;35,DO47+DN48-DW47,IF(A48&lt;'Données projet'!$A$166,$DL$205^A48,IF(A48='Données projet'!$A$166,'Données projet'!$B$166,DO47+DN48-DW47)))</f>
        <v>156.06499999999997</v>
      </c>
      <c r="DP48" s="18">
        <f>DO48*VLOOKUP('Données projet'!$B$14,Paramètres!$A$1:$I$89,3,0)*VLOOKUP('Données projet'!$B$14,Paramètres!$A$1:$I$89,5,0)</f>
        <v>179.78687999999994</v>
      </c>
      <c r="DQ48" s="14">
        <f t="shared" si="43"/>
        <v>45.274767624296899</v>
      </c>
      <c r="DR48" s="22">
        <f t="shared" si="16"/>
        <v>391.98236961231692</v>
      </c>
      <c r="DS48" s="62">
        <f t="shared" si="17"/>
        <v>685.31570294565017</v>
      </c>
      <c r="DT48" s="62">
        <f ca="1">AVERAGE(OFFSET($DS$3,0,0,'Données projet'!$E$14+1,1))-AVERAGE(OFFSET($H$3,0,0,'Données projet'!$E$14+1,1))</f>
        <v>431.38469096974364</v>
      </c>
      <c r="DU48" s="62">
        <f t="shared" si="44"/>
        <v>295.48627059086647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0.64624624287569055</v>
      </c>
      <c r="EC48" s="23">
        <f>EXP(-LN(2)/2)*EC47+(1-EXP(-LN(2)/2))/(LN(2)/2)*DW48*DZ48*VLOOKUP('Données projet'!$B$14,Paramètres!$A$1:$I$89,3,0)*0.475*44/12</f>
        <v>2.1204559058089979E-2</v>
      </c>
      <c r="ED48" s="24">
        <f t="shared" si="18"/>
        <v>0.66745080193378048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94</v>
      </c>
      <c r="EH48" s="13">
        <f>VLOOKUP(A48,'Données projet'!$A$191:$I$211,9,0)</f>
        <v>3.8</v>
      </c>
      <c r="EI48" s="13">
        <f t="array" ref="EI48">INDEX(EH:EH,MIN(IF(ISNUMBER(EH48:EH244),ROW(EH48:EH244),"")))</f>
        <v>3.8</v>
      </c>
      <c r="EJ48" s="13">
        <f>IF('Données projet'!$A$192&gt;35,EJ47+EI48-ER47,IF(A48&lt;'Données projet'!$A$192,$EG$205^A48,IF(A48='Données projet'!$A$192,'Données projet'!$B$192,EJ47+EI48-ER47)))</f>
        <v>93.999999999999986</v>
      </c>
      <c r="EK48" s="18">
        <f>EJ48*VLOOKUP('Données projet'!$B$15,Paramètres!$A$1:$I$89,3,0)*VLOOKUP('Données projet'!$B$15,Paramètres!$A$1:$I$89,5,0)</f>
        <v>107.04719999999999</v>
      </c>
      <c r="EL48" s="14">
        <f t="shared" si="45"/>
        <v>28.634183951187907</v>
      </c>
      <c r="EM48" s="22">
        <f t="shared" si="19"/>
        <v>236.3117437149856</v>
      </c>
      <c r="EN48" s="62">
        <f t="shared" si="20"/>
        <v>529.64507704831885</v>
      </c>
      <c r="EO48" s="62">
        <f ca="1">AVERAGE(OFFSET($EN$3,0,0,'Données projet'!$E$15+1,1))-AVERAGE(OFFSET($H$3,0,0,'Données projet'!$E$15+1,1))</f>
        <v>220.03635832253951</v>
      </c>
      <c r="EP48" s="62">
        <f t="shared" si="46"/>
        <v>136.30639155882233</v>
      </c>
      <c r="EQ48" s="16">
        <f>IF(ISNA(VLOOKUP(A48,'Données projet'!$A$191:$I$211,3,0)),0,VLOOKUP(A48,'Données projet'!$A$191:$I$211,3,0))</f>
        <v>2</v>
      </c>
      <c r="ER48" s="16">
        <f>IF(ISNA(VLOOKUP(A48,'Données projet'!$A$191:$I$211,4,0)),0,VLOOKUP(A48,'Données projet'!$A$191:$I$211,4,0))</f>
        <v>18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270</v>
      </c>
      <c r="FC48" s="13">
        <f>VLOOKUP(A48,'Données projet'!$A$217:$I$237,9,0)</f>
        <v>13.2</v>
      </c>
      <c r="FD48" s="13">
        <f t="array" ref="FD48">INDEX(FC:FC,MIN(IF(ISNUMBER(FC48:FC244),ROW(FC48:FC244),"")))</f>
        <v>13.2</v>
      </c>
      <c r="FE48" s="13">
        <f>IF('Données projet'!$A$218&gt;35,FE47+FD48-FM47,IF(A48&lt;'Données projet'!$A$218,$FB$205^A48,IF(A48='Données projet'!$A$218,'Données projet'!$B$218,FE47+FD48-FM47)))</f>
        <v>270.00000000000006</v>
      </c>
      <c r="FF48" s="18">
        <f>FE48*VLOOKUP('Données projet'!$B$16,Paramètres!$A$1:$I$89,3,0)*VLOOKUP('Données projet'!$B$16,Paramètres!$A$1:$I$89,5,0)</f>
        <v>282.20400000000012</v>
      </c>
      <c r="FG48" s="14">
        <f t="shared" si="47"/>
        <v>67.432564684485186</v>
      </c>
      <c r="FH48" s="22">
        <f t="shared" si="22"/>
        <v>608.95035015881183</v>
      </c>
      <c r="FI48" s="62">
        <f t="shared" si="23"/>
        <v>902.2836834921452</v>
      </c>
      <c r="FJ48" s="62">
        <f ca="1">AVERAGE(OFFSET($FI$3,0,0,'Données projet'!$E$16+1,1))-AVERAGE(OFFSET($H$3,0,0,'Données projet'!$E$16+1,1))</f>
        <v>641.62708445664862</v>
      </c>
      <c r="FK48" s="62">
        <f t="shared" si="48"/>
        <v>379.46845863546929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0.11985368948181895</v>
      </c>
      <c r="FT48" s="24">
        <f t="shared" si="24"/>
        <v>0.11985368948181895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94</v>
      </c>
      <c r="FX48" s="13">
        <f>VLOOKUP(A48,'Données projet'!$A$243:$I$263,9,0)</f>
        <v>3.8</v>
      </c>
      <c r="FY48" s="13">
        <f t="array" ref="FY48">INDEX(FX:FX,MIN(IF(ISNUMBER(FX48:FX244),ROW(FX48:FX244),"")))</f>
        <v>3.8</v>
      </c>
      <c r="FZ48" s="13">
        <f>IF('Données projet'!$A$244&gt;35,FZ47+FY48-GH47,IF(A48&lt;'Données projet'!$A$244,$FW$205^A48,IF(A48='Données projet'!$A$244,'Données projet'!$B$244,FZ47+FY48-GH47)))</f>
        <v>93.999999999999986</v>
      </c>
      <c r="GA48" s="18">
        <f>FZ48*VLOOKUP('Données projet'!$B$17,Paramètres!$A$1:$I$89,3,0)*VLOOKUP('Données projet'!$B$17,Paramètres!$A$1:$I$89,5,0)</f>
        <v>90.916799999999995</v>
      </c>
      <c r="GB48" s="14">
        <f t="shared" si="49"/>
        <v>24.786204483471451</v>
      </c>
      <c r="GC48" s="22">
        <f t="shared" si="25"/>
        <v>201.51606614204607</v>
      </c>
      <c r="GD48" s="62">
        <f t="shared" si="26"/>
        <v>494.84939947537941</v>
      </c>
      <c r="GE48" s="62">
        <f ca="1">AVERAGE(OFFSET($GD$3,0,0,'Données projet'!$E$17+1,1))-AVERAGE(OFFSET($H$3,0,0,'Données projet'!$E$17+1,1))</f>
        <v>181.39066880931728</v>
      </c>
      <c r="GF48" s="62">
        <f t="shared" si="50"/>
        <v>116.06078566855524</v>
      </c>
      <c r="GG48" s="16">
        <f>IF(ISNA(VLOOKUP(A48,'Données projet'!$A$243:$I$263,3,0)),0,VLOOKUP(A48,'Données projet'!$A$243:$I$263,3,0))</f>
        <v>2</v>
      </c>
      <c r="GH48" s="16">
        <f>IF(ISNA(VLOOKUP(A48,'Données projet'!$A$243:$I$263,4,0)),0,VLOOKUP(A48,'Données projet'!$A$243:$I$263,4,0))</f>
        <v>18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120</v>
      </c>
      <c r="GS48" s="13">
        <f>VLOOKUP(A48,'Données projet'!$A$269:$I$289,9,0)</f>
        <v>5</v>
      </c>
      <c r="GT48" s="13">
        <f t="array" ref="GT48">INDEX(GS:GS,MIN(IF(ISNUMBER(GS48:GS244),ROW(GS48:GS244),"")))</f>
        <v>5</v>
      </c>
      <c r="GU48" s="13">
        <f>IF('Données projet'!$A$270&gt;35,GU47+GT48-HC47,IF(A48&lt;'Données projet'!$A$270,$GR$205^A48,IF(A48='Données projet'!$A$270,'Données projet'!$B$270,GU47+GT48-HC47)))</f>
        <v>119.99999999999997</v>
      </c>
      <c r="GV48" s="18">
        <f>GU48*VLOOKUP('Données projet'!$B$18,Paramètres!$A$1:$I$89,3,0)*VLOOKUP('Données projet'!$B$18,Paramètres!$A$1:$I$89,5,0)</f>
        <v>104.83199999999998</v>
      </c>
      <c r="GW48" s="14">
        <f t="shared" si="51"/>
        <v>28.109974371137692</v>
      </c>
      <c r="GX48" s="22">
        <f t="shared" si="28"/>
        <v>231.54060536306474</v>
      </c>
      <c r="GY48" s="62">
        <f t="shared" si="29"/>
        <v>524.873938696398</v>
      </c>
      <c r="GZ48" s="62">
        <f ca="1">AVERAGE(OFFSET($GY$3,0,0,'Données projet'!$E$18+1,1))-AVERAGE(OFFSET($H$3,0,0,'Données projet'!$E$18+1,1))</f>
        <v>152.84277478695606</v>
      </c>
      <c r="HA48" s="62">
        <f t="shared" si="52"/>
        <v>179.22995976651015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9">
        <f t="shared" si="1"/>
        <v>314.26239413576309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168.52680000000007</v>
      </c>
      <c r="P49" s="14">
        <f t="shared" si="33"/>
        <v>42.759908842532369</v>
      </c>
      <c r="Q49" s="22">
        <f t="shared" si="53"/>
        <v>367.991017900744</v>
      </c>
      <c r="R49" s="62">
        <f t="shared" si="0"/>
        <v>661.32435123407731</v>
      </c>
      <c r="S49" s="62">
        <f ca="1">AVERAGE(OFFSET($R$3,0,0,'Données projet'!$E$9+1,1))-AVERAGE(OFFSET($H$3,0,0,'Données projet'!$E$9+1,1))</f>
        <v>383.26814640166805</v>
      </c>
      <c r="T49" s="62">
        <f t="shared" si="34"/>
        <v>233.71216103405249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3.8</v>
      </c>
      <c r="AI49" s="14">
        <f>IF('Données projet'!$A$62&gt;35,AI48+AH49-AQ48,IF(A49&lt;'Données projet'!$A$62,$AF$205^A49,IF(A49='Données projet'!$A$62,'Données projet'!$B$62,AI48+AH49-AQ48)))</f>
        <v>79.799999999999983</v>
      </c>
      <c r="AJ49" s="14">
        <f>AI49*VLOOKUP('Données projet'!$B$10,Paramètres!$A$1:$I$89,3,0)*VLOOKUP('Données projet'!$B$10,Paramètres!$A$1:$I$89,5,0)</f>
        <v>85.896719999999974</v>
      </c>
      <c r="AK49" s="14">
        <f t="shared" si="35"/>
        <v>23.572941115591171</v>
      </c>
      <c r="AL49" s="22">
        <f t="shared" si="4"/>
        <v>190.65965977632126</v>
      </c>
      <c r="AM49" s="62">
        <f t="shared" si="5"/>
        <v>483.99299310965455</v>
      </c>
      <c r="AN49" s="62">
        <f ca="1">AVERAGE(OFFSET($AM$3,0,0,'Données projet'!$E$10+1,1))-AVERAGE(OFFSET($H$3,0,0,'Données projet'!$E$10+1,1))</f>
        <v>205.99910063756408</v>
      </c>
      <c r="AO49" s="62">
        <f t="shared" si="36"/>
        <v>128.95330275493671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11.611538461538466</v>
      </c>
      <c r="BD49" s="13">
        <f>IF('Données projet'!$A$88&gt;35,BD48+BC49-BL48,IF(A49&lt;'Données projet'!$A$88,$BA$205^A49,IF(A49='Données projet'!$A$88,'Données projet'!$B$88,BD48+BC49-BL48)))</f>
        <v>261.89999999999992</v>
      </c>
      <c r="BE49" s="14">
        <f>BD49*VLOOKUP('Données projet'!$B$11,Paramètres!$A$1:$I$89,3,0)*VLOOKUP('Données projet'!$B$11,Paramètres!$A$1:$I$89,5,0)</f>
        <v>156.61619999999996</v>
      </c>
      <c r="BF49" s="14">
        <f t="shared" si="37"/>
        <v>40.07834297246675</v>
      </c>
      <c r="BG49" s="22">
        <f t="shared" si="7"/>
        <v>342.57632901037942</v>
      </c>
      <c r="BH49" s="62">
        <f t="shared" si="8"/>
        <v>635.90966234371274</v>
      </c>
      <c r="BI49" s="62">
        <f ca="1">AVERAGE(OFFSET($BH$3,0,0,'Données projet'!$E$11+1,1))-AVERAGE(OFFSET($H$3,0,0,'Données projet'!$E$11+1,1))</f>
        <v>222.20580087523689</v>
      </c>
      <c r="BJ49" s="62">
        <f t="shared" si="38"/>
        <v>232.08940427392253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7.290323365083256</v>
      </c>
      <c r="BQ49" s="23">
        <f>EXP(-LN(2)/25)*BQ48+(1-EXP(-LN(2)/25))/(LN(2)/25)*Calculateur!BL49*Calculateur!BN49*VLOOKUP('Données projet'!$B$11,Paramètres!$A$1:$I$89,3,0)*0.475*44/12</f>
        <v>10.547218054609976</v>
      </c>
      <c r="BR49" s="23">
        <f>EXP(-LN(2)/2)*BR48+(1-EXP(-LN(2)/2))/(LN(2)/2)*BL49*BO49*VLOOKUP('Données projet'!$B$11,Paramètres!$A$1:$I$89,3,0)*0.475*44/12</f>
        <v>2.4765472445015015E-2</v>
      </c>
      <c r="BS49" s="24">
        <f t="shared" si="9"/>
        <v>17.862306892138246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10.407692307692306</v>
      </c>
      <c r="BY49" s="13">
        <f>IF('Données projet'!$A$114&gt;35,BY48+BX49-CG48,IF(A49&lt;'Données projet'!$A$114,$BV$205^A49,IF(A49='Données projet'!$A$114,'Données projet'!$B$114,BY48+BX49-CG48)))</f>
        <v>269.8</v>
      </c>
      <c r="BZ49" s="14">
        <f>BY49*VLOOKUP('Données projet'!$B$12,Paramètres!$A$1:$I$89,3,0)*VLOOKUP('Données projet'!$B$12,Paramètres!$A$1:$I$89,5,0)</f>
        <v>126.2664</v>
      </c>
      <c r="CA49" s="14">
        <f t="shared" si="39"/>
        <v>33.132176294071812</v>
      </c>
      <c r="CB49" s="22">
        <f t="shared" si="10"/>
        <v>277.6191870455084</v>
      </c>
      <c r="CC49" s="62">
        <f t="shared" si="11"/>
        <v>570.95252037884165</v>
      </c>
      <c r="CD49" s="62">
        <f ca="1">AVERAGE(OFFSET($CC$3,0,0,'Données projet'!$E$12+1,1))-AVERAGE(OFFSET($H$3,0,0,'Données projet'!$E$12+1,1))</f>
        <v>179.14256291235466</v>
      </c>
      <c r="CE49" s="62">
        <f t="shared" si="40"/>
        <v>107.5256983607585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11.861538461538462</v>
      </c>
      <c r="CT49" s="13">
        <f>IF('Données projet'!$A$140&gt;35,CT48+CS49-DB48,IF(A49&lt;'Données projet'!$A$140,$CQ$205^A49,IF(A49='Données projet'!$A$140,'Données projet'!$B$140,CT48+CS49-DB48)))</f>
        <v>243.63846153846154</v>
      </c>
      <c r="CU49" s="18">
        <f>CT49*VLOOKUP('Données projet'!$B$13,Paramètres!$A$1:$I$89,3,0)*VLOOKUP('Données projet'!$B$13,Paramètres!$A$1:$I$89,5,0)</f>
        <v>145.69580000000002</v>
      </c>
      <c r="CV49" s="14">
        <f t="shared" si="41"/>
        <v>37.598789481990465</v>
      </c>
      <c r="CW49" s="22">
        <f t="shared" si="13"/>
        <v>319.23807668113341</v>
      </c>
      <c r="CX49" s="62">
        <f t="shared" si="14"/>
        <v>612.57141001446666</v>
      </c>
      <c r="CY49" s="62">
        <f ca="1">AVERAGE(OFFSET($CX$3,0,0,'Données projet'!$E$13+1,1))-AVERAGE(OFFSET($H$3,0,0,'Données projet'!$E$13+1,1))</f>
        <v>237.03649693529445</v>
      </c>
      <c r="CZ49" s="62">
        <f t="shared" si="42"/>
        <v>191.04289411674887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2.0558083504864984E-2</v>
      </c>
      <c r="DI49" s="24">
        <f t="shared" si="15"/>
        <v>2.0558083504864984E-2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4.4930000000000003</v>
      </c>
      <c r="DO49" s="13">
        <f>IF('Données projet'!$A$166&gt;35,DO48+DN49-DW48,IF(A49&lt;'Données projet'!$A$166,$DL$205^A49,IF(A49='Données projet'!$A$166,'Données projet'!$B$166,DO48+DN49-DW48)))</f>
        <v>160.55799999999996</v>
      </c>
      <c r="DP49" s="18">
        <f>DO49*VLOOKUP('Données projet'!$B$14,Paramètres!$A$1:$I$89,3,0)*VLOOKUP('Données projet'!$B$14,Paramètres!$A$1:$I$89,5,0)</f>
        <v>184.96281599999995</v>
      </c>
      <c r="DQ49" s="14">
        <f t="shared" si="43"/>
        <v>46.424567466142314</v>
      </c>
      <c r="DR49" s="22">
        <f t="shared" si="16"/>
        <v>402.99969287019775</v>
      </c>
      <c r="DS49" s="62">
        <f t="shared" si="17"/>
        <v>696.33302620353106</v>
      </c>
      <c r="DT49" s="62">
        <f ca="1">AVERAGE(OFFSET($DS$3,0,0,'Données projet'!$E$14+1,1))-AVERAGE(OFFSET($H$3,0,0,'Données projet'!$E$14+1,1))</f>
        <v>431.38469096974364</v>
      </c>
      <c r="DU49" s="62">
        <f t="shared" si="44"/>
        <v>295.48627059086647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0.62857460537964194</v>
      </c>
      <c r="EC49" s="23">
        <f>EXP(-LN(2)/2)*EC48+(1-EXP(-LN(2)/2))/(LN(2)/2)*DW49*DZ49*VLOOKUP('Données projet'!$B$14,Paramètres!$A$1:$I$89,3,0)*0.475*44/12</f>
        <v>1.4993887502046055E-2</v>
      </c>
      <c r="ED49" s="24">
        <f t="shared" si="18"/>
        <v>0.64356849288168805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3.8</v>
      </c>
      <c r="EJ49" s="13">
        <f>IF('Données projet'!$A$192&gt;35,EJ48+EI49-ER48,IF(A49&lt;'Données projet'!$A$192,$EG$205^A49,IF(A49='Données projet'!$A$192,'Données projet'!$B$192,EJ48+EI49-ER48)))</f>
        <v>79.799999999999983</v>
      </c>
      <c r="EK49" s="18">
        <f>EJ49*VLOOKUP('Données projet'!$B$15,Paramètres!$A$1:$I$89,3,0)*VLOOKUP('Données projet'!$B$15,Paramètres!$A$1:$I$89,5,0)</f>
        <v>90.876239999999981</v>
      </c>
      <c r="EL49" s="14">
        <f t="shared" si="45"/>
        <v>24.776433667847034</v>
      </c>
      <c r="EM49" s="22">
        <f t="shared" si="19"/>
        <v>201.42840663816685</v>
      </c>
      <c r="EN49" s="62">
        <f t="shared" si="20"/>
        <v>494.76173997150016</v>
      </c>
      <c r="EO49" s="62">
        <f ca="1">AVERAGE(OFFSET($EN$3,0,0,'Données projet'!$E$15+1,1))-AVERAGE(OFFSET($H$3,0,0,'Données projet'!$E$15+1,1))</f>
        <v>220.03635832253951</v>
      </c>
      <c r="EP49" s="62">
        <f t="shared" si="46"/>
        <v>136.30639155882233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5.6</v>
      </c>
      <c r="FE49" s="13">
        <f>IF('Données projet'!$A$218&gt;35,FE48+FD49-FM48,IF(A49&lt;'Données projet'!$A$218,$FB$205^A49,IF(A49='Données projet'!$A$218,'Données projet'!$B$218,FE48+FD49-FM48)))</f>
        <v>275.60000000000008</v>
      </c>
      <c r="FF49" s="18">
        <f>FE49*VLOOKUP('Données projet'!$B$16,Paramètres!$A$1:$I$89,3,0)*VLOOKUP('Données projet'!$B$16,Paramètres!$A$1:$I$89,5,0)</f>
        <v>288.05712000000011</v>
      </c>
      <c r="FG49" s="14">
        <f t="shared" si="47"/>
        <v>68.66688846609793</v>
      </c>
      <c r="FH49" s="22">
        <f t="shared" si="22"/>
        <v>621.29431474512069</v>
      </c>
      <c r="FI49" s="62">
        <f t="shared" si="23"/>
        <v>914.62764807845406</v>
      </c>
      <c r="FJ49" s="62">
        <f ca="1">AVERAGE(OFFSET($FI$3,0,0,'Données projet'!$E$16+1,1))-AVERAGE(OFFSET($H$3,0,0,'Données projet'!$E$16+1,1))</f>
        <v>641.62708445664862</v>
      </c>
      <c r="FK49" s="62">
        <f t="shared" si="48"/>
        <v>379.46845863546929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8.474935658282097E-2</v>
      </c>
      <c r="FT49" s="24">
        <f t="shared" si="24"/>
        <v>8.474935658282097E-2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3.8</v>
      </c>
      <c r="FZ49" s="13">
        <f>IF('Données projet'!$A$244&gt;35,FZ48+FY49-GH48,IF(A49&lt;'Données projet'!$A$244,$FW$205^A49,IF(A49='Données projet'!$A$244,'Données projet'!$B$244,FZ48+FY49-GH48)))</f>
        <v>79.799999999999983</v>
      </c>
      <c r="GA49" s="18">
        <f>FZ49*VLOOKUP('Données projet'!$B$17,Paramètres!$A$1:$I$89,3,0)*VLOOKUP('Données projet'!$B$17,Paramètres!$A$1:$I$89,5,0)</f>
        <v>77.182559999999995</v>
      </c>
      <c r="GB49" s="14">
        <f t="shared" si="49"/>
        <v>21.446874557671695</v>
      </c>
      <c r="GC49" s="22">
        <f t="shared" si="25"/>
        <v>171.77959852127819</v>
      </c>
      <c r="GD49" s="62">
        <f t="shared" si="26"/>
        <v>465.11293185461147</v>
      </c>
      <c r="GE49" s="62">
        <f ca="1">AVERAGE(OFFSET($GD$3,0,0,'Données projet'!$E$17+1,1))-AVERAGE(OFFSET($H$3,0,0,'Données projet'!$E$17+1,1))</f>
        <v>181.39066880931728</v>
      </c>
      <c r="GF49" s="62">
        <f t="shared" si="50"/>
        <v>116.06078566855524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4.2</v>
      </c>
      <c r="GU49" s="13">
        <f>IF('Données projet'!$A$270&gt;35,GU48+GT49-HC48,IF(A49&lt;'Données projet'!$A$270,$GR$205^A49,IF(A49='Données projet'!$A$270,'Données projet'!$B$270,GU48+GT49-HC48)))</f>
        <v>124.19999999999997</v>
      </c>
      <c r="GV49" s="18">
        <f>GU49*VLOOKUP('Données projet'!$B$18,Paramètres!$A$1:$I$89,3,0)*VLOOKUP('Données projet'!$B$18,Paramètres!$A$1:$I$89,5,0)</f>
        <v>108.50111999999999</v>
      </c>
      <c r="GW49" s="14">
        <f t="shared" si="51"/>
        <v>28.977555261594095</v>
      </c>
      <c r="GX49" s="22">
        <f t="shared" si="28"/>
        <v>239.44202608060968</v>
      </c>
      <c r="GY49" s="62">
        <f t="shared" si="29"/>
        <v>532.77535941394297</v>
      </c>
      <c r="GZ49" s="62">
        <f ca="1">AVERAGE(OFFSET($GY$3,0,0,'Données projet'!$E$18+1,1))-AVERAGE(OFFSET($H$3,0,0,'Données projet'!$E$18+1,1))</f>
        <v>152.84277478695606</v>
      </c>
      <c r="HA49" s="62">
        <f t="shared" si="52"/>
        <v>179.22995976651015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9">
        <f t="shared" si="1"/>
        <v>315.47908955985213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176.84160000000006</v>
      </c>
      <c r="P50" s="14">
        <f t="shared" si="33"/>
        <v>44.618778032982952</v>
      </c>
      <c r="Q50" s="22">
        <f t="shared" si="53"/>
        <v>385.71015840744536</v>
      </c>
      <c r="R50" s="62">
        <f t="shared" si="0"/>
        <v>679.04349174077868</v>
      </c>
      <c r="S50" s="62">
        <f ca="1">AVERAGE(OFFSET($R$3,0,0,'Données projet'!$E$9+1,1))-AVERAGE(OFFSET($H$3,0,0,'Données projet'!$E$9+1,1))</f>
        <v>383.26814640166805</v>
      </c>
      <c r="T50" s="62">
        <f t="shared" si="34"/>
        <v>233.71216103405249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3.8</v>
      </c>
      <c r="AI50" s="14">
        <f>IF('Données projet'!$A$62&gt;35,AI49+AH50-AQ49,IF(A50&lt;'Données projet'!$A$62,$AF$205^A50,IF(A50='Données projet'!$A$62,'Données projet'!$B$62,AI49+AH50-AQ49)))</f>
        <v>83.59999999999998</v>
      </c>
      <c r="AJ50" s="14">
        <f>AI50*VLOOKUP('Données projet'!$B$10,Paramètres!$A$1:$I$89,3,0)*VLOOKUP('Données projet'!$B$10,Paramètres!$A$1:$I$89,5,0)</f>
        <v>89.987039999999979</v>
      </c>
      <c r="AK50" s="14">
        <f t="shared" si="35"/>
        <v>24.56209932778879</v>
      </c>
      <c r="AL50" s="22">
        <f t="shared" si="4"/>
        <v>199.50641766256544</v>
      </c>
      <c r="AM50" s="62">
        <f t="shared" si="5"/>
        <v>492.83975099589873</v>
      </c>
      <c r="AN50" s="62">
        <f ca="1">AVERAGE(OFFSET($AM$3,0,0,'Données projet'!$E$10+1,1))-AVERAGE(OFFSET($H$3,0,0,'Données projet'!$E$10+1,1))</f>
        <v>205.99910063756408</v>
      </c>
      <c r="AO50" s="62">
        <f t="shared" si="36"/>
        <v>128.95330275493671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11.611538461538466</v>
      </c>
      <c r="BD50" s="13">
        <f>IF('Données projet'!$A$88&gt;35,BD49+BC50-BL49,IF(A50&lt;'Données projet'!$A$88,$BA$205^A50,IF(A50='Données projet'!$A$88,'Données projet'!$B$88,BD49+BC50-BL49)))</f>
        <v>273.51153846153841</v>
      </c>
      <c r="BE50" s="14">
        <f>BD50*VLOOKUP('Données projet'!$B$11,Paramètres!$A$1:$I$89,3,0)*VLOOKUP('Données projet'!$B$11,Paramètres!$A$1:$I$89,5,0)</f>
        <v>163.55989999999997</v>
      </c>
      <c r="BF50" s="14">
        <f t="shared" si="37"/>
        <v>41.644429552500291</v>
      </c>
      <c r="BG50" s="22">
        <f t="shared" si="7"/>
        <v>357.39754063727128</v>
      </c>
      <c r="BH50" s="62">
        <f t="shared" si="8"/>
        <v>650.73087397060453</v>
      </c>
      <c r="BI50" s="62">
        <f ca="1">AVERAGE(OFFSET($BH$3,0,0,'Données projet'!$E$11+1,1))-AVERAGE(OFFSET($H$3,0,0,'Données projet'!$E$11+1,1))</f>
        <v>222.20580087523689</v>
      </c>
      <c r="BJ50" s="62">
        <f t="shared" si="38"/>
        <v>232.08940427392253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7.1473645705521553</v>
      </c>
      <c r="BQ50" s="23">
        <f>EXP(-LN(2)/25)*BQ49+(1-EXP(-LN(2)/25))/(LN(2)/25)*Calculateur!BL50*Calculateur!BN50*VLOOKUP('Données projet'!$B$11,Paramètres!$A$1:$I$89,3,0)*0.475*44/12</f>
        <v>10.258803822252574</v>
      </c>
      <c r="BR50" s="23">
        <f>EXP(-LN(2)/2)*BR49+(1-EXP(-LN(2)/2))/(LN(2)/2)*BL50*BO50*VLOOKUP('Données projet'!$B$11,Paramètres!$A$1:$I$89,3,0)*0.475*44/12</f>
        <v>1.7511833505158704E-2</v>
      </c>
      <c r="BS50" s="24">
        <f t="shared" si="9"/>
        <v>17.423680226309887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10.407692307692306</v>
      </c>
      <c r="BY50" s="13">
        <f>IF('Données projet'!$A$114&gt;35,BY49+BX50-CG49,IF(A50&lt;'Données projet'!$A$114,$BV$205^A50,IF(A50='Données projet'!$A$114,'Données projet'!$B$114,BY49+BX50-CG49)))</f>
        <v>280.2076923076923</v>
      </c>
      <c r="BZ50" s="14">
        <f>BY50*VLOOKUP('Données projet'!$B$12,Paramètres!$A$1:$I$89,3,0)*VLOOKUP('Données projet'!$B$12,Paramètres!$A$1:$I$89,5,0)</f>
        <v>131.13719999999998</v>
      </c>
      <c r="CA50" s="14">
        <f t="shared" si="39"/>
        <v>34.258999514705152</v>
      </c>
      <c r="CB50" s="22">
        <f t="shared" si="10"/>
        <v>288.06504748811147</v>
      </c>
      <c r="CC50" s="62">
        <f t="shared" si="11"/>
        <v>581.39838082144479</v>
      </c>
      <c r="CD50" s="62">
        <f ca="1">AVERAGE(OFFSET($CC$3,0,0,'Données projet'!$E$12+1,1))-AVERAGE(OFFSET($H$3,0,0,'Données projet'!$E$12+1,1))</f>
        <v>179.14256291235466</v>
      </c>
      <c r="CE50" s="62">
        <f t="shared" si="40"/>
        <v>107.5256983607585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11.861538461538462</v>
      </c>
      <c r="CT50" s="13">
        <f>IF('Données projet'!$A$140&gt;35,CT49+CS50-DB49,IF(A50&lt;'Données projet'!$A$140,$CQ$205^A50,IF(A50='Données projet'!$A$140,'Données projet'!$B$140,CT49+CS50-DB49)))</f>
        <v>255.5</v>
      </c>
      <c r="CU50" s="18">
        <f>CT50*VLOOKUP('Données projet'!$B$13,Paramètres!$A$1:$I$89,3,0)*VLOOKUP('Données projet'!$B$13,Paramètres!$A$1:$I$89,5,0)</f>
        <v>152.78900000000002</v>
      </c>
      <c r="CV50" s="14">
        <f t="shared" si="41"/>
        <v>39.211714711932316</v>
      </c>
      <c r="CW50" s="22">
        <f t="shared" si="13"/>
        <v>334.40124478994881</v>
      </c>
      <c r="CX50" s="62">
        <f t="shared" si="14"/>
        <v>627.73457812328206</v>
      </c>
      <c r="CY50" s="62">
        <f ca="1">AVERAGE(OFFSET($CX$3,0,0,'Données projet'!$E$13+1,1))-AVERAGE(OFFSET($H$3,0,0,'Données projet'!$E$13+1,1))</f>
        <v>237.03649693529445</v>
      </c>
      <c r="CZ50" s="62">
        <f t="shared" si="42"/>
        <v>191.04289411674887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1.4536760254489337E-2</v>
      </c>
      <c r="DI50" s="24">
        <f t="shared" si="15"/>
        <v>1.4536760254489337E-2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4.4930000000000003</v>
      </c>
      <c r="DO50" s="13">
        <f>IF('Données projet'!$A$166&gt;35,DO49+DN50-DW49,IF(A50&lt;'Données projet'!$A$166,$DL$205^A50,IF(A50='Données projet'!$A$166,'Données projet'!$B$166,DO49+DN50-DW49)))</f>
        <v>165.05099999999996</v>
      </c>
      <c r="DP50" s="18">
        <f>DO50*VLOOKUP('Données projet'!$B$14,Paramètres!$A$1:$I$89,3,0)*VLOOKUP('Données projet'!$B$14,Paramètres!$A$1:$I$89,5,0)</f>
        <v>190.13875199999993</v>
      </c>
      <c r="DQ50" s="14">
        <f t="shared" si="43"/>
        <v>47.570627644958314</v>
      </c>
      <c r="DR50" s="22">
        <f t="shared" si="16"/>
        <v>414.0105028816356</v>
      </c>
      <c r="DS50" s="62">
        <f t="shared" si="17"/>
        <v>707.34383621496886</v>
      </c>
      <c r="DT50" s="62">
        <f ca="1">AVERAGE(OFFSET($DS$3,0,0,'Données projet'!$E$14+1,1))-AVERAGE(OFFSET($H$3,0,0,'Données projet'!$E$14+1,1))</f>
        <v>431.38469096974364</v>
      </c>
      <c r="DU50" s="62">
        <f t="shared" si="44"/>
        <v>295.48627059086647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0.61138619974023378</v>
      </c>
      <c r="EC50" s="23">
        <f>EXP(-LN(2)/2)*EC49+(1-EXP(-LN(2)/2))/(LN(2)/2)*DW50*DZ50*VLOOKUP('Données projet'!$B$14,Paramètres!$A$1:$I$89,3,0)*0.475*44/12</f>
        <v>1.0602279529044989E-2</v>
      </c>
      <c r="ED50" s="24">
        <f t="shared" si="18"/>
        <v>0.6219884792692788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3.8</v>
      </c>
      <c r="EJ50" s="13">
        <f>IF('Données projet'!$A$192&gt;35,EJ49+EI50-ER49,IF(A50&lt;'Données projet'!$A$192,$EG$205^A50,IF(A50='Données projet'!$A$192,'Données projet'!$B$192,EJ49+EI50-ER49)))</f>
        <v>83.59999999999998</v>
      </c>
      <c r="EK50" s="18">
        <f>EJ50*VLOOKUP('Données projet'!$B$15,Paramètres!$A$1:$I$89,3,0)*VLOOKUP('Données projet'!$B$15,Paramètres!$A$1:$I$89,5,0)</f>
        <v>95.203679999999977</v>
      </c>
      <c r="EL50" s="14">
        <f t="shared" si="45"/>
        <v>25.816092347319614</v>
      </c>
      <c r="EM50" s="22">
        <f t="shared" si="19"/>
        <v>210.77610350491491</v>
      </c>
      <c r="EN50" s="62">
        <f t="shared" si="20"/>
        <v>504.10943683824826</v>
      </c>
      <c r="EO50" s="62">
        <f ca="1">AVERAGE(OFFSET($EN$3,0,0,'Données projet'!$E$15+1,1))-AVERAGE(OFFSET($H$3,0,0,'Données projet'!$E$15+1,1))</f>
        <v>220.03635832253951</v>
      </c>
      <c r="EP50" s="62">
        <f t="shared" si="46"/>
        <v>136.30639155882233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5.6</v>
      </c>
      <c r="FE50" s="13">
        <f>IF('Données projet'!$A$218&gt;35,FE49+FD50-FM49,IF(A50&lt;'Données projet'!$A$218,$FB$205^A50,IF(A50='Données projet'!$A$218,'Données projet'!$B$218,FE49+FD50-FM49)))</f>
        <v>281.2000000000001</v>
      </c>
      <c r="FF50" s="18">
        <f>FE50*VLOOKUP('Données projet'!$B$16,Paramètres!$A$1:$I$89,3,0)*VLOOKUP('Données projet'!$B$16,Paramètres!$A$1:$I$89,5,0)</f>
        <v>293.91024000000016</v>
      </c>
      <c r="FG50" s="14">
        <f t="shared" si="47"/>
        <v>69.898296103524558</v>
      </c>
      <c r="FH50" s="22">
        <f t="shared" si="22"/>
        <v>633.63320038030554</v>
      </c>
      <c r="FI50" s="62">
        <f t="shared" si="23"/>
        <v>926.96653371363891</v>
      </c>
      <c r="FJ50" s="62">
        <f ca="1">AVERAGE(OFFSET($FI$3,0,0,'Données projet'!$E$16+1,1))-AVERAGE(OFFSET($H$3,0,0,'Données projet'!$E$16+1,1))</f>
        <v>641.62708445664862</v>
      </c>
      <c r="FK50" s="62">
        <f t="shared" si="48"/>
        <v>379.46845863546929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5.992684474090948E-2</v>
      </c>
      <c r="FT50" s="24">
        <f t="shared" si="24"/>
        <v>5.992684474090948E-2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3.8</v>
      </c>
      <c r="FZ50" s="13">
        <f>IF('Données projet'!$A$244&gt;35,FZ49+FY50-GH49,IF(A50&lt;'Données projet'!$A$244,$FW$205^A50,IF(A50='Données projet'!$A$244,'Données projet'!$B$244,FZ49+FY50-GH49)))</f>
        <v>83.59999999999998</v>
      </c>
      <c r="GA50" s="18">
        <f>FZ50*VLOOKUP('Données projet'!$B$17,Paramètres!$A$1:$I$89,3,0)*VLOOKUP('Données projet'!$B$17,Paramètres!$A$1:$I$89,5,0)</f>
        <v>80.857919999999979</v>
      </c>
      <c r="GB50" s="14">
        <f t="shared" si="49"/>
        <v>22.346819625648891</v>
      </c>
      <c r="GC50" s="22">
        <f t="shared" si="25"/>
        <v>179.7482548480051</v>
      </c>
      <c r="GD50" s="62">
        <f t="shared" si="26"/>
        <v>473.08158818133842</v>
      </c>
      <c r="GE50" s="62">
        <f ca="1">AVERAGE(OFFSET($GD$3,0,0,'Données projet'!$E$17+1,1))-AVERAGE(OFFSET($H$3,0,0,'Données projet'!$E$17+1,1))</f>
        <v>181.39066880931728</v>
      </c>
      <c r="GF50" s="62">
        <f t="shared" si="50"/>
        <v>116.06078566855524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4.2</v>
      </c>
      <c r="GU50" s="13">
        <f>IF('Données projet'!$A$270&gt;35,GU49+GT50-HC49,IF(A50&lt;'Données projet'!$A$270,$GR$205^A50,IF(A50='Données projet'!$A$270,'Données projet'!$B$270,GU49+GT50-HC49)))</f>
        <v>128.39999999999998</v>
      </c>
      <c r="GV50" s="18">
        <f>GU50*VLOOKUP('Données projet'!$B$18,Paramètres!$A$1:$I$89,3,0)*VLOOKUP('Données projet'!$B$18,Paramètres!$A$1:$I$89,5,0)</f>
        <v>112.17023999999999</v>
      </c>
      <c r="GW50" s="14">
        <f t="shared" si="51"/>
        <v>29.841727178418456</v>
      </c>
      <c r="GX50" s="22">
        <f t="shared" si="28"/>
        <v>247.3375095024121</v>
      </c>
      <c r="GY50" s="62">
        <f t="shared" si="29"/>
        <v>540.67084283574536</v>
      </c>
      <c r="GZ50" s="62">
        <f ca="1">AVERAGE(OFFSET($GY$3,0,0,'Données projet'!$E$18+1,1))-AVERAGE(OFFSET($H$3,0,0,'Données projet'!$E$18+1,1))</f>
        <v>152.84277478695606</v>
      </c>
      <c r="HA50" s="62">
        <f t="shared" si="52"/>
        <v>179.22995976651015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9">
        <f t="shared" si="1"/>
        <v>316.69512760183437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185.15640000000002</v>
      </c>
      <c r="P51" s="14">
        <f t="shared" si="33"/>
        <v>46.467497591770453</v>
      </c>
      <c r="Q51" s="22">
        <f t="shared" si="53"/>
        <v>403.4116216390002</v>
      </c>
      <c r="R51" s="62">
        <f t="shared" si="0"/>
        <v>696.74495497233352</v>
      </c>
      <c r="S51" s="62">
        <f ca="1">AVERAGE(OFFSET($R$3,0,0,'Données projet'!$E$9+1,1))-AVERAGE(OFFSET($H$3,0,0,'Données projet'!$E$9+1,1))</f>
        <v>383.26814640166805</v>
      </c>
      <c r="T51" s="62">
        <f t="shared" si="34"/>
        <v>233.71216103405249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3.8</v>
      </c>
      <c r="AI51" s="14">
        <f>IF('Données projet'!$A$62&gt;35,AI50+AH51-AQ50,IF(A51&lt;'Données projet'!$A$62,$AF$205^A51,IF(A51='Données projet'!$A$62,'Données projet'!$B$62,AI50+AH51-AQ50)))</f>
        <v>87.399999999999977</v>
      </c>
      <c r="AJ51" s="14">
        <f>AI51*VLOOKUP('Données projet'!$B$10,Paramètres!$A$1:$I$89,3,0)*VLOOKUP('Données projet'!$B$10,Paramètres!$A$1:$I$89,5,0)</f>
        <v>94.07735999999997</v>
      </c>
      <c r="AK51" s="14">
        <f t="shared" si="35"/>
        <v>25.546035915881891</v>
      </c>
      <c r="AL51" s="22">
        <f t="shared" si="4"/>
        <v>208.34408122016089</v>
      </c>
      <c r="AM51" s="62">
        <f t="shared" si="5"/>
        <v>501.6774145534942</v>
      </c>
      <c r="AN51" s="62">
        <f ca="1">AVERAGE(OFFSET($AM$3,0,0,'Données projet'!$E$10+1,1))-AVERAGE(OFFSET($H$3,0,0,'Données projet'!$E$10+1,1))</f>
        <v>205.99910063756408</v>
      </c>
      <c r="AO51" s="62">
        <f t="shared" si="36"/>
        <v>128.95330275493671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11.611538461538466</v>
      </c>
      <c r="BD51" s="13">
        <f>IF('Données projet'!$A$88&gt;35,BD50+BC51-BL50,IF(A51&lt;'Données projet'!$A$88,$BA$205^A51,IF(A51='Données projet'!$A$88,'Données projet'!$B$88,BD50+BC51-BL50)))</f>
        <v>285.12307692307689</v>
      </c>
      <c r="BE51" s="14">
        <f>BD51*VLOOKUP('Données projet'!$B$11,Paramètres!$A$1:$I$89,3,0)*VLOOKUP('Données projet'!$B$11,Paramètres!$A$1:$I$89,5,0)</f>
        <v>170.50360000000001</v>
      </c>
      <c r="BF51" s="14">
        <f t="shared" si="37"/>
        <v>43.202793808192034</v>
      </c>
      <c r="BG51" s="22">
        <f t="shared" si="7"/>
        <v>372.2053025492678</v>
      </c>
      <c r="BH51" s="62">
        <f t="shared" si="8"/>
        <v>665.53863588260106</v>
      </c>
      <c r="BI51" s="62">
        <f ca="1">AVERAGE(OFFSET($BH$3,0,0,'Données projet'!$E$11+1,1))-AVERAGE(OFFSET($H$3,0,0,'Données projet'!$E$11+1,1))</f>
        <v>222.20580087523689</v>
      </c>
      <c r="BJ51" s="62">
        <f t="shared" si="38"/>
        <v>232.08940427392253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7.0072091107855545</v>
      </c>
      <c r="BQ51" s="23">
        <f>EXP(-LN(2)/25)*BQ50+(1-EXP(-LN(2)/25))/(LN(2)/25)*Calculateur!BL51*Calculateur!BN51*VLOOKUP('Données projet'!$B$11,Paramètres!$A$1:$I$89,3,0)*0.475*44/12</f>
        <v>9.9782762922460311</v>
      </c>
      <c r="BR51" s="23">
        <f>EXP(-LN(2)/2)*BR50+(1-EXP(-LN(2)/2))/(LN(2)/2)*BL51*BO51*VLOOKUP('Données projet'!$B$11,Paramètres!$A$1:$I$89,3,0)*0.475*44/12</f>
        <v>1.2382736222507507E-2</v>
      </c>
      <c r="BS51" s="24">
        <f t="shared" si="9"/>
        <v>16.997868139254091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10.407692307692306</v>
      </c>
      <c r="BY51" s="13">
        <f>IF('Données projet'!$A$114&gt;35,BY50+BX51-CG50,IF(A51&lt;'Données projet'!$A$114,$BV$205^A51,IF(A51='Données projet'!$A$114,'Données projet'!$B$114,BY50+BX51-CG50)))</f>
        <v>290.61538461538458</v>
      </c>
      <c r="BZ51" s="14">
        <f>BY51*VLOOKUP('Données projet'!$B$12,Paramètres!$A$1:$I$89,3,0)*VLOOKUP('Données projet'!$B$12,Paramètres!$A$1:$I$89,5,0)</f>
        <v>136.00799999999998</v>
      </c>
      <c r="CA51" s="14">
        <f t="shared" si="39"/>
        <v>35.380960341100334</v>
      </c>
      <c r="CB51" s="22">
        <f t="shared" si="10"/>
        <v>298.50243926074967</v>
      </c>
      <c r="CC51" s="62">
        <f t="shared" si="11"/>
        <v>591.83577259408298</v>
      </c>
      <c r="CD51" s="62">
        <f ca="1">AVERAGE(OFFSET($CC$3,0,0,'Données projet'!$E$12+1,1))-AVERAGE(OFFSET($H$3,0,0,'Données projet'!$E$12+1,1))</f>
        <v>179.14256291235466</v>
      </c>
      <c r="CE51" s="62">
        <f t="shared" si="40"/>
        <v>107.5256983607585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11.861538461538462</v>
      </c>
      <c r="CT51" s="13">
        <f>IF('Données projet'!$A$140&gt;35,CT50+CS51-DB50,IF(A51&lt;'Données projet'!$A$140,$CQ$205^A51,IF(A51='Données projet'!$A$140,'Données projet'!$B$140,CT50+CS51-DB50)))</f>
        <v>267.36153846153849</v>
      </c>
      <c r="CU51" s="18">
        <f>CT51*VLOOKUP('Données projet'!$B$13,Paramètres!$A$1:$I$89,3,0)*VLOOKUP('Données projet'!$B$13,Paramètres!$A$1:$I$89,5,0)</f>
        <v>159.88220000000001</v>
      </c>
      <c r="CV51" s="14">
        <f t="shared" si="41"/>
        <v>40.815944149041762</v>
      </c>
      <c r="CW51" s="22">
        <f t="shared" si="13"/>
        <v>349.54926772624776</v>
      </c>
      <c r="CX51" s="62">
        <f t="shared" si="14"/>
        <v>642.88260105958102</v>
      </c>
      <c r="CY51" s="62">
        <f ca="1">AVERAGE(OFFSET($CX$3,0,0,'Données projet'!$E$13+1,1))-AVERAGE(OFFSET($H$3,0,0,'Données projet'!$E$13+1,1))</f>
        <v>237.03649693529445</v>
      </c>
      <c r="CZ51" s="62">
        <f t="shared" si="42"/>
        <v>191.04289411674887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1.0279041752432494E-2</v>
      </c>
      <c r="DI51" s="24">
        <f t="shared" si="15"/>
        <v>1.0279041752432494E-2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4.4930000000000003</v>
      </c>
      <c r="DO51" s="13">
        <f>IF('Données projet'!$A$166&gt;35,DO50+DN51-DW50,IF(A51&lt;'Données projet'!$A$166,$DL$205^A51,IF(A51='Données projet'!$A$166,'Données projet'!$B$166,DO50+DN51-DW50)))</f>
        <v>169.54399999999995</v>
      </c>
      <c r="DP51" s="18">
        <f>DO51*VLOOKUP('Données projet'!$B$14,Paramètres!$A$1:$I$89,3,0)*VLOOKUP('Données projet'!$B$14,Paramètres!$A$1:$I$89,5,0)</f>
        <v>195.31468799999996</v>
      </c>
      <c r="DQ51" s="14">
        <f t="shared" si="43"/>
        <v>48.71306165955783</v>
      </c>
      <c r="DR51" s="22">
        <f t="shared" si="16"/>
        <v>425.0149973237298</v>
      </c>
      <c r="DS51" s="62">
        <f t="shared" si="17"/>
        <v>718.34833065706312</v>
      </c>
      <c r="DT51" s="62">
        <f ca="1">AVERAGE(OFFSET($DS$3,0,0,'Données projet'!$E$14+1,1))-AVERAGE(OFFSET($H$3,0,0,'Données projet'!$E$14+1,1))</f>
        <v>431.38469096974364</v>
      </c>
      <c r="DU51" s="62">
        <f t="shared" si="44"/>
        <v>295.48627059086647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0.59466781195693419</v>
      </c>
      <c r="EC51" s="23">
        <f>EXP(-LN(2)/2)*EC50+(1-EXP(-LN(2)/2))/(LN(2)/2)*DW51*DZ51*VLOOKUP('Données projet'!$B$14,Paramètres!$A$1:$I$89,3,0)*0.475*44/12</f>
        <v>7.4969437510230275E-3</v>
      </c>
      <c r="ED51" s="24">
        <f t="shared" si="18"/>
        <v>0.60216475570795724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3.8</v>
      </c>
      <c r="EJ51" s="13">
        <f>IF('Données projet'!$A$192&gt;35,EJ50+EI51-ER50,IF(A51&lt;'Données projet'!$A$192,$EG$205^A51,IF(A51='Données projet'!$A$192,'Données projet'!$B$192,EJ50+EI51-ER50)))</f>
        <v>87.399999999999977</v>
      </c>
      <c r="EK51" s="18">
        <f>EJ51*VLOOKUP('Données projet'!$B$15,Paramètres!$A$1:$I$89,3,0)*VLOOKUP('Données projet'!$B$15,Paramètres!$A$1:$I$89,5,0)</f>
        <v>99.531119999999987</v>
      </c>
      <c r="EL51" s="14">
        <f t="shared" si="45"/>
        <v>26.850262817975576</v>
      </c>
      <c r="EM51" s="22">
        <f t="shared" si="19"/>
        <v>220.11424174130741</v>
      </c>
      <c r="EN51" s="62">
        <f t="shared" si="20"/>
        <v>513.44757507464078</v>
      </c>
      <c r="EO51" s="62">
        <f ca="1">AVERAGE(OFFSET($EN$3,0,0,'Données projet'!$E$15+1,1))-AVERAGE(OFFSET($H$3,0,0,'Données projet'!$E$15+1,1))</f>
        <v>220.03635832253951</v>
      </c>
      <c r="EP51" s="62">
        <f t="shared" si="46"/>
        <v>136.30639155882233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5.6</v>
      </c>
      <c r="FE51" s="13">
        <f>IF('Données projet'!$A$218&gt;35,FE50+FD51-FM50,IF(A51&lt;'Données projet'!$A$218,$FB$205^A51,IF(A51='Données projet'!$A$218,'Données projet'!$B$218,FE50+FD51-FM50)))</f>
        <v>286.80000000000013</v>
      </c>
      <c r="FF51" s="18">
        <f>FE51*VLOOKUP('Données projet'!$B$16,Paramètres!$A$1:$I$89,3,0)*VLOOKUP('Données projet'!$B$16,Paramètres!$A$1:$I$89,5,0)</f>
        <v>299.76336000000015</v>
      </c>
      <c r="FG51" s="14">
        <f t="shared" si="47"/>
        <v>71.126852364126606</v>
      </c>
      <c r="FH51" s="22">
        <f t="shared" si="22"/>
        <v>645.96711986752075</v>
      </c>
      <c r="FI51" s="62">
        <f t="shared" si="23"/>
        <v>939.30045320085401</v>
      </c>
      <c r="FJ51" s="62">
        <f ca="1">AVERAGE(OFFSET($FI$3,0,0,'Données projet'!$E$16+1,1))-AVERAGE(OFFSET($H$3,0,0,'Données projet'!$E$16+1,1))</f>
        <v>641.62708445664862</v>
      </c>
      <c r="FK51" s="62">
        <f t="shared" si="48"/>
        <v>379.46845863546929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4.2374678291410492E-2</v>
      </c>
      <c r="FT51" s="24">
        <f t="shared" si="24"/>
        <v>4.2374678291410492E-2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3.8</v>
      </c>
      <c r="FZ51" s="13">
        <f>IF('Données projet'!$A$244&gt;35,FZ50+FY51-GH50,IF(A51&lt;'Données projet'!$A$244,$FW$205^A51,IF(A51='Données projet'!$A$244,'Données projet'!$B$244,FZ50+FY51-GH50)))</f>
        <v>87.399999999999977</v>
      </c>
      <c r="GA51" s="18">
        <f>FZ51*VLOOKUP('Données projet'!$B$17,Paramètres!$A$1:$I$89,3,0)*VLOOKUP('Données projet'!$B$17,Paramètres!$A$1:$I$89,5,0)</f>
        <v>84.533279999999991</v>
      </c>
      <c r="GB51" s="14">
        <f t="shared" si="49"/>
        <v>23.242014012893971</v>
      </c>
      <c r="GC51" s="22">
        <f t="shared" si="25"/>
        <v>187.70863707245698</v>
      </c>
      <c r="GD51" s="62">
        <f t="shared" si="26"/>
        <v>481.04197040579027</v>
      </c>
      <c r="GE51" s="62">
        <f ca="1">AVERAGE(OFFSET($GD$3,0,0,'Données projet'!$E$17+1,1))-AVERAGE(OFFSET($H$3,0,0,'Données projet'!$E$17+1,1))</f>
        <v>181.39066880931728</v>
      </c>
      <c r="GF51" s="62">
        <f t="shared" si="50"/>
        <v>116.06078566855524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4.2</v>
      </c>
      <c r="GU51" s="13">
        <f>IF('Données projet'!$A$270&gt;35,GU50+GT51-HC50,IF(A51&lt;'Données projet'!$A$270,$GR$205^A51,IF(A51='Données projet'!$A$270,'Données projet'!$B$270,GU50+GT51-HC50)))</f>
        <v>132.59999999999997</v>
      </c>
      <c r="GV51" s="18">
        <f>GU51*VLOOKUP('Données projet'!$B$18,Paramètres!$A$1:$I$89,3,0)*VLOOKUP('Données projet'!$B$18,Paramètres!$A$1:$I$89,5,0)</f>
        <v>115.83935999999999</v>
      </c>
      <c r="GW51" s="14">
        <f t="shared" si="51"/>
        <v>30.70261441799703</v>
      </c>
      <c r="GX51" s="22">
        <f t="shared" si="28"/>
        <v>255.22727211134475</v>
      </c>
      <c r="GY51" s="62">
        <f t="shared" si="29"/>
        <v>548.560605444678</v>
      </c>
      <c r="GZ51" s="62">
        <f ca="1">AVERAGE(OFFSET($GY$3,0,0,'Données projet'!$E$18+1,1))-AVERAGE(OFFSET($H$3,0,0,'Données projet'!$E$18+1,1))</f>
        <v>152.84277478695606</v>
      </c>
      <c r="HA51" s="62">
        <f t="shared" si="52"/>
        <v>179.22995976651015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9">
        <f t="shared" si="1"/>
        <v>317.91052353502909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193.47120000000001</v>
      </c>
      <c r="P52" s="14">
        <f t="shared" si="33"/>
        <v>48.306575382296536</v>
      </c>
      <c r="Q52" s="22">
        <f t="shared" si="53"/>
        <v>421.09629212416644</v>
      </c>
      <c r="R52" s="62">
        <f t="shared" si="0"/>
        <v>714.4296254574997</v>
      </c>
      <c r="S52" s="62">
        <f ca="1">AVERAGE(OFFSET($R$3,0,0,'Données projet'!$E$9+1,1))-AVERAGE(OFFSET($H$3,0,0,'Données projet'!$E$9+1,1))</f>
        <v>383.26814640166805</v>
      </c>
      <c r="T52" s="62">
        <f t="shared" si="34"/>
        <v>233.71216103405249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3.8</v>
      </c>
      <c r="AI52" s="14">
        <f>IF('Données projet'!$A$62&gt;35,AI51+AH52-AQ51,IF(A52&lt;'Données projet'!$A$62,$AF$205^A52,IF(A52='Données projet'!$A$62,'Données projet'!$B$62,AI51+AH52-AQ51)))</f>
        <v>91.199999999999974</v>
      </c>
      <c r="AJ52" s="14">
        <f>AI52*VLOOKUP('Données projet'!$B$10,Paramètres!$A$1:$I$89,3,0)*VLOOKUP('Données projet'!$B$10,Paramètres!$A$1:$I$89,5,0)</f>
        <v>98.167679999999962</v>
      </c>
      <c r="AK52" s="14">
        <f t="shared" si="35"/>
        <v>26.525003855402876</v>
      </c>
      <c r="AL52" s="22">
        <f t="shared" si="4"/>
        <v>217.17309104815993</v>
      </c>
      <c r="AM52" s="62">
        <f t="shared" si="5"/>
        <v>510.50642438149328</v>
      </c>
      <c r="AN52" s="62">
        <f ca="1">AVERAGE(OFFSET($AM$3,0,0,'Données projet'!$E$10+1,1))-AVERAGE(OFFSET($H$3,0,0,'Données projet'!$E$10+1,1))</f>
        <v>205.99910063756408</v>
      </c>
      <c r="AO52" s="62">
        <f t="shared" si="36"/>
        <v>128.95330275493671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11.611538461538466</v>
      </c>
      <c r="BD52" s="13">
        <f>IF('Données projet'!$A$88&gt;35,BD51+BC52-BL51,IF(A52&lt;'Données projet'!$A$88,$BA$205^A52,IF(A52='Données projet'!$A$88,'Données projet'!$B$88,BD51+BC52-BL51)))</f>
        <v>296.73461538461538</v>
      </c>
      <c r="BE52" s="14">
        <f>BD52*VLOOKUP('Données projet'!$B$11,Paramètres!$A$1:$I$89,3,0)*VLOOKUP('Données projet'!$B$11,Paramètres!$A$1:$I$89,5,0)</f>
        <v>177.44730000000001</v>
      </c>
      <c r="BF52" s="14">
        <f t="shared" si="37"/>
        <v>44.753786201681493</v>
      </c>
      <c r="BG52" s="22">
        <f t="shared" si="7"/>
        <v>387.00022513459527</v>
      </c>
      <c r="BH52" s="62">
        <f t="shared" si="8"/>
        <v>680.33355846792858</v>
      </c>
      <c r="BI52" s="62">
        <f ca="1">AVERAGE(OFFSET($BH$3,0,0,'Données projet'!$E$11+1,1))-AVERAGE(OFFSET($H$3,0,0,'Données projet'!$E$11+1,1))</f>
        <v>222.20580087523689</v>
      </c>
      <c r="BJ52" s="62">
        <f t="shared" si="38"/>
        <v>232.08940427392253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6.8698020140985872</v>
      </c>
      <c r="BQ52" s="23">
        <f>EXP(-LN(2)/25)*BQ51+(1-EXP(-LN(2)/25))/(LN(2)/25)*Calculateur!BL52*Calculateur!BN52*VLOOKUP('Données projet'!$B$11,Paramètres!$A$1:$I$89,3,0)*0.475*44/12</f>
        <v>9.7054198022998186</v>
      </c>
      <c r="BR52" s="23">
        <f>EXP(-LN(2)/2)*BR51+(1-EXP(-LN(2)/2))/(LN(2)/2)*BL52*BO52*VLOOKUP('Données projet'!$B$11,Paramètres!$A$1:$I$89,3,0)*0.475*44/12</f>
        <v>8.755916752579352E-3</v>
      </c>
      <c r="BS52" s="24">
        <f t="shared" si="9"/>
        <v>16.583977733150984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10.407692307692306</v>
      </c>
      <c r="BY52" s="13">
        <f>IF('Données projet'!$A$114&gt;35,BY51+BX52-CG51,IF(A52&lt;'Données projet'!$A$114,$BV$205^A52,IF(A52='Données projet'!$A$114,'Données projet'!$B$114,BY51+BX52-CG51)))</f>
        <v>301.02307692307687</v>
      </c>
      <c r="BZ52" s="14">
        <f>BY52*VLOOKUP('Données projet'!$B$12,Paramètres!$A$1:$I$89,3,0)*VLOOKUP('Données projet'!$B$12,Paramètres!$A$1:$I$89,5,0)</f>
        <v>140.87879999999998</v>
      </c>
      <c r="CA52" s="14">
        <f t="shared" si="39"/>
        <v>36.498252857280519</v>
      </c>
      <c r="CB52" s="22">
        <f t="shared" si="10"/>
        <v>308.93170039309683</v>
      </c>
      <c r="CC52" s="62">
        <f t="shared" si="11"/>
        <v>602.26503372643015</v>
      </c>
      <c r="CD52" s="62">
        <f ca="1">AVERAGE(OFFSET($CC$3,0,0,'Données projet'!$E$12+1,1))-AVERAGE(OFFSET($H$3,0,0,'Données projet'!$E$12+1,1))</f>
        <v>179.14256291235466</v>
      </c>
      <c r="CE52" s="62">
        <f t="shared" si="40"/>
        <v>107.5256983607585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11.861538461538462</v>
      </c>
      <c r="CT52" s="13">
        <f>IF('Données projet'!$A$140&gt;35,CT51+CS52-DB51,IF(A52&lt;'Données projet'!$A$140,$CQ$205^A52,IF(A52='Données projet'!$A$140,'Données projet'!$B$140,CT51+CS52-DB51)))</f>
        <v>279.22307692307697</v>
      </c>
      <c r="CU52" s="18">
        <f>CT52*VLOOKUP('Données projet'!$B$13,Paramètres!$A$1:$I$89,3,0)*VLOOKUP('Données projet'!$B$13,Paramètres!$A$1:$I$89,5,0)</f>
        <v>166.97540000000004</v>
      </c>
      <c r="CV52" s="14">
        <f t="shared" si="41"/>
        <v>42.411907667415186</v>
      </c>
      <c r="CW52" s="22">
        <f t="shared" si="13"/>
        <v>364.68289418741483</v>
      </c>
      <c r="CX52" s="62">
        <f t="shared" si="14"/>
        <v>658.01622752074809</v>
      </c>
      <c r="CY52" s="62">
        <f ca="1">AVERAGE(OFFSET($CX$3,0,0,'Données projet'!$E$13+1,1))-AVERAGE(OFFSET($H$3,0,0,'Données projet'!$E$13+1,1))</f>
        <v>237.03649693529445</v>
      </c>
      <c r="CZ52" s="62">
        <f t="shared" si="42"/>
        <v>191.04289411674887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7.2683801272446702E-3</v>
      </c>
      <c r="DI52" s="24">
        <f t="shared" si="15"/>
        <v>7.2683801272446702E-3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4.4930000000000003</v>
      </c>
      <c r="DO52" s="13">
        <f>IF('Données projet'!$A$166&gt;35,DO51+DN52-DW51,IF(A52&lt;'Données projet'!$A$166,$DL$205^A52,IF(A52='Données projet'!$A$166,'Données projet'!$B$166,DO51+DN52-DW51)))</f>
        <v>174.03699999999995</v>
      </c>
      <c r="DP52" s="18">
        <f>DO52*VLOOKUP('Données projet'!$B$14,Paramètres!$A$1:$I$89,3,0)*VLOOKUP('Données projet'!$B$14,Paramètres!$A$1:$I$89,5,0)</f>
        <v>200.49062399999994</v>
      </c>
      <c r="DQ52" s="14">
        <f t="shared" si="43"/>
        <v>49.851976650659921</v>
      </c>
      <c r="DR52" s="22">
        <f t="shared" si="16"/>
        <v>436.0133627998992</v>
      </c>
      <c r="DS52" s="62">
        <f t="shared" si="17"/>
        <v>729.34669613323251</v>
      </c>
      <c r="DT52" s="62">
        <f ca="1">AVERAGE(OFFSET($DS$3,0,0,'Données projet'!$E$14+1,1))-AVERAGE(OFFSET($H$3,0,0,'Données projet'!$E$14+1,1))</f>
        <v>431.38469096974364</v>
      </c>
      <c r="DU52" s="62">
        <f t="shared" si="44"/>
        <v>295.48627059086647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0.57840658936675071</v>
      </c>
      <c r="EC52" s="23">
        <f>EXP(-LN(2)/2)*EC51+(1-EXP(-LN(2)/2))/(LN(2)/2)*DW52*DZ52*VLOOKUP('Données projet'!$B$14,Paramètres!$A$1:$I$89,3,0)*0.475*44/12</f>
        <v>5.3011397645224946E-3</v>
      </c>
      <c r="ED52" s="24">
        <f t="shared" si="18"/>
        <v>0.58370772913127322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3.8</v>
      </c>
      <c r="EJ52" s="13">
        <f>IF('Données projet'!$A$192&gt;35,EJ51+EI52-ER51,IF(A52&lt;'Données projet'!$A$192,$EG$205^A52,IF(A52='Données projet'!$A$192,'Données projet'!$B$192,EJ51+EI52-ER51)))</f>
        <v>91.199999999999974</v>
      </c>
      <c r="EK52" s="18">
        <f>EJ52*VLOOKUP('Données projet'!$B$15,Paramètres!$A$1:$I$89,3,0)*VLOOKUP('Données projet'!$B$15,Paramètres!$A$1:$I$89,5,0)</f>
        <v>103.85855999999997</v>
      </c>
      <c r="EL52" s="14">
        <f t="shared" si="45"/>
        <v>27.879210970756056</v>
      </c>
      <c r="EM52" s="22">
        <f t="shared" si="19"/>
        <v>229.44328444073338</v>
      </c>
      <c r="EN52" s="62">
        <f t="shared" si="20"/>
        <v>522.77661777406672</v>
      </c>
      <c r="EO52" s="62">
        <f ca="1">AVERAGE(OFFSET($EN$3,0,0,'Données projet'!$E$15+1,1))-AVERAGE(OFFSET($H$3,0,0,'Données projet'!$E$15+1,1))</f>
        <v>220.03635832253951</v>
      </c>
      <c r="EP52" s="62">
        <f t="shared" si="46"/>
        <v>136.30639155882233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5.6</v>
      </c>
      <c r="FE52" s="13">
        <f>IF('Données projet'!$A$218&gt;35,FE51+FD52-FM51,IF(A52&lt;'Données projet'!$A$218,$FB$205^A52,IF(A52='Données projet'!$A$218,'Données projet'!$B$218,FE51+FD52-FM51)))</f>
        <v>292.40000000000015</v>
      </c>
      <c r="FF52" s="18">
        <f>FE52*VLOOKUP('Données projet'!$B$16,Paramètres!$A$1:$I$89,3,0)*VLOOKUP('Données projet'!$B$16,Paramètres!$A$1:$I$89,5,0)</f>
        <v>305.61648000000019</v>
      </c>
      <c r="FG52" s="14">
        <f t="shared" si="47"/>
        <v>72.352619341322821</v>
      </c>
      <c r="FH52" s="22">
        <f t="shared" si="22"/>
        <v>658.29618135280418</v>
      </c>
      <c r="FI52" s="62">
        <f t="shared" si="23"/>
        <v>951.62951468613755</v>
      </c>
      <c r="FJ52" s="62">
        <f ca="1">AVERAGE(OFFSET($FI$3,0,0,'Données projet'!$E$16+1,1))-AVERAGE(OFFSET($H$3,0,0,'Données projet'!$E$16+1,1))</f>
        <v>641.62708445664862</v>
      </c>
      <c r="FK52" s="62">
        <f t="shared" si="48"/>
        <v>379.46845863546929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2.9963422370454747E-2</v>
      </c>
      <c r="FT52" s="24">
        <f t="shared" si="24"/>
        <v>2.9963422370454747E-2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3.8</v>
      </c>
      <c r="FZ52" s="13">
        <f>IF('Données projet'!$A$244&gt;35,FZ51+FY52-GH51,IF(A52&lt;'Données projet'!$A$244,$FW$205^A52,IF(A52='Données projet'!$A$244,'Données projet'!$B$244,FZ51+FY52-GH51)))</f>
        <v>91.199999999999974</v>
      </c>
      <c r="GA52" s="18">
        <f>FZ52*VLOOKUP('Données projet'!$B$17,Paramètres!$A$1:$I$89,3,0)*VLOOKUP('Données projet'!$B$17,Paramètres!$A$1:$I$89,5,0)</f>
        <v>88.208639999999974</v>
      </c>
      <c r="GB52" s="14">
        <f t="shared" si="49"/>
        <v>24.132687878829255</v>
      </c>
      <c r="GC52" s="22">
        <f t="shared" si="25"/>
        <v>195.66114605562757</v>
      </c>
      <c r="GD52" s="62">
        <f t="shared" si="26"/>
        <v>488.99447938896088</v>
      </c>
      <c r="GE52" s="62">
        <f ca="1">AVERAGE(OFFSET($GD$3,0,0,'Données projet'!$E$17+1,1))-AVERAGE(OFFSET($H$3,0,0,'Données projet'!$E$17+1,1))</f>
        <v>181.39066880931728</v>
      </c>
      <c r="GF52" s="62">
        <f t="shared" si="50"/>
        <v>116.06078566855524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4.2</v>
      </c>
      <c r="GU52" s="13">
        <f>IF('Données projet'!$A$270&gt;35,GU51+GT52-HC51,IF(A52&lt;'Données projet'!$A$270,$GR$205^A52,IF(A52='Données projet'!$A$270,'Données projet'!$B$270,GU51+GT52-HC51)))</f>
        <v>136.79999999999995</v>
      </c>
      <c r="GV52" s="18">
        <f>GU52*VLOOKUP('Données projet'!$B$18,Paramètres!$A$1:$I$89,3,0)*VLOOKUP('Données projet'!$B$18,Paramètres!$A$1:$I$89,5,0)</f>
        <v>119.50847999999996</v>
      </c>
      <c r="GW52" s="14">
        <f t="shared" si="51"/>
        <v>31.560332955588962</v>
      </c>
      <c r="GX52" s="22">
        <f t="shared" si="28"/>
        <v>263.11151589765069</v>
      </c>
      <c r="GY52" s="62">
        <f t="shared" si="29"/>
        <v>556.444849230984</v>
      </c>
      <c r="GZ52" s="62">
        <f ca="1">AVERAGE(OFFSET($GY$3,0,0,'Données projet'!$E$18+1,1))-AVERAGE(OFFSET($H$3,0,0,'Données projet'!$E$18+1,1))</f>
        <v>152.84277478695606</v>
      </c>
      <c r="HA52" s="62">
        <f t="shared" si="52"/>
        <v>179.22995976651015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9">
        <f t="shared" si="1"/>
        <v>319.12529197371839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201.786</v>
      </c>
      <c r="P53" s="14">
        <f t="shared" si="33"/>
        <v>50.136473146268756</v>
      </c>
      <c r="Q53" s="22">
        <f t="shared" si="53"/>
        <v>438.76497406308476</v>
      </c>
      <c r="R53" s="62">
        <f t="shared" si="0"/>
        <v>732.09830739641802</v>
      </c>
      <c r="S53" s="62">
        <f ca="1">AVERAGE(OFFSET($R$3,0,0,'Données projet'!$E$9+1,1))-AVERAGE(OFFSET($H$3,0,0,'Données projet'!$E$9+1,1))</f>
        <v>383.26814640166805</v>
      </c>
      <c r="T53" s="62">
        <f t="shared" si="34"/>
        <v>233.71216103405249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95</v>
      </c>
      <c r="AG53" s="13">
        <f>VLOOKUP(A53,'Données projet'!$A$61:$I$81,9,0)</f>
        <v>3.8</v>
      </c>
      <c r="AH53" s="13">
        <f t="array" ref="AH53">INDEX(AG:AG,MIN(IF(ISNUMBER(AG53:AG249),ROW(AG53:AG249),"")))</f>
        <v>3.8</v>
      </c>
      <c r="AI53" s="14">
        <f>IF('Données projet'!$A$62&gt;35,AI52+AH53-AQ52,IF(A53&lt;'Données projet'!$A$62,$AF$205^A53,IF(A53='Données projet'!$A$62,'Données projet'!$B$62,AI52+AH53-AQ52)))</f>
        <v>94.999999999999972</v>
      </c>
      <c r="AJ53" s="14">
        <f>AI53*VLOOKUP('Données projet'!$B$10,Paramètres!$A$1:$I$89,3,0)*VLOOKUP('Données projet'!$B$10,Paramètres!$A$1:$I$89,5,0)</f>
        <v>102.25799999999995</v>
      </c>
      <c r="AK53" s="14">
        <f t="shared" si="35"/>
        <v>27.499233847895834</v>
      </c>
      <c r="AL53" s="22">
        <f t="shared" si="4"/>
        <v>225.9938489517518</v>
      </c>
      <c r="AM53" s="62">
        <f t="shared" si="5"/>
        <v>519.32718228508509</v>
      </c>
      <c r="AN53" s="62">
        <f ca="1">AVERAGE(OFFSET($AM$3,0,0,'Données projet'!$E$10+1,1))-AVERAGE(OFFSET($H$3,0,0,'Données projet'!$E$10+1,1))</f>
        <v>205.99910063756408</v>
      </c>
      <c r="AO53" s="62">
        <f t="shared" si="36"/>
        <v>128.95330275493671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11.611538461538466</v>
      </c>
      <c r="BD53" s="13">
        <f>IF('Données projet'!$A$88&gt;35,BD52+BC53-BL52,IF(A53&lt;'Données projet'!$A$88,$BA$205^A53,IF(A53='Données projet'!$A$88,'Données projet'!$B$88,BD52+BC53-BL52)))</f>
        <v>308.34615384615387</v>
      </c>
      <c r="BE53" s="14">
        <f>BD53*VLOOKUP('Données projet'!$B$11,Paramètres!$A$1:$I$89,3,0)*VLOOKUP('Données projet'!$B$11,Paramètres!$A$1:$I$89,5,0)</f>
        <v>184.39100000000005</v>
      </c>
      <c r="BF53" s="14">
        <f t="shared" si="37"/>
        <v>46.297728214269426</v>
      </c>
      <c r="BG53" s="22">
        <f t="shared" si="7"/>
        <v>401.78286830651933</v>
      </c>
      <c r="BH53" s="62">
        <f t="shared" si="8"/>
        <v>695.11620163985265</v>
      </c>
      <c r="BI53" s="62">
        <f ca="1">AVERAGE(OFFSET($BH$3,0,0,'Données projet'!$E$11+1,1))-AVERAGE(OFFSET($H$3,0,0,'Données projet'!$E$11+1,1))</f>
        <v>222.20580087523689</v>
      </c>
      <c r="BJ53" s="62">
        <f t="shared" si="38"/>
        <v>232.08940427392253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6.7350893867675978</v>
      </c>
      <c r="BQ53" s="23">
        <f>EXP(-LN(2)/25)*BQ52+(1-EXP(-LN(2)/25))/(LN(2)/25)*Calculateur!BL53*Calculateur!BN53*VLOOKUP('Données projet'!$B$11,Paramètres!$A$1:$I$89,3,0)*0.475*44/12</f>
        <v>9.4400245874200852</v>
      </c>
      <c r="BR53" s="23">
        <f>EXP(-LN(2)/2)*BR52+(1-EXP(-LN(2)/2))/(LN(2)/2)*BL53*BO53*VLOOKUP('Données projet'!$B$11,Paramètres!$A$1:$I$89,3,0)*0.475*44/12</f>
        <v>6.1913681112537537E-3</v>
      </c>
      <c r="BS53" s="24">
        <f t="shared" si="9"/>
        <v>16.181305342298934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10.407692307692306</v>
      </c>
      <c r="BY53" s="13">
        <f>IF('Données projet'!$A$114&gt;35,BY52+BX53-CG52,IF(A53&lt;'Données projet'!$A$114,$BV$205^A53,IF(A53='Données projet'!$A$114,'Données projet'!$B$114,BY52+BX53-CG52)))</f>
        <v>311.43076923076916</v>
      </c>
      <c r="BZ53" s="14">
        <f>BY53*VLOOKUP('Données projet'!$B$12,Paramètres!$A$1:$I$89,3,0)*VLOOKUP('Données projet'!$B$12,Paramètres!$A$1:$I$89,5,0)</f>
        <v>145.74959999999999</v>
      </c>
      <c r="CA53" s="14">
        <f t="shared" si="39"/>
        <v>37.611056965444213</v>
      </c>
      <c r="CB53" s="22">
        <f t="shared" si="10"/>
        <v>319.3531442148153</v>
      </c>
      <c r="CC53" s="62">
        <f t="shared" si="11"/>
        <v>612.68647754814856</v>
      </c>
      <c r="CD53" s="62">
        <f ca="1">AVERAGE(OFFSET($CC$3,0,0,'Données projet'!$E$12+1,1))-AVERAGE(OFFSET($H$3,0,0,'Données projet'!$E$12+1,1))</f>
        <v>179.14256291235466</v>
      </c>
      <c r="CE53" s="62">
        <f t="shared" si="40"/>
        <v>107.5256983607585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291.0846153846154</v>
      </c>
      <c r="CR53" s="13">
        <f>VLOOKUP(A53,'Données projet'!$A$139:$I$159,9,0)</f>
        <v>11.861538461538462</v>
      </c>
      <c r="CS53" s="13">
        <f t="array" ref="CS53">INDEX(CR:CR,MIN(IF(ISNUMBER(CR53:CR249),ROW(CR53:CR249),"")))</f>
        <v>11.861538461538462</v>
      </c>
      <c r="CT53" s="13">
        <f>IF('Données projet'!$A$140&gt;35,CT52+CS53-DB52,IF(A53&lt;'Données projet'!$A$140,$CQ$205^A53,IF(A53='Données projet'!$A$140,'Données projet'!$B$140,CT52+CS53-DB52)))</f>
        <v>291.08461538461546</v>
      </c>
      <c r="CU53" s="18">
        <f>CT53*VLOOKUP('Données projet'!$B$13,Paramètres!$A$1:$I$89,3,0)*VLOOKUP('Données projet'!$B$13,Paramètres!$A$1:$I$89,5,0)</f>
        <v>174.06860000000006</v>
      </c>
      <c r="CV53" s="14">
        <f t="shared" si="41"/>
        <v>43.999996552753878</v>
      </c>
      <c r="CW53" s="22">
        <f t="shared" si="13"/>
        <v>379.80280566271313</v>
      </c>
      <c r="CX53" s="62">
        <f t="shared" si="14"/>
        <v>673.13613899604638</v>
      </c>
      <c r="CY53" s="62">
        <f ca="1">AVERAGE(OFFSET($CX$3,0,0,'Données projet'!$E$13+1,1))-AVERAGE(OFFSET($H$3,0,0,'Données projet'!$E$13+1,1))</f>
        <v>237.03649693529445</v>
      </c>
      <c r="CZ53" s="62">
        <f t="shared" si="42"/>
        <v>191.04289411674887</v>
      </c>
      <c r="DA53" s="16">
        <f>IF(ISNA(VLOOKUP(A53,'Données projet'!$A$139:$I$159,3,0)),0,VLOOKUP(A53,'Données projet'!$A$139:$I$159,3,0))</f>
        <v>5</v>
      </c>
      <c r="DB53" s="16">
        <f>IF(ISNA(VLOOKUP(A53,'Données projet'!$A$139:$I$159,4,0)),0,VLOOKUP(A53,'Données projet'!$A$139:$I$159,4,0))</f>
        <v>55.292307692307688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5.1395208762162478E-3</v>
      </c>
      <c r="DI53" s="24">
        <f t="shared" si="15"/>
        <v>5.1395208762162478E-3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178.53</v>
      </c>
      <c r="DM53" s="13">
        <f>VLOOKUP(A53,'Données projet'!$A$165:$I$185,9,0)</f>
        <v>4.4930000000000003</v>
      </c>
      <c r="DN53" s="13">
        <f t="array" ref="DN53">INDEX(DM:DM,MIN(IF(ISNUMBER(DM53:DM249),ROW(DM53:DM249),"")))</f>
        <v>4.4930000000000003</v>
      </c>
      <c r="DO53" s="13">
        <f>IF('Données projet'!$A$166&gt;35,DO52+DN53-DW52,IF(A53&lt;'Données projet'!$A$166,$DL$205^A53,IF(A53='Données projet'!$A$166,'Données projet'!$B$166,DO52+DN53-DW52)))</f>
        <v>178.52999999999994</v>
      </c>
      <c r="DP53" s="18">
        <f>DO53*VLOOKUP('Données projet'!$B$14,Paramètres!$A$1:$I$89,3,0)*VLOOKUP('Données projet'!$B$14,Paramètres!$A$1:$I$89,5,0)</f>
        <v>205.66655999999992</v>
      </c>
      <c r="DQ53" s="14">
        <f t="shared" si="43"/>
        <v>50.987473911886156</v>
      </c>
      <c r="DR53" s="22">
        <f t="shared" si="16"/>
        <v>447.00577572986822</v>
      </c>
      <c r="DS53" s="62">
        <f t="shared" si="17"/>
        <v>740.33910906320148</v>
      </c>
      <c r="DT53" s="62">
        <f ca="1">AVERAGE(OFFSET($DS$3,0,0,'Données projet'!$E$14+1,1))-AVERAGE(OFFSET($H$3,0,0,'Données projet'!$E$14+1,1))</f>
        <v>431.38469096974364</v>
      </c>
      <c r="DU53" s="62">
        <f t="shared" si="44"/>
        <v>295.48627059086647</v>
      </c>
      <c r="DV53" s="16">
        <f>IF(ISNA(VLOOKUP(A53,'Données projet'!$A$165:$I$185,3,0)),0,VLOOKUP(A53,'Données projet'!$A$165:$I$185,3,0))</f>
        <v>5</v>
      </c>
      <c r="DW53" s="16">
        <f>IF(ISNA(VLOOKUP(A53,'Données projet'!$A$165:$I$185,4,0)),0,VLOOKUP(A53,'Données projet'!$A$165:$I$185,4,0))</f>
        <v>18.600000000000001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0.56259003076343639</v>
      </c>
      <c r="EC53" s="23">
        <f>EXP(-LN(2)/2)*EC52+(1-EXP(-LN(2)/2))/(LN(2)/2)*DW53*DZ53*VLOOKUP('Données projet'!$B$14,Paramètres!$A$1:$I$89,3,0)*0.475*44/12</f>
        <v>3.7484718755115137E-3</v>
      </c>
      <c r="ED53" s="24">
        <f t="shared" si="18"/>
        <v>0.56633850263894792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95</v>
      </c>
      <c r="EH53" s="13">
        <f>VLOOKUP(A53,'Données projet'!$A$191:$I$211,9,0)</f>
        <v>3.8</v>
      </c>
      <c r="EI53" s="13">
        <f t="array" ref="EI53">INDEX(EH:EH,MIN(IF(ISNUMBER(EH53:EH249),ROW(EH53:EH249),"")))</f>
        <v>3.8</v>
      </c>
      <c r="EJ53" s="13">
        <f>IF('Données projet'!$A$192&gt;35,EJ52+EI53-ER52,IF(A53&lt;'Données projet'!$A$192,$EG$205^A53,IF(A53='Données projet'!$A$192,'Données projet'!$B$192,EJ52+EI53-ER52)))</f>
        <v>94.999999999999972</v>
      </c>
      <c r="EK53" s="18">
        <f>EJ53*VLOOKUP('Données projet'!$B$15,Paramètres!$A$1:$I$89,3,0)*VLOOKUP('Données projet'!$B$15,Paramètres!$A$1:$I$89,5,0)</f>
        <v>108.18599999999998</v>
      </c>
      <c r="EL53" s="14">
        <f t="shared" si="45"/>
        <v>28.903179285438036</v>
      </c>
      <c r="EM53" s="22">
        <f t="shared" si="19"/>
        <v>238.76365392213782</v>
      </c>
      <c r="EN53" s="62">
        <f t="shared" si="20"/>
        <v>532.09698725547116</v>
      </c>
      <c r="EO53" s="62">
        <f ca="1">AVERAGE(OFFSET($EN$3,0,0,'Données projet'!$E$15+1,1))-AVERAGE(OFFSET($H$3,0,0,'Données projet'!$E$15+1,1))</f>
        <v>220.03635832253951</v>
      </c>
      <c r="EP53" s="62">
        <f t="shared" si="46"/>
        <v>136.30639155882233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298</v>
      </c>
      <c r="FC53" s="13">
        <f>VLOOKUP(A53,'Données projet'!$A$217:$I$237,9,0)</f>
        <v>5.6</v>
      </c>
      <c r="FD53" s="13">
        <f t="array" ref="FD53">INDEX(FC:FC,MIN(IF(ISNUMBER(FC53:FC249),ROW(FC53:FC249),"")))</f>
        <v>5.6</v>
      </c>
      <c r="FE53" s="13">
        <f>IF('Données projet'!$A$218&gt;35,FE52+FD53-FM52,IF(A53&lt;'Données projet'!$A$218,$FB$205^A53,IF(A53='Données projet'!$A$218,'Données projet'!$B$218,FE52+FD53-FM52)))</f>
        <v>298.00000000000017</v>
      </c>
      <c r="FF53" s="18">
        <f>FE53*VLOOKUP('Données projet'!$B$16,Paramètres!$A$1:$I$89,3,0)*VLOOKUP('Données projet'!$B$16,Paramètres!$A$1:$I$89,5,0)</f>
        <v>311.46960000000024</v>
      </c>
      <c r="FG53" s="14">
        <f t="shared" si="47"/>
        <v>73.575656614043737</v>
      </c>
      <c r="FH53" s="22">
        <f t="shared" si="22"/>
        <v>670.62048860279322</v>
      </c>
      <c r="FI53" s="62">
        <f t="shared" si="23"/>
        <v>963.95382193612659</v>
      </c>
      <c r="FJ53" s="62">
        <f ca="1">AVERAGE(OFFSET($FI$3,0,0,'Données projet'!$E$16+1,1))-AVERAGE(OFFSET($H$3,0,0,'Données projet'!$E$16+1,1))</f>
        <v>641.62708445664862</v>
      </c>
      <c r="FK53" s="62">
        <f t="shared" si="48"/>
        <v>379.46845863546929</v>
      </c>
      <c r="FL53" s="16">
        <f>IF(ISNA(VLOOKUP(A53,'Données projet'!$A$217:$I$237,3,0)),0,VLOOKUP(A53,'Données projet'!$A$217:$I$237,3,0))</f>
        <v>3</v>
      </c>
      <c r="FM53" s="16">
        <f>IF(ISNA(VLOOKUP(A53,'Données projet'!$A$217:$I$237,4,0)),0,VLOOKUP(A53,'Données projet'!$A$217:$I$237,4,0))</f>
        <v>38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2.1187339145705249E-2</v>
      </c>
      <c r="FT53" s="24">
        <f t="shared" si="24"/>
        <v>2.1187339145705249E-2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95</v>
      </c>
      <c r="FX53" s="13">
        <f>VLOOKUP(A53,'Données projet'!$A$243:$I$263,9,0)</f>
        <v>3.8</v>
      </c>
      <c r="FY53" s="13">
        <f t="array" ref="FY53">INDEX(FX:FX,MIN(IF(ISNUMBER(FX53:FX249),ROW(FX53:FX249),"")))</f>
        <v>3.8</v>
      </c>
      <c r="FZ53" s="13">
        <f>IF('Données projet'!$A$244&gt;35,FZ52+FY53-GH52,IF(A53&lt;'Données projet'!$A$244,$FW$205^A53,IF(A53='Données projet'!$A$244,'Données projet'!$B$244,FZ52+FY53-GH52)))</f>
        <v>94.999999999999972</v>
      </c>
      <c r="GA53" s="18">
        <f>FZ53*VLOOKUP('Données projet'!$B$17,Paramètres!$A$1:$I$89,3,0)*VLOOKUP('Données projet'!$B$17,Paramètres!$A$1:$I$89,5,0)</f>
        <v>91.883999999999972</v>
      </c>
      <c r="GB53" s="14">
        <f t="shared" si="49"/>
        <v>25.019051117801563</v>
      </c>
      <c r="GC53" s="22">
        <f t="shared" si="25"/>
        <v>203.60614736350433</v>
      </c>
      <c r="GD53" s="62">
        <f t="shared" si="26"/>
        <v>496.93948069683768</v>
      </c>
      <c r="GE53" s="62">
        <f ca="1">AVERAGE(OFFSET($GD$3,0,0,'Données projet'!$E$17+1,1))-AVERAGE(OFFSET($H$3,0,0,'Données projet'!$E$17+1,1))</f>
        <v>181.39066880931728</v>
      </c>
      <c r="GF53" s="62">
        <f t="shared" si="50"/>
        <v>116.06078566855524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141</v>
      </c>
      <c r="GS53" s="13">
        <f>VLOOKUP(A53,'Données projet'!$A$269:$I$289,9,0)</f>
        <v>4.2</v>
      </c>
      <c r="GT53" s="13">
        <f t="array" ref="GT53">INDEX(GS:GS,MIN(IF(ISNUMBER(GS53:GS249),ROW(GS53:GS249),"")))</f>
        <v>4.2</v>
      </c>
      <c r="GU53" s="13">
        <f>IF('Données projet'!$A$270&gt;35,GU52+GT53-HC52,IF(A53&lt;'Données projet'!$A$270,$GR$205^A53,IF(A53='Données projet'!$A$270,'Données projet'!$B$270,GU52+GT53-HC52)))</f>
        <v>140.99999999999994</v>
      </c>
      <c r="GV53" s="18">
        <f>GU53*VLOOKUP('Données projet'!$B$18,Paramètres!$A$1:$I$89,3,0)*VLOOKUP('Données projet'!$B$18,Paramètres!$A$1:$I$89,5,0)</f>
        <v>123.17759999999997</v>
      </c>
      <c r="GW53" s="14">
        <f t="shared" si="51"/>
        <v>32.414991240570416</v>
      </c>
      <c r="GX53" s="22">
        <f t="shared" si="28"/>
        <v>270.99042974399339</v>
      </c>
      <c r="GY53" s="62">
        <f t="shared" si="29"/>
        <v>564.3237630773267</v>
      </c>
      <c r="GZ53" s="62">
        <f ca="1">AVERAGE(OFFSET($GY$3,0,0,'Données projet'!$E$18+1,1))-AVERAGE(OFFSET($H$3,0,0,'Données projet'!$E$18+1,1))</f>
        <v>152.84277478695606</v>
      </c>
      <c r="HA53" s="62">
        <f t="shared" si="52"/>
        <v>179.22995976651015</v>
      </c>
      <c r="HB53" s="16">
        <f>IF(ISNA(VLOOKUP(A53,'Données projet'!$A$269:$I$289,3,0)),0,VLOOKUP(A53,'Données projet'!$A$269:$I$289,3,0))</f>
        <v>3</v>
      </c>
      <c r="HC53" s="16">
        <f>IF(ISNA(VLOOKUP(A53,'Données projet'!$A$269:$I$289,4,0)),0,VLOOKUP(A53,'Données projet'!$A$269:$I$289,4,0))</f>
        <v>25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9">
        <f t="shared" si="1"/>
        <v>320.33944691418702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167.31</v>
      </c>
      <c r="P54" s="14">
        <f t="shared" si="33"/>
        <v>42.486994942347515</v>
      </c>
      <c r="Q54" s="22">
        <f t="shared" si="53"/>
        <v>365.39643285792187</v>
      </c>
      <c r="R54" s="62">
        <f t="shared" si="0"/>
        <v>658.72976619125518</v>
      </c>
      <c r="S54" s="62">
        <f ca="1">AVERAGE(OFFSET($R$3,0,0,'Données projet'!$E$9+1,1))-AVERAGE(OFFSET($H$3,0,0,'Données projet'!$E$9+1,1))</f>
        <v>383.26814640166805</v>
      </c>
      <c r="T54" s="62">
        <f t="shared" si="34"/>
        <v>233.71216103405249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4</v>
      </c>
      <c r="AI54" s="14">
        <f>IF('Données projet'!$A$62&gt;35,AI53+AH54-AQ53,IF(A54&lt;'Données projet'!$A$62,$AF$205^A54,IF(A54='Données projet'!$A$62,'Données projet'!$B$62,AI53+AH54-AQ53)))</f>
        <v>98.999999999999972</v>
      </c>
      <c r="AJ54" s="14">
        <f>AI54*VLOOKUP('Données projet'!$B$10,Paramètres!$A$1:$I$89,3,0)*VLOOKUP('Données projet'!$B$10,Paramètres!$A$1:$I$89,5,0)</f>
        <v>106.56359999999997</v>
      </c>
      <c r="AK54" s="14">
        <f t="shared" si="35"/>
        <v>28.519852461359374</v>
      </c>
      <c r="AL54" s="22">
        <f t="shared" si="4"/>
        <v>235.27034637020085</v>
      </c>
      <c r="AM54" s="62">
        <f t="shared" si="5"/>
        <v>528.60367970353423</v>
      </c>
      <c r="AN54" s="62">
        <f ca="1">AVERAGE(OFFSET($AM$3,0,0,'Données projet'!$E$10+1,1))-AVERAGE(OFFSET($H$3,0,0,'Données projet'!$E$10+1,1))</f>
        <v>205.99910063756408</v>
      </c>
      <c r="AO54" s="62">
        <f t="shared" si="36"/>
        <v>128.95330275493671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11.611538461538466</v>
      </c>
      <c r="BD54" s="13">
        <f>IF('Données projet'!$A$88&gt;35,BD53+BC54-BL53,IF(A54&lt;'Données projet'!$A$88,$BA$205^A54,IF(A54='Données projet'!$A$88,'Données projet'!$B$88,BD53+BC54-BL53)))</f>
        <v>319.95769230769235</v>
      </c>
      <c r="BE54" s="14">
        <f>BD54*VLOOKUP('Données projet'!$B$11,Paramètres!$A$1:$I$89,3,0)*VLOOKUP('Données projet'!$B$11,Paramètres!$A$1:$I$89,5,0)</f>
        <v>191.33470000000005</v>
      </c>
      <c r="BF54" s="14">
        <f t="shared" si="37"/>
        <v>47.834915743348681</v>
      </c>
      <c r="BG54" s="22">
        <f t="shared" si="7"/>
        <v>416.55374741966574</v>
      </c>
      <c r="BH54" s="62">
        <f t="shared" si="8"/>
        <v>709.88708075299905</v>
      </c>
      <c r="BI54" s="62">
        <f ca="1">AVERAGE(OFFSET($BH$3,0,0,'Données projet'!$E$11+1,1))-AVERAGE(OFFSET($H$3,0,0,'Données projet'!$E$11+1,1))</f>
        <v>222.20580087523689</v>
      </c>
      <c r="BJ54" s="62">
        <f t="shared" si="38"/>
        <v>232.08940427392253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6.6030183918919798</v>
      </c>
      <c r="BQ54" s="23">
        <f>EXP(-LN(2)/25)*BQ53+(1-EXP(-LN(2)/25))/(LN(2)/25)*Calculateur!BL54*Calculateur!BN54*VLOOKUP('Données projet'!$B$11,Paramètres!$A$1:$I$89,3,0)*0.475*44/12</f>
        <v>9.1818866186477646</v>
      </c>
      <c r="BR54" s="23">
        <f>EXP(-LN(2)/2)*BR53+(1-EXP(-LN(2)/2))/(LN(2)/2)*BL54*BO54*VLOOKUP('Données projet'!$B$11,Paramètres!$A$1:$I$89,3,0)*0.475*44/12</f>
        <v>4.377958376289676E-3</v>
      </c>
      <c r="BS54" s="24">
        <f t="shared" si="9"/>
        <v>15.789282968916035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>
        <f>VLOOKUP(A54,'Données projet'!$A$113:$I$133,2,0)</f>
        <v>321.8384615384615</v>
      </c>
      <c r="BW54" s="13">
        <f>VLOOKUP(A54,'Données projet'!$A$113:$I$133,9,0)</f>
        <v>10.407692307692306</v>
      </c>
      <c r="BX54" s="13">
        <f t="array" ref="BX54">INDEX(BW:BW,MIN(IF(ISNUMBER(BW54:BW250),ROW(BW54:BW250),"")))</f>
        <v>10.407692307692306</v>
      </c>
      <c r="BY54" s="13">
        <f>IF('Données projet'!$A$114&gt;35,BY53+BX54-CG53,IF(A54&lt;'Données projet'!$A$114,$BV$205^A54,IF(A54='Données projet'!$A$114,'Données projet'!$B$114,BY53+BX54-CG53)))</f>
        <v>321.83846153846144</v>
      </c>
      <c r="BZ54" s="14">
        <f>BY54*VLOOKUP('Données projet'!$B$12,Paramètres!$A$1:$I$89,3,0)*VLOOKUP('Données projet'!$B$12,Paramètres!$A$1:$I$89,5,0)</f>
        <v>150.62039999999996</v>
      </c>
      <c r="CA54" s="14">
        <f t="shared" si="39"/>
        <v>38.719539861211025</v>
      </c>
      <c r="CB54" s="22">
        <f t="shared" si="10"/>
        <v>329.76706192494242</v>
      </c>
      <c r="CC54" s="62">
        <f t="shared" si="11"/>
        <v>623.10039525827574</v>
      </c>
      <c r="CD54" s="62">
        <f ca="1">AVERAGE(OFFSET($CC$3,0,0,'Données projet'!$E$12+1,1))-AVERAGE(OFFSET($H$3,0,0,'Données projet'!$E$12+1,1))</f>
        <v>179.14256291235466</v>
      </c>
      <c r="CE54" s="62">
        <f t="shared" si="40"/>
        <v>107.5256983607585</v>
      </c>
      <c r="CF54" s="16">
        <f>IF(ISNA(VLOOKUP(A54,'Données projet'!$A$113:$I$133,3,0)),0,VLOOKUP(A54,'Données projet'!$A$113:$I$133,3,0))</f>
        <v>1</v>
      </c>
      <c r="CG54" s="16">
        <f>IF(ISNA(VLOOKUP(A54,'Données projet'!$A$113:$I$133,4,0)),0,VLOOKUP(A54,'Données projet'!$A$113:$I$133,4,0))</f>
        <v>100.30769230769231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10.66307692307692</v>
      </c>
      <c r="CT54" s="13">
        <f>IF('Données projet'!$A$140&gt;35,CT53+CS54-DB53,IF(A54&lt;'Données projet'!$A$140,$CQ$205^A54,IF(A54='Données projet'!$A$140,'Données projet'!$B$140,CT53+CS54-DB53)))</f>
        <v>246.45538461538467</v>
      </c>
      <c r="CU54" s="18">
        <f>CT54*VLOOKUP('Données projet'!$B$13,Paramètres!$A$1:$I$89,3,0)*VLOOKUP('Données projet'!$B$13,Paramètres!$A$1:$I$89,5,0)</f>
        <v>147.38032000000004</v>
      </c>
      <c r="CV54" s="14">
        <f t="shared" si="41"/>
        <v>37.982644854557613</v>
      </c>
      <c r="CW54" s="22">
        <f t="shared" si="13"/>
        <v>322.84049712168786</v>
      </c>
      <c r="CX54" s="62">
        <f t="shared" si="14"/>
        <v>616.17383045502118</v>
      </c>
      <c r="CY54" s="62">
        <f ca="1">AVERAGE(OFFSET($CX$3,0,0,'Données projet'!$E$13+1,1))-AVERAGE(OFFSET($H$3,0,0,'Données projet'!$E$13+1,1))</f>
        <v>237.03649693529445</v>
      </c>
      <c r="CZ54" s="62">
        <f t="shared" si="42"/>
        <v>191.04289411674887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3.6341900636223355E-3</v>
      </c>
      <c r="DI54" s="24">
        <f t="shared" si="15"/>
        <v>3.6341900636223355E-3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4.2539999999999996</v>
      </c>
      <c r="DO54" s="13">
        <f>IF('Données projet'!$A$166&gt;35,DO53+DN54-DW53,IF(A54&lt;'Données projet'!$A$166,$DL$205^A54,IF(A54='Données projet'!$A$166,'Données projet'!$B$166,DO53+DN54-DW53)))</f>
        <v>164.18399999999994</v>
      </c>
      <c r="DP54" s="18">
        <f>DO54*VLOOKUP('Données projet'!$B$14,Paramètres!$A$1:$I$89,3,0)*VLOOKUP('Données projet'!$B$14,Paramètres!$A$1:$I$89,5,0)</f>
        <v>189.13996799999993</v>
      </c>
      <c r="DQ54" s="14">
        <f t="shared" si="43"/>
        <v>47.349761811395823</v>
      </c>
      <c r="DR54" s="22">
        <f t="shared" si="16"/>
        <v>411.88627942151425</v>
      </c>
      <c r="DS54" s="62">
        <f t="shared" si="17"/>
        <v>705.2196127548475</v>
      </c>
      <c r="DT54" s="62">
        <f ca="1">AVERAGE(OFFSET($DS$3,0,0,'Données projet'!$E$14+1,1))-AVERAGE(OFFSET($H$3,0,0,'Données projet'!$E$14+1,1))</f>
        <v>431.38469096974364</v>
      </c>
      <c r="DU54" s="62">
        <f t="shared" si="44"/>
        <v>295.48627059086647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0.54720597678688632</v>
      </c>
      <c r="EC54" s="23">
        <f>EXP(-LN(2)/2)*EC53+(1-EXP(-LN(2)/2))/(LN(2)/2)*DW54*DZ54*VLOOKUP('Données projet'!$B$14,Paramètres!$A$1:$I$89,3,0)*0.475*44/12</f>
        <v>2.6505698822612473E-3</v>
      </c>
      <c r="ED54" s="24">
        <f t="shared" si="18"/>
        <v>0.54985654666914752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</v>
      </c>
      <c r="EJ54" s="13">
        <f>IF('Données projet'!$A$192&gt;35,EJ53+EI54-ER53,IF(A54&lt;'Données projet'!$A$192,$EG$205^A54,IF(A54='Données projet'!$A$192,'Données projet'!$B$192,EJ53+EI54-ER53)))</f>
        <v>98.999999999999972</v>
      </c>
      <c r="EK54" s="18">
        <f>EJ54*VLOOKUP('Données projet'!$B$15,Paramètres!$A$1:$I$89,3,0)*VLOOKUP('Données projet'!$B$15,Paramètres!$A$1:$I$89,5,0)</f>
        <v>112.74119999999998</v>
      </c>
      <c r="EL54" s="14">
        <f t="shared" si="45"/>
        <v>29.975904544991007</v>
      </c>
      <c r="EM54" s="22">
        <f t="shared" si="19"/>
        <v>248.56562374919261</v>
      </c>
      <c r="EN54" s="62">
        <f t="shared" si="20"/>
        <v>541.89895708252595</v>
      </c>
      <c r="EO54" s="62">
        <f ca="1">AVERAGE(OFFSET($EN$3,0,0,'Données projet'!$E$15+1,1))-AVERAGE(OFFSET($H$3,0,0,'Données projet'!$E$15+1,1))</f>
        <v>220.03635832253951</v>
      </c>
      <c r="EP54" s="62">
        <f t="shared" si="46"/>
        <v>136.30639155882233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12.6</v>
      </c>
      <c r="FE54" s="13">
        <f>IF('Données projet'!$A$218&gt;35,FE53+FD54-FM53,IF(A54&lt;'Données projet'!$A$218,$FB$205^A54,IF(A54='Données projet'!$A$218,'Données projet'!$B$218,FE53+FD54-FM53)))</f>
        <v>272.60000000000019</v>
      </c>
      <c r="FF54" s="18">
        <f>FE54*VLOOKUP('Données projet'!$B$16,Paramètres!$A$1:$I$89,3,0)*VLOOKUP('Données projet'!$B$16,Paramètres!$A$1:$I$89,5,0)</f>
        <v>284.92152000000021</v>
      </c>
      <c r="FG54" s="14">
        <f t="shared" si="47"/>
        <v>68.00601047727443</v>
      </c>
      <c r="FH54" s="22">
        <f t="shared" si="22"/>
        <v>614.68211558125336</v>
      </c>
      <c r="FI54" s="62">
        <f t="shared" si="23"/>
        <v>908.01544891458661</v>
      </c>
      <c r="FJ54" s="62">
        <f ca="1">AVERAGE(OFFSET($FI$3,0,0,'Données projet'!$E$16+1,1))-AVERAGE(OFFSET($H$3,0,0,'Données projet'!$E$16+1,1))</f>
        <v>641.62708445664862</v>
      </c>
      <c r="FK54" s="62">
        <f t="shared" si="48"/>
        <v>379.46845863546929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1.4981711185227375E-2</v>
      </c>
      <c r="FT54" s="24">
        <f t="shared" si="24"/>
        <v>1.4981711185227375E-2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4</v>
      </c>
      <c r="FZ54" s="13">
        <f>IF('Données projet'!$A$244&gt;35,FZ53+FY54-GH53,IF(A54&lt;'Données projet'!$A$244,$FW$205^A54,IF(A54='Données projet'!$A$244,'Données projet'!$B$244,FZ53+FY54-GH53)))</f>
        <v>98.999999999999972</v>
      </c>
      <c r="GA54" s="18">
        <f>FZ54*VLOOKUP('Données projet'!$B$17,Paramètres!$A$1:$I$89,3,0)*VLOOKUP('Données projet'!$B$17,Paramètres!$A$1:$I$89,5,0)</f>
        <v>95.752799999999979</v>
      </c>
      <c r="GB54" s="14">
        <f t="shared" si="49"/>
        <v>25.94761914276048</v>
      </c>
      <c r="GC54" s="22">
        <f t="shared" si="25"/>
        <v>211.96156334030783</v>
      </c>
      <c r="GD54" s="62">
        <f t="shared" si="26"/>
        <v>505.29489667364112</v>
      </c>
      <c r="GE54" s="62">
        <f ca="1">AVERAGE(OFFSET($GD$3,0,0,'Données projet'!$E$17+1,1))-AVERAGE(OFFSET($H$3,0,0,'Données projet'!$E$17+1,1))</f>
        <v>181.39066880931728</v>
      </c>
      <c r="GF54" s="62">
        <f t="shared" si="50"/>
        <v>116.06078566855524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3.4</v>
      </c>
      <c r="GU54" s="13">
        <f>IF('Données projet'!$A$270&gt;35,GU53+GT54-HC53,IF(A54&lt;'Données projet'!$A$270,$GR$205^A54,IF(A54='Données projet'!$A$270,'Données projet'!$B$270,GU53+GT54-HC53)))</f>
        <v>119.39999999999995</v>
      </c>
      <c r="GV54" s="18">
        <f>GU54*VLOOKUP('Données projet'!$B$18,Paramètres!$A$1:$I$89,3,0)*VLOOKUP('Données projet'!$B$18,Paramètres!$A$1:$I$89,5,0)</f>
        <v>104.30783999999997</v>
      </c>
      <c r="GW54" s="14">
        <f t="shared" si="51"/>
        <v>27.985748297693238</v>
      </c>
      <c r="GX54" s="22">
        <f t="shared" si="28"/>
        <v>230.41133295181569</v>
      </c>
      <c r="GY54" s="62">
        <f t="shared" si="29"/>
        <v>523.74466628514904</v>
      </c>
      <c r="GZ54" s="62">
        <f ca="1">AVERAGE(OFFSET($GY$3,0,0,'Données projet'!$E$18+1,1))-AVERAGE(OFFSET($H$3,0,0,'Données projet'!$E$18+1,1))</f>
        <v>152.84277478695606</v>
      </c>
      <c r="HA54" s="62">
        <f t="shared" si="52"/>
        <v>179.22995976651015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9">
        <f t="shared" si="1"/>
        <v>321.55300177245209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175.422</v>
      </c>
      <c r="P55" s="14">
        <f t="shared" si="33"/>
        <v>44.302143412304737</v>
      </c>
      <c r="Q55" s="22">
        <f t="shared" si="53"/>
        <v>382.68621644309741</v>
      </c>
      <c r="R55" s="62">
        <f t="shared" si="0"/>
        <v>676.01954977643072</v>
      </c>
      <c r="S55" s="62">
        <f ca="1">AVERAGE(OFFSET($R$3,0,0,'Données projet'!$E$9+1,1))-AVERAGE(OFFSET($H$3,0,0,'Données projet'!$E$9+1,1))</f>
        <v>383.26814640166805</v>
      </c>
      <c r="T55" s="62">
        <f t="shared" si="34"/>
        <v>233.71216103405249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4</v>
      </c>
      <c r="AI55" s="14">
        <f>IF('Données projet'!$A$62&gt;35,AI54+AH55-AQ54,IF(A55&lt;'Données projet'!$A$62,$AF$205^A55,IF(A55='Données projet'!$A$62,'Données projet'!$B$62,AI54+AH55-AQ54)))</f>
        <v>102.99999999999997</v>
      </c>
      <c r="AJ55" s="14">
        <f>AI55*VLOOKUP('Données projet'!$B$10,Paramètres!$A$1:$I$89,3,0)*VLOOKUP('Données projet'!$B$10,Paramètres!$A$1:$I$89,5,0)</f>
        <v>110.86919999999998</v>
      </c>
      <c r="AK55" s="14">
        <f t="shared" si="35"/>
        <v>29.535680967701595</v>
      </c>
      <c r="AL55" s="22">
        <f t="shared" si="4"/>
        <v>244.53850101874687</v>
      </c>
      <c r="AM55" s="62">
        <f t="shared" si="5"/>
        <v>537.87183435208021</v>
      </c>
      <c r="AN55" s="62">
        <f ca="1">AVERAGE(OFFSET($AM$3,0,0,'Données projet'!$E$10+1,1))-AVERAGE(OFFSET($H$3,0,0,'Données projet'!$E$10+1,1))</f>
        <v>205.99910063756408</v>
      </c>
      <c r="AO55" s="62">
        <f t="shared" si="36"/>
        <v>128.95330275493671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331.56923076923078</v>
      </c>
      <c r="BB55" s="13">
        <f>VLOOKUP(A55,'Données projet'!$A$87:$I$107,9,0)</f>
        <v>11.611538461538466</v>
      </c>
      <c r="BC55" s="13">
        <f t="array" ref="BC55">INDEX(BB:BB,MIN(IF(ISNUMBER(BB55:BB251),ROW(BB55:BB251),"")))</f>
        <v>11.611538461538466</v>
      </c>
      <c r="BD55" s="13">
        <f>IF('Données projet'!$A$88&gt;35,BD54+BC55-BL54,IF(A55&lt;'Données projet'!$A$88,$BA$205^A55,IF(A55='Données projet'!$A$88,'Données projet'!$B$88,BD54+BC55-BL54)))</f>
        <v>331.56923076923084</v>
      </c>
      <c r="BE55" s="14">
        <f>BD55*VLOOKUP('Données projet'!$B$11,Paramètres!$A$1:$I$89,3,0)*VLOOKUP('Données projet'!$B$11,Paramètres!$A$1:$I$89,5,0)</f>
        <v>198.27840000000003</v>
      </c>
      <c r="BF55" s="14">
        <f t="shared" si="37"/>
        <v>49.36562199236586</v>
      </c>
      <c r="BG55" s="22">
        <f t="shared" si="7"/>
        <v>431.31333830337053</v>
      </c>
      <c r="BH55" s="62">
        <f t="shared" si="8"/>
        <v>724.64667163670379</v>
      </c>
      <c r="BI55" s="62">
        <f ca="1">AVERAGE(OFFSET($BH$3,0,0,'Données projet'!$E$11+1,1))-AVERAGE(OFFSET($H$3,0,0,'Données projet'!$E$11+1,1))</f>
        <v>222.20580087523689</v>
      </c>
      <c r="BJ55" s="62">
        <f t="shared" si="38"/>
        <v>232.08940427392253</v>
      </c>
      <c r="BK55" s="16">
        <f>IF(ISNA(VLOOKUP(A55,'Données projet'!$A$87:$I$107,3,0)),0,VLOOKUP(A55,'Données projet'!$A$87:$I$107,3,0))</f>
        <v>6</v>
      </c>
      <c r="BL55" s="16">
        <f>IF(ISNA(VLOOKUP(A55,'Données projet'!$A$87:$I$107,4,0)),0,VLOOKUP(A55,'Données projet'!$A$87:$I$107,4,0))</f>
        <v>61.784615384615378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6.4735372286705202</v>
      </c>
      <c r="BQ55" s="23">
        <f>EXP(-LN(2)/25)*BQ54+(1-EXP(-LN(2)/25))/(LN(2)/25)*Calculateur!BL55*Calculateur!BN55*VLOOKUP('Données projet'!$B$11,Paramètres!$A$1:$I$89,3,0)*0.475*44/12</f>
        <v>8.9308074462064102</v>
      </c>
      <c r="BR55" s="23">
        <f>EXP(-LN(2)/2)*BR54+(1-EXP(-LN(2)/2))/(LN(2)/2)*BL55*BO55*VLOOKUP('Données projet'!$B$11,Paramètres!$A$1:$I$89,3,0)*0.475*44/12</f>
        <v>3.0956840556268768E-3</v>
      </c>
      <c r="BS55" s="24">
        <f t="shared" si="9"/>
        <v>15.407440358932558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10.763461538461542</v>
      </c>
      <c r="BY55" s="13">
        <f>IF('Données projet'!$A$114&gt;35,BY54+BX55-CG54,IF(A55&lt;'Données projet'!$A$114,$BV$205^A55,IF(A55='Données projet'!$A$114,'Données projet'!$B$114,BY54+BX55-CG54)))</f>
        <v>232.29423076923064</v>
      </c>
      <c r="BZ55" s="14">
        <f>BY55*VLOOKUP('Données projet'!$B$12,Paramètres!$A$1:$I$89,3,0)*VLOOKUP('Données projet'!$B$12,Paramètres!$A$1:$I$89,5,0)</f>
        <v>108.71369999999995</v>
      </c>
      <c r="CA55" s="14">
        <f t="shared" si="39"/>
        <v>29.027715101649999</v>
      </c>
      <c r="CB55" s="22">
        <f t="shared" si="10"/>
        <v>239.89963130204032</v>
      </c>
      <c r="CC55" s="62">
        <f t="shared" si="11"/>
        <v>533.23296463537361</v>
      </c>
      <c r="CD55" s="62">
        <f ca="1">AVERAGE(OFFSET($CC$3,0,0,'Données projet'!$E$12+1,1))-AVERAGE(OFFSET($H$3,0,0,'Données projet'!$E$12+1,1))</f>
        <v>179.14256291235466</v>
      </c>
      <c r="CE55" s="62">
        <f t="shared" si="40"/>
        <v>107.5256983607585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10.66307692307692</v>
      </c>
      <c r="CT55" s="13">
        <f>IF('Données projet'!$A$140&gt;35,CT54+CS55-DB54,IF(A55&lt;'Données projet'!$A$140,$CQ$205^A55,IF(A55='Données projet'!$A$140,'Données projet'!$B$140,CT54+CS55-DB54)))</f>
        <v>257.11846153846159</v>
      </c>
      <c r="CU55" s="18">
        <f>CT55*VLOOKUP('Données projet'!$B$13,Paramètres!$A$1:$I$89,3,0)*VLOOKUP('Données projet'!$B$13,Paramètres!$A$1:$I$89,5,0)</f>
        <v>153.75684000000004</v>
      </c>
      <c r="CV55" s="14">
        <f t="shared" si="41"/>
        <v>39.431107959482766</v>
      </c>
      <c r="CW55" s="22">
        <f t="shared" si="13"/>
        <v>336.46900936276592</v>
      </c>
      <c r="CX55" s="62">
        <f t="shared" si="14"/>
        <v>629.80234269609923</v>
      </c>
      <c r="CY55" s="62">
        <f ca="1">AVERAGE(OFFSET($CX$3,0,0,'Données projet'!$E$13+1,1))-AVERAGE(OFFSET($H$3,0,0,'Données projet'!$E$13+1,1))</f>
        <v>237.03649693529445</v>
      </c>
      <c r="CZ55" s="62">
        <f t="shared" si="42"/>
        <v>191.04289411674887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2.5697604381081244E-3</v>
      </c>
      <c r="DI55" s="24">
        <f t="shared" si="15"/>
        <v>2.5697604381081244E-3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4.2539999999999996</v>
      </c>
      <c r="DO55" s="13">
        <f>IF('Données projet'!$A$166&gt;35,DO54+DN55-DW54,IF(A55&lt;'Données projet'!$A$166,$DL$205^A55,IF(A55='Données projet'!$A$166,'Données projet'!$B$166,DO54+DN55-DW54)))</f>
        <v>168.43799999999993</v>
      </c>
      <c r="DP55" s="18">
        <f>DO55*VLOOKUP('Données projet'!$B$14,Paramètres!$A$1:$I$89,3,0)*VLOOKUP('Données projet'!$B$14,Paramètres!$A$1:$I$89,5,0)</f>
        <v>194.04057599999993</v>
      </c>
      <c r="DQ55" s="14">
        <f t="shared" si="43"/>
        <v>48.432169840861931</v>
      </c>
      <c r="DR55" s="22">
        <f t="shared" si="16"/>
        <v>422.30669900616778</v>
      </c>
      <c r="DS55" s="62">
        <f t="shared" si="17"/>
        <v>715.64003233950109</v>
      </c>
      <c r="DT55" s="62">
        <f ca="1">AVERAGE(OFFSET($DS$3,0,0,'Données projet'!$E$14+1,1))-AVERAGE(OFFSET($H$3,0,0,'Données projet'!$E$14+1,1))</f>
        <v>431.38469096974364</v>
      </c>
      <c r="DU55" s="62">
        <f t="shared" si="44"/>
        <v>295.48627059086647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0.53224260057533723</v>
      </c>
      <c r="EC55" s="23">
        <f>EXP(-LN(2)/2)*EC54+(1-EXP(-LN(2)/2))/(LN(2)/2)*DW55*DZ55*VLOOKUP('Données projet'!$B$14,Paramètres!$A$1:$I$89,3,0)*0.475*44/12</f>
        <v>1.8742359377557569E-3</v>
      </c>
      <c r="ED55" s="24">
        <f t="shared" si="18"/>
        <v>0.53411683651309294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</v>
      </c>
      <c r="EJ55" s="13">
        <f>IF('Données projet'!$A$192&gt;35,EJ54+EI55-ER54,IF(A55&lt;'Données projet'!$A$192,$EG$205^A55,IF(A55='Données projet'!$A$192,'Données projet'!$B$192,EJ54+EI55-ER54)))</f>
        <v>102.99999999999997</v>
      </c>
      <c r="EK55" s="18">
        <f>EJ55*VLOOKUP('Données projet'!$B$15,Paramètres!$A$1:$I$89,3,0)*VLOOKUP('Données projet'!$B$15,Paramètres!$A$1:$I$89,5,0)</f>
        <v>117.29639999999998</v>
      </c>
      <c r="EL55" s="14">
        <f t="shared" si="45"/>
        <v>31.043595143371576</v>
      </c>
      <c r="EM55" s="22">
        <f t="shared" si="19"/>
        <v>258.35882487470542</v>
      </c>
      <c r="EN55" s="62">
        <f t="shared" si="20"/>
        <v>551.69215820803879</v>
      </c>
      <c r="EO55" s="62">
        <f ca="1">AVERAGE(OFFSET($EN$3,0,0,'Données projet'!$E$15+1,1))-AVERAGE(OFFSET($H$3,0,0,'Données projet'!$E$15+1,1))</f>
        <v>220.03635832253951</v>
      </c>
      <c r="EP55" s="62">
        <f t="shared" si="46"/>
        <v>136.30639155882233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12.6</v>
      </c>
      <c r="FE55" s="13">
        <f>IF('Données projet'!$A$218&gt;35,FE54+FD55-FM54,IF(A55&lt;'Données projet'!$A$218,$FB$205^A55,IF(A55='Données projet'!$A$218,'Données projet'!$B$218,FE54+FD55-FM54)))</f>
        <v>285.20000000000022</v>
      </c>
      <c r="FF55" s="18">
        <f>FE55*VLOOKUP('Données projet'!$B$16,Paramètres!$A$1:$I$89,3,0)*VLOOKUP('Données projet'!$B$16,Paramètres!$A$1:$I$89,5,0)</f>
        <v>298.09104000000025</v>
      </c>
      <c r="FG55" s="14">
        <f t="shared" si="47"/>
        <v>70.776123577436991</v>
      </c>
      <c r="FH55" s="22">
        <f t="shared" si="22"/>
        <v>642.44364323070306</v>
      </c>
      <c r="FI55" s="62">
        <f t="shared" si="23"/>
        <v>935.77697656403643</v>
      </c>
      <c r="FJ55" s="62">
        <f ca="1">AVERAGE(OFFSET($FI$3,0,0,'Données projet'!$E$16+1,1))-AVERAGE(OFFSET($H$3,0,0,'Données projet'!$E$16+1,1))</f>
        <v>641.62708445664862</v>
      </c>
      <c r="FK55" s="62">
        <f t="shared" si="48"/>
        <v>379.46845863546929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1.0593669572852626E-2</v>
      </c>
      <c r="FT55" s="24">
        <f t="shared" si="24"/>
        <v>1.0593669572852626E-2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4</v>
      </c>
      <c r="FZ55" s="13">
        <f>IF('Données projet'!$A$244&gt;35,FZ54+FY55-GH54,IF(A55&lt;'Données projet'!$A$244,$FW$205^A55,IF(A55='Données projet'!$A$244,'Données projet'!$B$244,FZ54+FY55-GH54)))</f>
        <v>102.99999999999997</v>
      </c>
      <c r="GA55" s="18">
        <f>FZ55*VLOOKUP('Données projet'!$B$17,Paramètres!$A$1:$I$89,3,0)*VLOOKUP('Données projet'!$B$17,Paramètres!$A$1:$I$89,5,0)</f>
        <v>99.621599999999987</v>
      </c>
      <c r="GB55" s="14">
        <f t="shared" si="49"/>
        <v>26.871829085032747</v>
      </c>
      <c r="GC55" s="22">
        <f t="shared" si="25"/>
        <v>220.30938898976532</v>
      </c>
      <c r="GD55" s="62">
        <f t="shared" si="26"/>
        <v>513.64272232309861</v>
      </c>
      <c r="GE55" s="62">
        <f ca="1">AVERAGE(OFFSET($GD$3,0,0,'Données projet'!$E$17+1,1))-AVERAGE(OFFSET($H$3,0,0,'Données projet'!$E$17+1,1))</f>
        <v>181.39066880931728</v>
      </c>
      <c r="GF55" s="62">
        <f t="shared" si="50"/>
        <v>116.06078566855524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3.4</v>
      </c>
      <c r="GU55" s="13">
        <f>IF('Données projet'!$A$270&gt;35,GU54+GT55-HC54,IF(A55&lt;'Données projet'!$A$270,$GR$205^A55,IF(A55='Données projet'!$A$270,'Données projet'!$B$270,GU54+GT55-HC54)))</f>
        <v>122.79999999999995</v>
      </c>
      <c r="GV55" s="18">
        <f>GU55*VLOOKUP('Données projet'!$B$18,Paramètres!$A$1:$I$89,3,0)*VLOOKUP('Données projet'!$B$18,Paramètres!$A$1:$I$89,5,0)</f>
        <v>107.27807999999999</v>
      </c>
      <c r="GW55" s="14">
        <f t="shared" si="51"/>
        <v>28.688746800886673</v>
      </c>
      <c r="GX55" s="22">
        <f t="shared" si="28"/>
        <v>236.80889001154424</v>
      </c>
      <c r="GY55" s="62">
        <f t="shared" si="29"/>
        <v>530.14222334487749</v>
      </c>
      <c r="GZ55" s="62">
        <f ca="1">AVERAGE(OFFSET($GY$3,0,0,'Données projet'!$E$18+1,1))-AVERAGE(OFFSET($H$3,0,0,'Données projet'!$E$18+1,1))</f>
        <v>152.84277478695606</v>
      </c>
      <c r="HA55" s="62">
        <f t="shared" si="52"/>
        <v>179.22995976651015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9">
        <f t="shared" si="1"/>
        <v>322.76596941900885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183.53400000000002</v>
      </c>
      <c r="P56" s="14">
        <f t="shared" si="33"/>
        <v>46.107544136839593</v>
      </c>
      <c r="Q56" s="22">
        <f t="shared" si="53"/>
        <v>399.95902270499568</v>
      </c>
      <c r="R56" s="62">
        <f t="shared" si="0"/>
        <v>693.29235603832899</v>
      </c>
      <c r="S56" s="62">
        <f ca="1">AVERAGE(OFFSET($R$3,0,0,'Données projet'!$E$9+1,1))-AVERAGE(OFFSET($H$3,0,0,'Données projet'!$E$9+1,1))</f>
        <v>383.26814640166805</v>
      </c>
      <c r="T56" s="62">
        <f t="shared" si="34"/>
        <v>233.71216103405249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4</v>
      </c>
      <c r="AI56" s="14">
        <f>IF('Données projet'!$A$62&gt;35,AI55+AH56-AQ55,IF(A56&lt;'Données projet'!$A$62,$AF$205^A56,IF(A56='Données projet'!$A$62,'Données projet'!$B$62,AI55+AH56-AQ55)))</f>
        <v>106.99999999999997</v>
      </c>
      <c r="AJ56" s="14">
        <f>AI56*VLOOKUP('Données projet'!$B$10,Paramètres!$A$1:$I$89,3,0)*VLOOKUP('Données projet'!$B$10,Paramètres!$A$1:$I$89,5,0)</f>
        <v>115.17479999999996</v>
      </c>
      <c r="AK56" s="14">
        <f t="shared" si="35"/>
        <v>30.546926681092497</v>
      </c>
      <c r="AL56" s="22">
        <f t="shared" si="4"/>
        <v>253.79867396956936</v>
      </c>
      <c r="AM56" s="62">
        <f t="shared" si="5"/>
        <v>547.13200730290271</v>
      </c>
      <c r="AN56" s="62">
        <f ca="1">AVERAGE(OFFSET($AM$3,0,0,'Données projet'!$E$10+1,1))-AVERAGE(OFFSET($H$3,0,0,'Données projet'!$E$10+1,1))</f>
        <v>205.99910063756408</v>
      </c>
      <c r="AO56" s="62">
        <f t="shared" si="36"/>
        <v>128.95330275493671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10.464423076923076</v>
      </c>
      <c r="BD56" s="13">
        <f>IF('Données projet'!$A$88&gt;35,BD55+BC56-BL55,IF(A56&lt;'Données projet'!$A$88,$BA$205^A56,IF(A56='Données projet'!$A$88,'Données projet'!$B$88,BD55+BC56-BL55)))</f>
        <v>280.24903846153853</v>
      </c>
      <c r="BE56" s="14">
        <f>BD56*VLOOKUP('Données projet'!$B$11,Paramètres!$A$1:$I$89,3,0)*VLOOKUP('Données projet'!$B$11,Paramètres!$A$1:$I$89,5,0)</f>
        <v>167.58892500000007</v>
      </c>
      <c r="BF56" s="14">
        <f t="shared" si="37"/>
        <v>42.549574883574216</v>
      </c>
      <c r="BG56" s="22">
        <f t="shared" si="7"/>
        <v>365.99122063055853</v>
      </c>
      <c r="BH56" s="62">
        <f t="shared" si="8"/>
        <v>659.32455396389184</v>
      </c>
      <c r="BI56" s="62">
        <f ca="1">AVERAGE(OFFSET($BH$3,0,0,'Données projet'!$E$11+1,1))-AVERAGE(OFFSET($H$3,0,0,'Données projet'!$E$11+1,1))</f>
        <v>222.20580087523689</v>
      </c>
      <c r="BJ56" s="62">
        <f t="shared" si="38"/>
        <v>232.08940427392253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6.3465951120841222</v>
      </c>
      <c r="BQ56" s="23">
        <f>EXP(-LN(2)/25)*BQ55+(1-EXP(-LN(2)/25))/(LN(2)/25)*Calculateur!BL56*Calculateur!BN56*VLOOKUP('Données projet'!$B$11,Paramètres!$A$1:$I$89,3,0)*0.475*44/12</f>
        <v>8.6865940469391436</v>
      </c>
      <c r="BR56" s="23">
        <f>EXP(-LN(2)/2)*BR55+(1-EXP(-LN(2)/2))/(LN(2)/2)*BL56*BO56*VLOOKUP('Données projet'!$B$11,Paramètres!$A$1:$I$89,3,0)*0.475*44/12</f>
        <v>2.188979188144838E-3</v>
      </c>
      <c r="BS56" s="24">
        <f t="shared" si="9"/>
        <v>15.03537813821141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10.763461538461542</v>
      </c>
      <c r="BY56" s="13">
        <f>IF('Données projet'!$A$114&gt;35,BY55+BX56-CG55,IF(A56&lt;'Données projet'!$A$114,$BV$205^A56,IF(A56='Données projet'!$A$114,'Données projet'!$B$114,BY55+BX56-CG55)))</f>
        <v>243.05769230769218</v>
      </c>
      <c r="BZ56" s="14">
        <f>BY56*VLOOKUP('Données projet'!$B$12,Paramètres!$A$1:$I$89,3,0)*VLOOKUP('Données projet'!$B$12,Paramètres!$A$1:$I$89,5,0)</f>
        <v>113.75099999999993</v>
      </c>
      <c r="CA56" s="14">
        <f t="shared" si="39"/>
        <v>30.213017355661915</v>
      </c>
      <c r="CB56" s="22">
        <f t="shared" si="10"/>
        <v>250.73733022777768</v>
      </c>
      <c r="CC56" s="62">
        <f t="shared" si="11"/>
        <v>544.07066356111102</v>
      </c>
      <c r="CD56" s="62">
        <f ca="1">AVERAGE(OFFSET($CC$3,0,0,'Données projet'!$E$12+1,1))-AVERAGE(OFFSET($H$3,0,0,'Données projet'!$E$12+1,1))</f>
        <v>179.14256291235466</v>
      </c>
      <c r="CE56" s="62">
        <f t="shared" si="40"/>
        <v>107.5256983607585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10.66307692307692</v>
      </c>
      <c r="CT56" s="13">
        <f>IF('Données projet'!$A$140&gt;35,CT55+CS56-DB55,IF(A56&lt;'Données projet'!$A$140,$CQ$205^A56,IF(A56='Données projet'!$A$140,'Données projet'!$B$140,CT55+CS56-DB55)))</f>
        <v>267.7815384615385</v>
      </c>
      <c r="CU56" s="18">
        <f>CT56*VLOOKUP('Données projet'!$B$13,Paramètres!$A$1:$I$89,3,0)*VLOOKUP('Données projet'!$B$13,Paramètres!$A$1:$I$89,5,0)</f>
        <v>160.13336000000004</v>
      </c>
      <c r="CV56" s="14">
        <f t="shared" si="41"/>
        <v>40.872593668242253</v>
      </c>
      <c r="CW56" s="22">
        <f t="shared" si="13"/>
        <v>350.08536930552197</v>
      </c>
      <c r="CX56" s="62">
        <f t="shared" si="14"/>
        <v>643.41870263885528</v>
      </c>
      <c r="CY56" s="62">
        <f ca="1">AVERAGE(OFFSET($CX$3,0,0,'Données projet'!$E$13+1,1))-AVERAGE(OFFSET($H$3,0,0,'Données projet'!$E$13+1,1))</f>
        <v>237.03649693529445</v>
      </c>
      <c r="CZ56" s="62">
        <f t="shared" si="42"/>
        <v>191.04289411674887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1.8170950318111682E-3</v>
      </c>
      <c r="DI56" s="24">
        <f t="shared" si="15"/>
        <v>1.8170950318111682E-3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4.2539999999999996</v>
      </c>
      <c r="DO56" s="13">
        <f>IF('Données projet'!$A$166&gt;35,DO55+DN56-DW55,IF(A56&lt;'Données projet'!$A$166,$DL$205^A56,IF(A56='Données projet'!$A$166,'Données projet'!$B$166,DO55+DN56-DW55)))</f>
        <v>172.69199999999992</v>
      </c>
      <c r="DP56" s="18">
        <f>DO56*VLOOKUP('Données projet'!$B$14,Paramètres!$A$1:$I$89,3,0)*VLOOKUP('Données projet'!$B$14,Paramètres!$A$1:$I$89,5,0)</f>
        <v>198.94118399999991</v>
      </c>
      <c r="DQ56" s="14">
        <f t="shared" si="43"/>
        <v>49.511400176963207</v>
      </c>
      <c r="DR56" s="22">
        <f t="shared" si="16"/>
        <v>432.72158410821072</v>
      </c>
      <c r="DS56" s="62">
        <f t="shared" si="17"/>
        <v>726.05491744154403</v>
      </c>
      <c r="DT56" s="62">
        <f ca="1">AVERAGE(OFFSET($DS$3,0,0,'Données projet'!$E$14+1,1))-AVERAGE(OFFSET($H$3,0,0,'Données projet'!$E$14+1,1))</f>
        <v>431.38469096974364</v>
      </c>
      <c r="DU56" s="62">
        <f t="shared" si="44"/>
        <v>295.48627059086647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0.51768839867318273</v>
      </c>
      <c r="EC56" s="23">
        <f>EXP(-LN(2)/2)*EC55+(1-EXP(-LN(2)/2))/(LN(2)/2)*DW56*DZ56*VLOOKUP('Données projet'!$B$14,Paramètres!$A$1:$I$89,3,0)*0.475*44/12</f>
        <v>1.3252849411306237E-3</v>
      </c>
      <c r="ED56" s="24">
        <f t="shared" si="18"/>
        <v>0.51901368361431333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</v>
      </c>
      <c r="EJ56" s="13">
        <f>IF('Données projet'!$A$192&gt;35,EJ55+EI56-ER55,IF(A56&lt;'Données projet'!$A$192,$EG$205^A56,IF(A56='Données projet'!$A$192,'Données projet'!$B$192,EJ55+EI56-ER55)))</f>
        <v>106.99999999999997</v>
      </c>
      <c r="EK56" s="18">
        <f>EJ56*VLOOKUP('Données projet'!$B$15,Paramètres!$A$1:$I$89,3,0)*VLOOKUP('Données projet'!$B$15,Paramètres!$A$1:$I$89,5,0)</f>
        <v>121.85159999999996</v>
      </c>
      <c r="EL56" s="14">
        <f t="shared" si="45"/>
        <v>32.106468978964038</v>
      </c>
      <c r="EM56" s="22">
        <f t="shared" si="19"/>
        <v>268.14363680502896</v>
      </c>
      <c r="EN56" s="62">
        <f t="shared" si="20"/>
        <v>561.47697013836228</v>
      </c>
      <c r="EO56" s="62">
        <f ca="1">AVERAGE(OFFSET($EN$3,0,0,'Données projet'!$E$15+1,1))-AVERAGE(OFFSET($H$3,0,0,'Données projet'!$E$15+1,1))</f>
        <v>220.03635832253951</v>
      </c>
      <c r="EP56" s="62">
        <f t="shared" si="46"/>
        <v>136.30639155882233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12.6</v>
      </c>
      <c r="FE56" s="13">
        <f>IF('Données projet'!$A$218&gt;35,FE55+FD56-FM55,IF(A56&lt;'Données projet'!$A$218,$FB$205^A56,IF(A56='Données projet'!$A$218,'Données projet'!$B$218,FE55+FD56-FM55)))</f>
        <v>297.80000000000024</v>
      </c>
      <c r="FF56" s="18">
        <f>FE56*VLOOKUP('Données projet'!$B$16,Paramètres!$A$1:$I$89,3,0)*VLOOKUP('Données projet'!$B$16,Paramètres!$A$1:$I$89,5,0)</f>
        <v>311.26056000000028</v>
      </c>
      <c r="FG56" s="14">
        <f t="shared" si="47"/>
        <v>73.532023063579274</v>
      </c>
      <c r="FH56" s="22">
        <f t="shared" si="22"/>
        <v>670.18041550240105</v>
      </c>
      <c r="FI56" s="62">
        <f t="shared" si="23"/>
        <v>963.5137488357343</v>
      </c>
      <c r="FJ56" s="62">
        <f ca="1">AVERAGE(OFFSET($FI$3,0,0,'Données projet'!$E$16+1,1))-AVERAGE(OFFSET($H$3,0,0,'Données projet'!$E$16+1,1))</f>
        <v>641.62708445664862</v>
      </c>
      <c r="FK56" s="62">
        <f t="shared" si="48"/>
        <v>379.46845863546929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7.4908555926136893E-3</v>
      </c>
      <c r="FT56" s="24">
        <f t="shared" si="24"/>
        <v>7.4908555926136893E-3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4</v>
      </c>
      <c r="FZ56" s="13">
        <f>IF('Données projet'!$A$244&gt;35,FZ55+FY56-GH55,IF(A56&lt;'Données projet'!$A$244,$FW$205^A56,IF(A56='Données projet'!$A$244,'Données projet'!$B$244,FZ55+FY56-GH55)))</f>
        <v>106.99999999999997</v>
      </c>
      <c r="GA56" s="18">
        <f>FZ56*VLOOKUP('Données projet'!$B$17,Paramètres!$A$1:$I$89,3,0)*VLOOKUP('Données projet'!$B$17,Paramètres!$A$1:$I$89,5,0)</f>
        <v>103.49039999999997</v>
      </c>
      <c r="GB56" s="14">
        <f t="shared" si="49"/>
        <v>27.791869560921153</v>
      </c>
      <c r="GC56" s="22">
        <f t="shared" si="25"/>
        <v>228.64995281860425</v>
      </c>
      <c r="GD56" s="62">
        <f t="shared" si="26"/>
        <v>521.98328615193759</v>
      </c>
      <c r="GE56" s="62">
        <f ca="1">AVERAGE(OFFSET($GD$3,0,0,'Données projet'!$E$17+1,1))-AVERAGE(OFFSET($H$3,0,0,'Données projet'!$E$17+1,1))</f>
        <v>181.39066880931728</v>
      </c>
      <c r="GF56" s="62">
        <f t="shared" si="50"/>
        <v>116.06078566855524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3.4</v>
      </c>
      <c r="GU56" s="13">
        <f>IF('Données projet'!$A$270&gt;35,GU55+GT56-HC55,IF(A56&lt;'Données projet'!$A$270,$GR$205^A56,IF(A56='Données projet'!$A$270,'Données projet'!$B$270,GU55+GT56-HC55)))</f>
        <v>126.19999999999996</v>
      </c>
      <c r="GV56" s="18">
        <f>GU56*VLOOKUP('Données projet'!$B$18,Paramètres!$A$1:$I$89,3,0)*VLOOKUP('Données projet'!$B$18,Paramètres!$A$1:$I$89,5,0)</f>
        <v>110.24831999999998</v>
      </c>
      <c r="GW56" s="14">
        <f t="shared" si="51"/>
        <v>29.389483021072536</v>
      </c>
      <c r="GX56" s="22">
        <f t="shared" si="28"/>
        <v>243.20250692836794</v>
      </c>
      <c r="GY56" s="62">
        <f t="shared" si="29"/>
        <v>536.5358402617012</v>
      </c>
      <c r="GZ56" s="62">
        <f ca="1">AVERAGE(OFFSET($GY$3,0,0,'Données projet'!$E$18+1,1))-AVERAGE(OFFSET($H$3,0,0,'Données projet'!$E$18+1,1))</f>
        <v>152.84277478695606</v>
      </c>
      <c r="HA56" s="62">
        <f t="shared" si="52"/>
        <v>179.22995976651015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9">
        <f t="shared" si="1"/>
        <v>323.97836221087948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191.64600000000002</v>
      </c>
      <c r="P57" s="14">
        <f t="shared" si="33"/>
        <v>47.903677189291635</v>
      </c>
      <c r="Q57" s="22">
        <f t="shared" si="53"/>
        <v>417.21568777134962</v>
      </c>
      <c r="R57" s="62">
        <f t="shared" si="0"/>
        <v>710.54902110468288</v>
      </c>
      <c r="S57" s="62">
        <f ca="1">AVERAGE(OFFSET($R$3,0,0,'Données projet'!$E$9+1,1))-AVERAGE(OFFSET($H$3,0,0,'Données projet'!$E$9+1,1))</f>
        <v>383.26814640166805</v>
      </c>
      <c r="T57" s="62">
        <f t="shared" si="34"/>
        <v>233.71216103405249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4</v>
      </c>
      <c r="AI57" s="14">
        <f>IF('Données projet'!$A$62&gt;35,AI56+AH57-AQ56,IF(A57&lt;'Données projet'!$A$62,$AF$205^A57,IF(A57='Données projet'!$A$62,'Données projet'!$B$62,AI56+AH57-AQ56)))</f>
        <v>110.99999999999997</v>
      </c>
      <c r="AJ57" s="14">
        <f>AI57*VLOOKUP('Données projet'!$B$10,Paramètres!$A$1:$I$89,3,0)*VLOOKUP('Données projet'!$B$10,Paramètres!$A$1:$I$89,5,0)</f>
        <v>119.48039999999996</v>
      </c>
      <c r="AK57" s="14">
        <f t="shared" si="35"/>
        <v>31.553780537454912</v>
      </c>
      <c r="AL57" s="22">
        <f t="shared" si="4"/>
        <v>263.05119776940052</v>
      </c>
      <c r="AM57" s="62">
        <f t="shared" si="5"/>
        <v>556.38453110273383</v>
      </c>
      <c r="AN57" s="62">
        <f ca="1">AVERAGE(OFFSET($AM$3,0,0,'Données projet'!$E$10+1,1))-AVERAGE(OFFSET($H$3,0,0,'Données projet'!$E$10+1,1))</f>
        <v>205.99910063756408</v>
      </c>
      <c r="AO57" s="62">
        <f t="shared" si="36"/>
        <v>128.95330275493671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10.464423076923076</v>
      </c>
      <c r="BD57" s="13">
        <f>IF('Données projet'!$A$88&gt;35,BD56+BC57-BL56,IF(A57&lt;'Données projet'!$A$88,$BA$205^A57,IF(A57='Données projet'!$A$88,'Données projet'!$B$88,BD56+BC57-BL56)))</f>
        <v>290.71346153846162</v>
      </c>
      <c r="BE57" s="14">
        <f>BD57*VLOOKUP('Données projet'!$B$11,Paramètres!$A$1:$I$89,3,0)*VLOOKUP('Données projet'!$B$11,Paramètres!$A$1:$I$89,5,0)</f>
        <v>173.84665000000007</v>
      </c>
      <c r="BF57" s="14">
        <f t="shared" si="37"/>
        <v>43.9504201164318</v>
      </c>
      <c r="BG57" s="22">
        <f t="shared" si="7"/>
        <v>379.3298971194522</v>
      </c>
      <c r="BH57" s="62">
        <f t="shared" si="8"/>
        <v>672.66323045278546</v>
      </c>
      <c r="BI57" s="62">
        <f ca="1">AVERAGE(OFFSET($BH$3,0,0,'Données projet'!$E$11+1,1))-AVERAGE(OFFSET($H$3,0,0,'Données projet'!$E$11+1,1))</f>
        <v>222.20580087523689</v>
      </c>
      <c r="BJ57" s="62">
        <f t="shared" si="38"/>
        <v>232.08940427392253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6.222142252976937</v>
      </c>
      <c r="BQ57" s="23">
        <f>EXP(-LN(2)/25)*BQ56+(1-EXP(-LN(2)/25))/(LN(2)/25)*Calculateur!BL57*Calculateur!BN57*VLOOKUP('Données projet'!$B$11,Paramètres!$A$1:$I$89,3,0)*0.475*44/12</f>
        <v>8.4490586759174651</v>
      </c>
      <c r="BR57" s="23">
        <f>EXP(-LN(2)/2)*BR56+(1-EXP(-LN(2)/2))/(LN(2)/2)*BL57*BO57*VLOOKUP('Données projet'!$B$11,Paramètres!$A$1:$I$89,3,0)*0.475*44/12</f>
        <v>1.5478420278134384E-3</v>
      </c>
      <c r="BS57" s="24">
        <f t="shared" si="9"/>
        <v>14.672748770922215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10.763461538461542</v>
      </c>
      <c r="BY57" s="13">
        <f>IF('Données projet'!$A$114&gt;35,BY56+BX57-CG56,IF(A57&lt;'Données projet'!$A$114,$BV$205^A57,IF(A57='Données projet'!$A$114,'Données projet'!$B$114,BY56+BX57-CG56)))</f>
        <v>253.82115384615372</v>
      </c>
      <c r="BZ57" s="14">
        <f>BY57*VLOOKUP('Données projet'!$B$12,Paramètres!$A$1:$I$89,3,0)*VLOOKUP('Données projet'!$B$12,Paramètres!$A$1:$I$89,5,0)</f>
        <v>118.78829999999994</v>
      </c>
      <c r="CA57" s="14">
        <f t="shared" si="39"/>
        <v>31.392223457890381</v>
      </c>
      <c r="CB57" s="22">
        <f t="shared" si="10"/>
        <v>261.56441168915899</v>
      </c>
      <c r="CC57" s="62">
        <f t="shared" si="11"/>
        <v>554.89774502249224</v>
      </c>
      <c r="CD57" s="62">
        <f ca="1">AVERAGE(OFFSET($CC$3,0,0,'Données projet'!$E$12+1,1))-AVERAGE(OFFSET($H$3,0,0,'Données projet'!$E$12+1,1))</f>
        <v>179.14256291235466</v>
      </c>
      <c r="CE57" s="62">
        <f t="shared" si="40"/>
        <v>107.5256983607585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10.66307692307692</v>
      </c>
      <c r="CT57" s="13">
        <f>IF('Données projet'!$A$140&gt;35,CT56+CS57-DB56,IF(A57&lt;'Données projet'!$A$140,$CQ$205^A57,IF(A57='Données projet'!$A$140,'Données projet'!$B$140,CT56+CS57-DB56)))</f>
        <v>278.44461538461542</v>
      </c>
      <c r="CU57" s="18">
        <f>CT57*VLOOKUP('Données projet'!$B$13,Paramètres!$A$1:$I$89,3,0)*VLOOKUP('Données projet'!$B$13,Paramètres!$A$1:$I$89,5,0)</f>
        <v>166.50988000000001</v>
      </c>
      <c r="CV57" s="14">
        <f t="shared" si="41"/>
        <v>42.307411610776938</v>
      </c>
      <c r="CW57" s="22">
        <f t="shared" si="13"/>
        <v>363.69011622210314</v>
      </c>
      <c r="CX57" s="62">
        <f t="shared" si="14"/>
        <v>657.0234495554364</v>
      </c>
      <c r="CY57" s="62">
        <f ca="1">AVERAGE(OFFSET($CX$3,0,0,'Données projet'!$E$13+1,1))-AVERAGE(OFFSET($H$3,0,0,'Données projet'!$E$13+1,1))</f>
        <v>237.03649693529445</v>
      </c>
      <c r="CZ57" s="62">
        <f t="shared" si="42"/>
        <v>191.04289411674887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1.2848802190540624E-3</v>
      </c>
      <c r="DI57" s="24">
        <f t="shared" si="15"/>
        <v>1.2848802190540624E-3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4.2539999999999996</v>
      </c>
      <c r="DO57" s="13">
        <f>IF('Données projet'!$A$166&gt;35,DO56+DN57-DW56,IF(A57&lt;'Données projet'!$A$166,$DL$205^A57,IF(A57='Données projet'!$A$166,'Données projet'!$B$166,DO56+DN57-DW56)))</f>
        <v>176.94599999999991</v>
      </c>
      <c r="DP57" s="18">
        <f>DO57*VLOOKUP('Données projet'!$B$14,Paramètres!$A$1:$I$89,3,0)*VLOOKUP('Données projet'!$B$14,Paramètres!$A$1:$I$89,5,0)</f>
        <v>203.84179199999988</v>
      </c>
      <c r="DQ57" s="14">
        <f t="shared" si="43"/>
        <v>50.587540101449697</v>
      </c>
      <c r="DR57" s="22">
        <f t="shared" si="16"/>
        <v>443.13108674335803</v>
      </c>
      <c r="DS57" s="62">
        <f t="shared" si="17"/>
        <v>736.46442007669134</v>
      </c>
      <c r="DT57" s="62">
        <f ca="1">AVERAGE(OFFSET($DS$3,0,0,'Données projet'!$E$14+1,1))-AVERAGE(OFFSET($H$3,0,0,'Données projet'!$E$14+1,1))</f>
        <v>431.38469096974364</v>
      </c>
      <c r="DU57" s="62">
        <f t="shared" si="44"/>
        <v>295.48627059086647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0.5035321821874148</v>
      </c>
      <c r="EC57" s="23">
        <f>EXP(-LN(2)/2)*EC56+(1-EXP(-LN(2)/2))/(LN(2)/2)*DW57*DZ57*VLOOKUP('Données projet'!$B$14,Paramètres!$A$1:$I$89,3,0)*0.475*44/12</f>
        <v>9.3711796887787843E-4</v>
      </c>
      <c r="ED57" s="24">
        <f t="shared" si="18"/>
        <v>0.50446930015629265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</v>
      </c>
      <c r="EJ57" s="13">
        <f>IF('Données projet'!$A$192&gt;35,EJ56+EI57-ER56,IF(A57&lt;'Données projet'!$A$192,$EG$205^A57,IF(A57='Données projet'!$A$192,'Données projet'!$B$192,EJ56+EI57-ER56)))</f>
        <v>110.99999999999997</v>
      </c>
      <c r="EK57" s="18">
        <f>EJ57*VLOOKUP('Données projet'!$B$15,Paramètres!$A$1:$I$89,3,0)*VLOOKUP('Données projet'!$B$15,Paramètres!$A$1:$I$89,5,0)</f>
        <v>126.40679999999996</v>
      </c>
      <c r="EL57" s="14">
        <f t="shared" si="45"/>
        <v>33.16472673573081</v>
      </c>
      <c r="EM57" s="22">
        <f t="shared" si="19"/>
        <v>277.92040906473107</v>
      </c>
      <c r="EN57" s="62">
        <f t="shared" si="20"/>
        <v>571.25374239806433</v>
      </c>
      <c r="EO57" s="62">
        <f ca="1">AVERAGE(OFFSET($EN$3,0,0,'Données projet'!$E$15+1,1))-AVERAGE(OFFSET($H$3,0,0,'Données projet'!$E$15+1,1))</f>
        <v>220.03635832253951</v>
      </c>
      <c r="EP57" s="62">
        <f t="shared" si="46"/>
        <v>136.30639155882233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12.6</v>
      </c>
      <c r="FE57" s="13">
        <f>IF('Données projet'!$A$218&gt;35,FE56+FD57-FM56,IF(A57&lt;'Données projet'!$A$218,$FB$205^A57,IF(A57='Données projet'!$A$218,'Données projet'!$B$218,FE56+FD57-FM56)))</f>
        <v>310.40000000000026</v>
      </c>
      <c r="FF57" s="18">
        <f>FE57*VLOOKUP('Données projet'!$B$16,Paramètres!$A$1:$I$89,3,0)*VLOOKUP('Données projet'!$B$16,Paramètres!$A$1:$I$89,5,0)</f>
        <v>324.43008000000032</v>
      </c>
      <c r="FG57" s="14">
        <f t="shared" si="47"/>
        <v>76.274379075863521</v>
      </c>
      <c r="FH57" s="22">
        <f t="shared" si="22"/>
        <v>697.89359955712951</v>
      </c>
      <c r="FI57" s="62">
        <f t="shared" si="23"/>
        <v>991.22693289046288</v>
      </c>
      <c r="FJ57" s="62">
        <f ca="1">AVERAGE(OFFSET($FI$3,0,0,'Données projet'!$E$16+1,1))-AVERAGE(OFFSET($H$3,0,0,'Données projet'!$E$16+1,1))</f>
        <v>641.62708445664862</v>
      </c>
      <c r="FK57" s="62">
        <f t="shared" si="48"/>
        <v>379.46845863546929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5.2968347864263141E-3</v>
      </c>
      <c r="FT57" s="24">
        <f t="shared" si="24"/>
        <v>5.2968347864263141E-3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4</v>
      </c>
      <c r="FZ57" s="13">
        <f>IF('Données projet'!$A$244&gt;35,FZ56+FY57-GH56,IF(A57&lt;'Données projet'!$A$244,$FW$205^A57,IF(A57='Données projet'!$A$244,'Données projet'!$B$244,FZ56+FY57-GH56)))</f>
        <v>110.99999999999997</v>
      </c>
      <c r="GA57" s="18">
        <f>FZ57*VLOOKUP('Données projet'!$B$17,Paramètres!$A$1:$I$89,3,0)*VLOOKUP('Données projet'!$B$17,Paramètres!$A$1:$I$89,5,0)</f>
        <v>107.35919999999997</v>
      </c>
      <c r="GB57" s="14">
        <f t="shared" si="49"/>
        <v>28.707914285651373</v>
      </c>
      <c r="GC57" s="22">
        <f t="shared" si="25"/>
        <v>236.98355738084277</v>
      </c>
      <c r="GD57" s="62">
        <f t="shared" si="26"/>
        <v>530.31689071417611</v>
      </c>
      <c r="GE57" s="62">
        <f ca="1">AVERAGE(OFFSET($GD$3,0,0,'Données projet'!$E$17+1,1))-AVERAGE(OFFSET($H$3,0,0,'Données projet'!$E$17+1,1))</f>
        <v>181.39066880931728</v>
      </c>
      <c r="GF57" s="62">
        <f t="shared" si="50"/>
        <v>116.06078566855524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3.4</v>
      </c>
      <c r="GU57" s="13">
        <f>IF('Données projet'!$A$270&gt;35,GU56+GT57-HC56,IF(A57&lt;'Données projet'!$A$270,$GR$205^A57,IF(A57='Données projet'!$A$270,'Données projet'!$B$270,GU56+GT57-HC56)))</f>
        <v>129.59999999999997</v>
      </c>
      <c r="GV57" s="18">
        <f>GU57*VLOOKUP('Données projet'!$B$18,Paramètres!$A$1:$I$89,3,0)*VLOOKUP('Données projet'!$B$18,Paramètres!$A$1:$I$89,5,0)</f>
        <v>113.21856</v>
      </c>
      <c r="GW57" s="14">
        <f t="shared" si="51"/>
        <v>30.088024911766389</v>
      </c>
      <c r="GX57" s="22">
        <f t="shared" si="28"/>
        <v>249.59230205465974</v>
      </c>
      <c r="GY57" s="62">
        <f t="shared" si="29"/>
        <v>542.925635387993</v>
      </c>
      <c r="GZ57" s="62">
        <f ca="1">AVERAGE(OFFSET($GY$3,0,0,'Données projet'!$E$18+1,1))-AVERAGE(OFFSET($H$3,0,0,'Données projet'!$E$18+1,1))</f>
        <v>152.84277478695606</v>
      </c>
      <c r="HA57" s="62">
        <f t="shared" si="52"/>
        <v>179.22995976651015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9">
        <f t="shared" si="1"/>
        <v>325.19019202122132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199.75800000000004</v>
      </c>
      <c r="P58" s="14">
        <f t="shared" si="33"/>
        <v>49.690979702964015</v>
      </c>
      <c r="Q58" s="22">
        <f t="shared" si="53"/>
        <v>434.45697298266236</v>
      </c>
      <c r="R58" s="62">
        <f t="shared" si="0"/>
        <v>727.79030631599562</v>
      </c>
      <c r="S58" s="62">
        <f ca="1">AVERAGE(OFFSET($R$3,0,0,'Données projet'!$E$9+1,1))-AVERAGE(OFFSET($H$3,0,0,'Données projet'!$E$9+1,1))</f>
        <v>383.26814640166805</v>
      </c>
      <c r="T58" s="62">
        <f t="shared" si="34"/>
        <v>233.71216103405249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115</v>
      </c>
      <c r="AG58" s="13">
        <f>VLOOKUP(A58,'Données projet'!$A$61:$I$81,9,0)</f>
        <v>4</v>
      </c>
      <c r="AH58" s="13">
        <f t="array" ref="AH58">INDEX(AG:AG,MIN(IF(ISNUMBER(AG58:AG254),ROW(AG58:AG254),"")))</f>
        <v>4</v>
      </c>
      <c r="AI58" s="14">
        <f>IF('Données projet'!$A$62&gt;35,AI57+AH58-AQ57,IF(A58&lt;'Données projet'!$A$62,$AF$205^A58,IF(A58='Données projet'!$A$62,'Données projet'!$B$62,AI57+AH58-AQ57)))</f>
        <v>114.99999999999997</v>
      </c>
      <c r="AJ58" s="14">
        <f>AI58*VLOOKUP('Données projet'!$B$10,Paramètres!$A$1:$I$89,3,0)*VLOOKUP('Données projet'!$B$10,Paramètres!$A$1:$I$89,5,0)</f>
        <v>123.78599999999997</v>
      </c>
      <c r="AK58" s="14">
        <f t="shared" si="35"/>
        <v>32.556418931566412</v>
      </c>
      <c r="AL58" s="22">
        <f t="shared" si="4"/>
        <v>272.29637963914479</v>
      </c>
      <c r="AM58" s="62">
        <f t="shared" si="5"/>
        <v>565.62971297247805</v>
      </c>
      <c r="AN58" s="62">
        <f ca="1">AVERAGE(OFFSET($AM$3,0,0,'Données projet'!$E$10+1,1))-AVERAGE(OFFSET($H$3,0,0,'Données projet'!$E$10+1,1))</f>
        <v>205.99910063756408</v>
      </c>
      <c r="AO58" s="62">
        <f t="shared" si="36"/>
        <v>128.95330275493671</v>
      </c>
      <c r="AP58" s="16">
        <f>IF(ISNA(VLOOKUP(A58,'Données projet'!$A$61:$I$81,3,0)),0,VLOOKUP(A58,'Données projet'!$A$61:$I$81,3,0))</f>
        <v>3</v>
      </c>
      <c r="AQ58" s="16">
        <f>IF(ISNA(VLOOKUP(A58,'Données projet'!$A$61:$I$81,4,0)),0,VLOOKUP(A58,'Données projet'!$A$61:$I$81,4,0))</f>
        <v>19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10.464423076923076</v>
      </c>
      <c r="BD58" s="13">
        <f>IF('Données projet'!$A$88&gt;35,BD57+BC58-BL57,IF(A58&lt;'Données projet'!$A$88,$BA$205^A58,IF(A58='Données projet'!$A$88,'Données projet'!$B$88,BD57+BC58-BL57)))</f>
        <v>301.1778846153847</v>
      </c>
      <c r="BE58" s="14">
        <f>BD58*VLOOKUP('Données projet'!$B$11,Paramètres!$A$1:$I$89,3,0)*VLOOKUP('Données projet'!$B$11,Paramètres!$A$1:$I$89,5,0)</f>
        <v>180.10437500000006</v>
      </c>
      <c r="BF58" s="14">
        <f t="shared" si="37"/>
        <v>45.345406897560061</v>
      </c>
      <c r="BG58" s="22">
        <f t="shared" si="7"/>
        <v>392.65837013825052</v>
      </c>
      <c r="BH58" s="62">
        <f t="shared" si="8"/>
        <v>685.99170347158383</v>
      </c>
      <c r="BI58" s="62">
        <f ca="1">AVERAGE(OFFSET($BH$3,0,0,'Données projet'!$E$11+1,1))-AVERAGE(OFFSET($H$3,0,0,'Données projet'!$E$11+1,1))</f>
        <v>222.20580087523689</v>
      </c>
      <c r="BJ58" s="62">
        <f t="shared" si="38"/>
        <v>232.08940427392253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6.1001298385280958</v>
      </c>
      <c r="BQ58" s="23">
        <f>EXP(-LN(2)/25)*BQ57+(1-EXP(-LN(2)/25))/(LN(2)/25)*Calculateur!BL58*Calculateur!BN58*VLOOKUP('Données projet'!$B$11,Paramètres!$A$1:$I$89,3,0)*0.475*44/12</f>
        <v>8.218018722107816</v>
      </c>
      <c r="BR58" s="23">
        <f>EXP(-LN(2)/2)*BR57+(1-EXP(-LN(2)/2))/(LN(2)/2)*BL58*BO58*VLOOKUP('Données projet'!$B$11,Paramètres!$A$1:$I$89,3,0)*0.475*44/12</f>
        <v>1.094489594072419E-3</v>
      </c>
      <c r="BS58" s="24">
        <f t="shared" si="9"/>
        <v>14.319243050229984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10.763461538461542</v>
      </c>
      <c r="BY58" s="13">
        <f>IF('Données projet'!$A$114&gt;35,BY57+BX58-CG57,IF(A58&lt;'Données projet'!$A$114,$BV$205^A58,IF(A58='Données projet'!$A$114,'Données projet'!$B$114,BY57+BX58-CG57)))</f>
        <v>264.58461538461529</v>
      </c>
      <c r="BZ58" s="14">
        <f>BY58*VLOOKUP('Données projet'!$B$12,Paramètres!$A$1:$I$89,3,0)*VLOOKUP('Données projet'!$B$12,Paramètres!$A$1:$I$89,5,0)</f>
        <v>123.82559999999997</v>
      </c>
      <c r="CA58" s="14">
        <f t="shared" si="39"/>
        <v>32.565621475657444</v>
      </c>
      <c r="CB58" s="22">
        <f t="shared" si="10"/>
        <v>272.38137740343666</v>
      </c>
      <c r="CC58" s="62">
        <f t="shared" si="11"/>
        <v>565.71471073677003</v>
      </c>
      <c r="CD58" s="62">
        <f ca="1">AVERAGE(OFFSET($CC$3,0,0,'Données projet'!$E$12+1,1))-AVERAGE(OFFSET($H$3,0,0,'Données projet'!$E$12+1,1))</f>
        <v>179.14256291235466</v>
      </c>
      <c r="CE58" s="62">
        <f t="shared" si="40"/>
        <v>107.5256983607585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10.66307692307692</v>
      </c>
      <c r="CT58" s="13">
        <f>IF('Données projet'!$A$140&gt;35,CT57+CS58-DB57,IF(A58&lt;'Données projet'!$A$140,$CQ$205^A58,IF(A58='Données projet'!$A$140,'Données projet'!$B$140,CT57+CS58-DB57)))</f>
        <v>289.10769230769233</v>
      </c>
      <c r="CU58" s="18">
        <f>CT58*VLOOKUP('Données projet'!$B$13,Paramètres!$A$1:$I$89,3,0)*VLOOKUP('Données projet'!$B$13,Paramètres!$A$1:$I$89,5,0)</f>
        <v>172.88640000000001</v>
      </c>
      <c r="CV58" s="14">
        <f t="shared" si="41"/>
        <v>43.735846359314351</v>
      </c>
      <c r="CW58" s="22">
        <f t="shared" si="13"/>
        <v>377.28374574247255</v>
      </c>
      <c r="CX58" s="62">
        <f t="shared" si="14"/>
        <v>670.6170790758058</v>
      </c>
      <c r="CY58" s="62">
        <f ca="1">AVERAGE(OFFSET($CX$3,0,0,'Données projet'!$E$13+1,1))-AVERAGE(OFFSET($H$3,0,0,'Données projet'!$E$13+1,1))</f>
        <v>237.03649693529445</v>
      </c>
      <c r="CZ58" s="62">
        <f t="shared" si="42"/>
        <v>191.04289411674887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9.085475159055842E-4</v>
      </c>
      <c r="DI58" s="24">
        <f t="shared" si="15"/>
        <v>9.085475159055842E-4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4.2539999999999996</v>
      </c>
      <c r="DO58" s="13">
        <f>IF('Données projet'!$A$166&gt;35,DO57+DN58-DW57,IF(A58&lt;'Données projet'!$A$166,$DL$205^A58,IF(A58='Données projet'!$A$166,'Données projet'!$B$166,DO57+DN58-DW57)))</f>
        <v>181.1999999999999</v>
      </c>
      <c r="DP58" s="18">
        <f>DO58*VLOOKUP('Données projet'!$B$14,Paramètres!$A$1:$I$89,3,0)*VLOOKUP('Données projet'!$B$14,Paramètres!$A$1:$I$89,5,0)</f>
        <v>208.74239999999989</v>
      </c>
      <c r="DQ58" s="14">
        <f t="shared" si="43"/>
        <v>51.660672460021495</v>
      </c>
      <c r="DR58" s="22">
        <f t="shared" si="16"/>
        <v>453.53535120120392</v>
      </c>
      <c r="DS58" s="62">
        <f t="shared" si="17"/>
        <v>746.86868453453724</v>
      </c>
      <c r="DT58" s="62">
        <f ca="1">AVERAGE(OFFSET($DS$3,0,0,'Données projet'!$E$14+1,1))-AVERAGE(OFFSET($H$3,0,0,'Données projet'!$E$14+1,1))</f>
        <v>431.38469096974364</v>
      </c>
      <c r="DU58" s="62">
        <f t="shared" si="44"/>
        <v>295.48627059086647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0.48976306818589332</v>
      </c>
      <c r="EC58" s="23">
        <f>EXP(-LN(2)/2)*EC57+(1-EXP(-LN(2)/2))/(LN(2)/2)*DW58*DZ58*VLOOKUP('Données projet'!$B$14,Paramètres!$A$1:$I$89,3,0)*0.475*44/12</f>
        <v>6.6264247056531183E-4</v>
      </c>
      <c r="ED58" s="24">
        <f t="shared" si="18"/>
        <v>0.49042571065645862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115</v>
      </c>
      <c r="EH58" s="13">
        <f>VLOOKUP(A58,'Données projet'!$A$191:$I$211,9,0)</f>
        <v>4</v>
      </c>
      <c r="EI58" s="13">
        <f t="array" ref="EI58">INDEX(EH:EH,MIN(IF(ISNUMBER(EH58:EH254),ROW(EH58:EH254),"")))</f>
        <v>4</v>
      </c>
      <c r="EJ58" s="13">
        <f>IF('Données projet'!$A$192&gt;35,EJ57+EI58-ER57,IF(A58&lt;'Données projet'!$A$192,$EG$205^A58,IF(A58='Données projet'!$A$192,'Données projet'!$B$192,EJ57+EI58-ER57)))</f>
        <v>114.99999999999997</v>
      </c>
      <c r="EK58" s="18">
        <f>EJ58*VLOOKUP('Données projet'!$B$15,Paramètres!$A$1:$I$89,3,0)*VLOOKUP('Données projet'!$B$15,Paramètres!$A$1:$I$89,5,0)</f>
        <v>130.96199999999996</v>
      </c>
      <c r="EL58" s="14">
        <f t="shared" si="45"/>
        <v>34.218553814105427</v>
      </c>
      <c r="EM58" s="22">
        <f t="shared" si="19"/>
        <v>287.68946455956689</v>
      </c>
      <c r="EN58" s="62">
        <f t="shared" si="20"/>
        <v>581.02279789290014</v>
      </c>
      <c r="EO58" s="62">
        <f ca="1">AVERAGE(OFFSET($EN$3,0,0,'Données projet'!$E$15+1,1))-AVERAGE(OFFSET($H$3,0,0,'Données projet'!$E$15+1,1))</f>
        <v>220.03635832253951</v>
      </c>
      <c r="EP58" s="62">
        <f t="shared" si="46"/>
        <v>136.30639155882233</v>
      </c>
      <c r="EQ58" s="16">
        <f>IF(ISNA(VLOOKUP(A58,'Données projet'!$A$191:$I$211,3,0)),0,VLOOKUP(A58,'Données projet'!$A$191:$I$211,3,0))</f>
        <v>3</v>
      </c>
      <c r="ER58" s="16">
        <f>IF(ISNA(VLOOKUP(A58,'Données projet'!$A$191:$I$211,4,0)),0,VLOOKUP(A58,'Données projet'!$A$191:$I$211,4,0))</f>
        <v>19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323</v>
      </c>
      <c r="FC58" s="13">
        <f>VLOOKUP(A58,'Données projet'!$A$217:$I$237,9,0)</f>
        <v>12.6</v>
      </c>
      <c r="FD58" s="13">
        <f t="array" ref="FD58">INDEX(FC:FC,MIN(IF(ISNUMBER(FC58:FC254),ROW(FC58:FC254),"")))</f>
        <v>12.6</v>
      </c>
      <c r="FE58" s="13">
        <f>IF('Données projet'!$A$218&gt;35,FE57+FD58-FM57,IF(A58&lt;'Données projet'!$A$218,$FB$205^A58,IF(A58='Données projet'!$A$218,'Données projet'!$B$218,FE57+FD58-FM57)))</f>
        <v>323.00000000000028</v>
      </c>
      <c r="FF58" s="18">
        <f>FE58*VLOOKUP('Données projet'!$B$16,Paramètres!$A$1:$I$89,3,0)*VLOOKUP('Données projet'!$B$16,Paramètres!$A$1:$I$89,5,0)</f>
        <v>337.59960000000029</v>
      </c>
      <c r="FG58" s="14">
        <f t="shared" si="47"/>
        <v>79.003804269753971</v>
      </c>
      <c r="FH58" s="22">
        <f t="shared" si="22"/>
        <v>725.58426243648864</v>
      </c>
      <c r="FI58" s="62">
        <f t="shared" si="23"/>
        <v>1018.9175957698219</v>
      </c>
      <c r="FJ58" s="62">
        <f ca="1">AVERAGE(OFFSET($FI$3,0,0,'Données projet'!$E$16+1,1))-AVERAGE(OFFSET($H$3,0,0,'Données projet'!$E$16+1,1))</f>
        <v>641.62708445664862</v>
      </c>
      <c r="FK58" s="62">
        <f t="shared" si="48"/>
        <v>379.46845863546929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3.7454277963068451E-3</v>
      </c>
      <c r="FT58" s="24">
        <f t="shared" si="24"/>
        <v>3.7454277963068451E-3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115</v>
      </c>
      <c r="FX58" s="13">
        <f>VLOOKUP(A58,'Données projet'!$A$243:$I$263,9,0)</f>
        <v>4</v>
      </c>
      <c r="FY58" s="13">
        <f t="array" ref="FY58">INDEX(FX:FX,MIN(IF(ISNUMBER(FX58:FX254),ROW(FX58:FX254),"")))</f>
        <v>4</v>
      </c>
      <c r="FZ58" s="13">
        <f>IF('Données projet'!$A$244&gt;35,FZ57+FY58-GH57,IF(A58&lt;'Données projet'!$A$244,$FW$205^A58,IF(A58='Données projet'!$A$244,'Données projet'!$B$244,FZ57+FY58-GH57)))</f>
        <v>114.99999999999997</v>
      </c>
      <c r="GA58" s="18">
        <f>FZ58*VLOOKUP('Données projet'!$B$17,Paramètres!$A$1:$I$89,3,0)*VLOOKUP('Données projet'!$B$17,Paramètres!$A$1:$I$89,5,0)</f>
        <v>111.22799999999998</v>
      </c>
      <c r="GB58" s="14">
        <f t="shared" si="49"/>
        <v>29.620123744783804</v>
      </c>
      <c r="GC58" s="22">
        <f t="shared" si="25"/>
        <v>245.31048218883168</v>
      </c>
      <c r="GD58" s="62">
        <f t="shared" si="26"/>
        <v>538.64381552216503</v>
      </c>
      <c r="GE58" s="62">
        <f ca="1">AVERAGE(OFFSET($GD$3,0,0,'Données projet'!$E$17+1,1))-AVERAGE(OFFSET($H$3,0,0,'Données projet'!$E$17+1,1))</f>
        <v>181.39066880931728</v>
      </c>
      <c r="GF58" s="62">
        <f t="shared" si="50"/>
        <v>116.06078566855524</v>
      </c>
      <c r="GG58" s="16">
        <f>IF(ISNA(VLOOKUP(A58,'Données projet'!$A$243:$I$263,3,0)),0,VLOOKUP(A58,'Données projet'!$A$243:$I$263,3,0))</f>
        <v>3</v>
      </c>
      <c r="GH58" s="16">
        <f>IF(ISNA(VLOOKUP(A58,'Données projet'!$A$243:$I$263,4,0)),0,VLOOKUP(A58,'Données projet'!$A$243:$I$263,4,0))</f>
        <v>19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133</v>
      </c>
      <c r="GS58" s="13">
        <f>VLOOKUP(A58,'Données projet'!$A$269:$I$289,9,0)</f>
        <v>3.4</v>
      </c>
      <c r="GT58" s="13">
        <f t="array" ref="GT58">INDEX(GS:GS,MIN(IF(ISNUMBER(GS58:GS254),ROW(GS58:GS254),"")))</f>
        <v>3.4</v>
      </c>
      <c r="GU58" s="13">
        <f>IF('Données projet'!$A$270&gt;35,GU57+GT58-HC57,IF(A58&lt;'Données projet'!$A$270,$GR$205^A58,IF(A58='Données projet'!$A$270,'Données projet'!$B$270,GU57+GT58-HC57)))</f>
        <v>132.99999999999997</v>
      </c>
      <c r="GV58" s="18">
        <f>GU58*VLOOKUP('Données projet'!$B$18,Paramètres!$A$1:$I$89,3,0)*VLOOKUP('Données projet'!$B$18,Paramètres!$A$1:$I$89,5,0)</f>
        <v>116.18879999999999</v>
      </c>
      <c r="GW58" s="14">
        <f t="shared" si="51"/>
        <v>30.784436657961702</v>
      </c>
      <c r="GX58" s="22">
        <f t="shared" si="28"/>
        <v>255.97838717928323</v>
      </c>
      <c r="GY58" s="62">
        <f t="shared" si="29"/>
        <v>549.3117205126166</v>
      </c>
      <c r="GZ58" s="62">
        <f ca="1">AVERAGE(OFFSET($GY$3,0,0,'Données projet'!$E$18+1,1))-AVERAGE(OFFSET($H$3,0,0,'Données projet'!$E$18+1,1))</f>
        <v>152.84277478695606</v>
      </c>
      <c r="HA58" s="62">
        <f t="shared" si="52"/>
        <v>179.22995976651015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9">
        <f t="shared" si="1"/>
        <v>326.40147026672037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207.46440000000001</v>
      </c>
      <c r="P59" s="14">
        <f t="shared" si="33"/>
        <v>51.381102169014063</v>
      </c>
      <c r="Q59" s="22">
        <f t="shared" si="53"/>
        <v>450.82258294436616</v>
      </c>
      <c r="R59" s="62">
        <f t="shared" si="0"/>
        <v>744.15591627769948</v>
      </c>
      <c r="S59" s="62">
        <f ca="1">AVERAGE(OFFSET($R$3,0,0,'Données projet'!$E$9+1,1))-AVERAGE(OFFSET($H$3,0,0,'Données projet'!$E$9+1,1))</f>
        <v>383.26814640166805</v>
      </c>
      <c r="T59" s="62">
        <f t="shared" si="34"/>
        <v>233.71216103405249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3.8</v>
      </c>
      <c r="AI59" s="14">
        <f>IF('Données projet'!$A$62&gt;35,AI58+AH59-AQ58,IF(A59&lt;'Données projet'!$A$62,$AF$205^A59,IF(A59='Données projet'!$A$62,'Données projet'!$B$62,AI58+AH59-AQ58)))</f>
        <v>99.799999999999969</v>
      </c>
      <c r="AJ59" s="14">
        <f>AI59*VLOOKUP('Données projet'!$B$10,Paramètres!$A$1:$I$89,3,0)*VLOOKUP('Données projet'!$B$10,Paramètres!$A$1:$I$89,5,0)</f>
        <v>107.42471999999995</v>
      </c>
      <c r="AK59" s="14">
        <f t="shared" si="35"/>
        <v>28.723394484955126</v>
      </c>
      <c r="AL59" s="22">
        <f t="shared" si="4"/>
        <v>237.12463272796342</v>
      </c>
      <c r="AM59" s="62">
        <f t="shared" si="5"/>
        <v>530.4579660612967</v>
      </c>
      <c r="AN59" s="62">
        <f ca="1">AVERAGE(OFFSET($AM$3,0,0,'Données projet'!$E$10+1,1))-AVERAGE(OFFSET($H$3,0,0,'Données projet'!$E$10+1,1))</f>
        <v>205.99910063756408</v>
      </c>
      <c r="AO59" s="62">
        <f t="shared" si="36"/>
        <v>128.95330275493671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10.464423076923076</v>
      </c>
      <c r="BD59" s="13">
        <f>IF('Données projet'!$A$88&gt;35,BD58+BC59-BL58,IF(A59&lt;'Données projet'!$A$88,$BA$205^A59,IF(A59='Données projet'!$A$88,'Données projet'!$B$88,BD58+BC59-BL58)))</f>
        <v>311.64230769230778</v>
      </c>
      <c r="BE59" s="14">
        <f>BD59*VLOOKUP('Données projet'!$B$11,Paramètres!$A$1:$I$89,3,0)*VLOOKUP('Données projet'!$B$11,Paramètres!$A$1:$I$89,5,0)</f>
        <v>186.36210000000005</v>
      </c>
      <c r="BF59" s="14">
        <f t="shared" si="37"/>
        <v>46.734762106127967</v>
      </c>
      <c r="BG59" s="22">
        <f t="shared" si="7"/>
        <v>405.97703483483957</v>
      </c>
      <c r="BH59" s="62">
        <f t="shared" si="8"/>
        <v>699.31036816817289</v>
      </c>
      <c r="BI59" s="62">
        <f ca="1">AVERAGE(OFFSET($BH$3,0,0,'Données projet'!$E$11+1,1))-AVERAGE(OFFSET($H$3,0,0,'Données projet'!$E$11+1,1))</f>
        <v>222.20580087523689</v>
      </c>
      <c r="BJ59" s="62">
        <f t="shared" si="38"/>
        <v>232.08940427392253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5.9805100131063718</v>
      </c>
      <c r="BQ59" s="23">
        <f>EXP(-LN(2)/25)*BQ58+(1-EXP(-LN(2)/25))/(LN(2)/25)*Calculateur!BL59*Calculateur!BN59*VLOOKUP('Données projet'!$B$11,Paramètres!$A$1:$I$89,3,0)*0.475*44/12</f>
        <v>7.9932965679849559</v>
      </c>
      <c r="BR59" s="23">
        <f>EXP(-LN(2)/2)*BR58+(1-EXP(-LN(2)/2))/(LN(2)/2)*BL59*BO59*VLOOKUP('Données projet'!$B$11,Paramètres!$A$1:$I$89,3,0)*0.475*44/12</f>
        <v>7.7392101390671921E-4</v>
      </c>
      <c r="BS59" s="24">
        <f t="shared" si="9"/>
        <v>13.974580502105235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10.763461538461542</v>
      </c>
      <c r="BY59" s="13">
        <f>IF('Données projet'!$A$114&gt;35,BY58+BX59-CG58,IF(A59&lt;'Données projet'!$A$114,$BV$205^A59,IF(A59='Données projet'!$A$114,'Données projet'!$B$114,BY58+BX59-CG58)))</f>
        <v>275.34807692307686</v>
      </c>
      <c r="BZ59" s="14">
        <f>BY59*VLOOKUP('Données projet'!$B$12,Paramètres!$A$1:$I$89,3,0)*VLOOKUP('Données projet'!$B$12,Paramètres!$A$1:$I$89,5,0)</f>
        <v>128.86289999999997</v>
      </c>
      <c r="CA59" s="14">
        <f t="shared" si="39"/>
        <v>33.733474712413404</v>
      </c>
      <c r="CB59" s="22">
        <f t="shared" si="10"/>
        <v>283.18868595745323</v>
      </c>
      <c r="CC59" s="62">
        <f t="shared" si="11"/>
        <v>576.5220192907866</v>
      </c>
      <c r="CD59" s="62">
        <f ca="1">AVERAGE(OFFSET($CC$3,0,0,'Données projet'!$E$12+1,1))-AVERAGE(OFFSET($H$3,0,0,'Données projet'!$E$12+1,1))</f>
        <v>179.14256291235466</v>
      </c>
      <c r="CE59" s="62">
        <f t="shared" si="40"/>
        <v>107.5256983607585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10.66307692307692</v>
      </c>
      <c r="CT59" s="13">
        <f>IF('Données projet'!$A$140&gt;35,CT58+CS59-DB58,IF(A59&lt;'Données projet'!$A$140,$CQ$205^A59,IF(A59='Données projet'!$A$140,'Données projet'!$B$140,CT58+CS59-DB58)))</f>
        <v>299.77076923076925</v>
      </c>
      <c r="CU59" s="18">
        <f>CT59*VLOOKUP('Données projet'!$B$13,Paramètres!$A$1:$I$89,3,0)*VLOOKUP('Données projet'!$B$13,Paramètres!$A$1:$I$89,5,0)</f>
        <v>179.26292000000001</v>
      </c>
      <c r="CV59" s="14">
        <f t="shared" si="41"/>
        <v>45.158160305042841</v>
      </c>
      <c r="CW59" s="22">
        <f t="shared" si="13"/>
        <v>390.8667148646162</v>
      </c>
      <c r="CX59" s="62">
        <f t="shared" si="14"/>
        <v>684.20004819794951</v>
      </c>
      <c r="CY59" s="62">
        <f ca="1">AVERAGE(OFFSET($CX$3,0,0,'Données projet'!$E$13+1,1))-AVERAGE(OFFSET($H$3,0,0,'Données projet'!$E$13+1,1))</f>
        <v>237.03649693529445</v>
      </c>
      <c r="CZ59" s="62">
        <f t="shared" si="42"/>
        <v>191.04289411674887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6.4244010952703131E-4</v>
      </c>
      <c r="DI59" s="24">
        <f t="shared" si="15"/>
        <v>6.4244010952703131E-4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4.2539999999999996</v>
      </c>
      <c r="DO59" s="13">
        <f>IF('Données projet'!$A$166&gt;35,DO58+DN59-DW58,IF(A59&lt;'Données projet'!$A$166,$DL$205^A59,IF(A59='Données projet'!$A$166,'Données projet'!$B$166,DO58+DN59-DW58)))</f>
        <v>185.45399999999989</v>
      </c>
      <c r="DP59" s="18">
        <f>DO59*VLOOKUP('Données projet'!$B$14,Paramètres!$A$1:$I$89,3,0)*VLOOKUP('Données projet'!$B$14,Paramètres!$A$1:$I$89,5,0)</f>
        <v>213.64300799999987</v>
      </c>
      <c r="DQ59" s="14">
        <f t="shared" si="43"/>
        <v>52.730875986560946</v>
      </c>
      <c r="DR59" s="22">
        <f t="shared" si="16"/>
        <v>463.93451460992674</v>
      </c>
      <c r="DS59" s="62">
        <f t="shared" si="17"/>
        <v>757.26784794325999</v>
      </c>
      <c r="DT59" s="62">
        <f ca="1">AVERAGE(OFFSET($DS$3,0,0,'Données projet'!$E$14+1,1))-AVERAGE(OFFSET($H$3,0,0,'Données projet'!$E$14+1,1))</f>
        <v>431.38469096974364</v>
      </c>
      <c r="DU59" s="62">
        <f t="shared" si="44"/>
        <v>295.48627059086647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0.47637047133082966</v>
      </c>
      <c r="EC59" s="23">
        <f>EXP(-LN(2)/2)*EC58+(1-EXP(-LN(2)/2))/(LN(2)/2)*DW59*DZ59*VLOOKUP('Données projet'!$B$14,Paramètres!$A$1:$I$89,3,0)*0.475*44/12</f>
        <v>4.6855898443893922E-4</v>
      </c>
      <c r="ED59" s="24">
        <f t="shared" si="18"/>
        <v>0.47683903031526859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3.8</v>
      </c>
      <c r="EJ59" s="13">
        <f>IF('Données projet'!$A$192&gt;35,EJ58+EI59-ER58,IF(A59&lt;'Données projet'!$A$192,$EG$205^A59,IF(A59='Données projet'!$A$192,'Données projet'!$B$192,EJ58+EI59-ER58)))</f>
        <v>99.799999999999969</v>
      </c>
      <c r="EK59" s="18">
        <f>EJ59*VLOOKUP('Données projet'!$B$15,Paramètres!$A$1:$I$89,3,0)*VLOOKUP('Données projet'!$B$15,Paramètres!$A$1:$I$89,5,0)</f>
        <v>113.65223999999996</v>
      </c>
      <c r="EL59" s="14">
        <f t="shared" si="45"/>
        <v>30.189838199748383</v>
      </c>
      <c r="EM59" s="22">
        <f t="shared" si="19"/>
        <v>250.5249528645617</v>
      </c>
      <c r="EN59" s="62">
        <f t="shared" si="20"/>
        <v>543.85828619789504</v>
      </c>
      <c r="EO59" s="62">
        <f ca="1">AVERAGE(OFFSET($EN$3,0,0,'Données projet'!$E$15+1,1))-AVERAGE(OFFSET($H$3,0,0,'Données projet'!$E$15+1,1))</f>
        <v>220.03635832253951</v>
      </c>
      <c r="EP59" s="62">
        <f t="shared" si="46"/>
        <v>136.30639155882233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4.4000000000000004</v>
      </c>
      <c r="FE59" s="13">
        <f>IF('Données projet'!$A$218&gt;35,FE58+FD59-FM58,IF(A59&lt;'Données projet'!$A$218,$FB$205^A59,IF(A59='Données projet'!$A$218,'Données projet'!$B$218,FE58+FD59-FM58)))</f>
        <v>327.40000000000026</v>
      </c>
      <c r="FF59" s="18">
        <f>FE59*VLOOKUP('Données projet'!$B$16,Paramètres!$A$1:$I$89,3,0)*VLOOKUP('Données projet'!$B$16,Paramètres!$A$1:$I$89,5,0)</f>
        <v>342.1984800000003</v>
      </c>
      <c r="FG59" s="14">
        <f t="shared" si="47"/>
        <v>79.953995783367915</v>
      </c>
      <c r="FH59" s="22">
        <f t="shared" si="22"/>
        <v>735.2488953226997</v>
      </c>
      <c r="FI59" s="62">
        <f t="shared" si="23"/>
        <v>1028.5822286560331</v>
      </c>
      <c r="FJ59" s="62">
        <f ca="1">AVERAGE(OFFSET($FI$3,0,0,'Données projet'!$E$16+1,1))-AVERAGE(OFFSET($H$3,0,0,'Données projet'!$E$16+1,1))</f>
        <v>641.62708445664862</v>
      </c>
      <c r="FK59" s="62">
        <f t="shared" si="48"/>
        <v>379.46845863546929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2.6484173932131575E-3</v>
      </c>
      <c r="FT59" s="24">
        <f t="shared" si="24"/>
        <v>2.6484173932131575E-3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3.8</v>
      </c>
      <c r="FZ59" s="13">
        <f>IF('Données projet'!$A$244&gt;35,FZ58+FY59-GH58,IF(A59&lt;'Données projet'!$A$244,$FW$205^A59,IF(A59='Données projet'!$A$244,'Données projet'!$B$244,FZ58+FY59-GH58)))</f>
        <v>99.799999999999969</v>
      </c>
      <c r="GA59" s="18">
        <f>FZ59*VLOOKUP('Données projet'!$B$17,Paramètres!$A$1:$I$89,3,0)*VLOOKUP('Données projet'!$B$17,Paramètres!$A$1:$I$89,5,0)</f>
        <v>96.526559999999975</v>
      </c>
      <c r="GB59" s="14">
        <f t="shared" si="49"/>
        <v>26.132803512664371</v>
      </c>
      <c r="GC59" s="22">
        <f t="shared" si="25"/>
        <v>213.63172478455704</v>
      </c>
      <c r="GD59" s="62">
        <f t="shared" si="26"/>
        <v>506.96505811789035</v>
      </c>
      <c r="GE59" s="62">
        <f ca="1">AVERAGE(OFFSET($GD$3,0,0,'Données projet'!$E$17+1,1))-AVERAGE(OFFSET($H$3,0,0,'Données projet'!$E$17+1,1))</f>
        <v>181.39066880931728</v>
      </c>
      <c r="GF59" s="62">
        <f t="shared" si="50"/>
        <v>116.06078566855524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3.2</v>
      </c>
      <c r="GU59" s="13">
        <f>IF('Données projet'!$A$270&gt;35,GU58+GT59-HC58,IF(A59&lt;'Données projet'!$A$270,$GR$205^A59,IF(A59='Données projet'!$A$270,'Données projet'!$B$270,GU58+GT59-HC58)))</f>
        <v>136.19999999999996</v>
      </c>
      <c r="GV59" s="18">
        <f>GU59*VLOOKUP('Données projet'!$B$18,Paramètres!$A$1:$I$89,3,0)*VLOOKUP('Données projet'!$B$18,Paramètres!$A$1:$I$89,5,0)</f>
        <v>118.98432</v>
      </c>
      <c r="GW59" s="14">
        <f t="shared" si="51"/>
        <v>31.437991550787316</v>
      </c>
      <c r="GX59" s="22">
        <f t="shared" si="28"/>
        <v>261.98552595095452</v>
      </c>
      <c r="GY59" s="62">
        <f t="shared" si="29"/>
        <v>555.31885928428778</v>
      </c>
      <c r="GZ59" s="62">
        <f ca="1">AVERAGE(OFFSET($GY$3,0,0,'Données projet'!$E$18+1,1))-AVERAGE(OFFSET($H$3,0,0,'Données projet'!$E$18+1,1))</f>
        <v>152.84277478695606</v>
      </c>
      <c r="HA59" s="62">
        <f t="shared" si="52"/>
        <v>179.22995976651015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9">
        <f t="shared" si="1"/>
        <v>327.61220793297304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215.17080000000001</v>
      </c>
      <c r="P60" s="14">
        <f t="shared" si="33"/>
        <v>53.063930965723607</v>
      </c>
      <c r="Q60" s="22">
        <f t="shared" si="53"/>
        <v>467.17548976530185</v>
      </c>
      <c r="R60" s="62">
        <f t="shared" si="0"/>
        <v>760.50882309863516</v>
      </c>
      <c r="S60" s="62">
        <f ca="1">AVERAGE(OFFSET($R$3,0,0,'Données projet'!$E$9+1,1))-AVERAGE(OFFSET($H$3,0,0,'Données projet'!$E$9+1,1))</f>
        <v>383.26814640166805</v>
      </c>
      <c r="T60" s="62">
        <f t="shared" si="34"/>
        <v>233.71216103405249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3.8</v>
      </c>
      <c r="AI60" s="14">
        <f>IF('Données projet'!$A$62&gt;35,AI59+AH60-AQ59,IF(A60&lt;'Données projet'!$A$62,$AF$205^A60,IF(A60='Données projet'!$A$62,'Données projet'!$B$62,AI59+AH60-AQ59)))</f>
        <v>103.59999999999997</v>
      </c>
      <c r="AJ60" s="14">
        <f>AI60*VLOOKUP('Données projet'!$B$10,Paramètres!$A$1:$I$89,3,0)*VLOOKUP('Données projet'!$B$10,Paramètres!$A$1:$I$89,5,0)</f>
        <v>111.51503999999996</v>
      </c>
      <c r="AK60" s="14">
        <f t="shared" si="35"/>
        <v>29.687655136252104</v>
      </c>
      <c r="AL60" s="22">
        <f t="shared" si="4"/>
        <v>245.92802736230567</v>
      </c>
      <c r="AM60" s="62">
        <f t="shared" si="5"/>
        <v>539.26136069563904</v>
      </c>
      <c r="AN60" s="62">
        <f ca="1">AVERAGE(OFFSET($AM$3,0,0,'Données projet'!$E$10+1,1))-AVERAGE(OFFSET($H$3,0,0,'Données projet'!$E$10+1,1))</f>
        <v>205.99910063756408</v>
      </c>
      <c r="AO60" s="62">
        <f t="shared" si="36"/>
        <v>128.95330275493671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10.464423076923076</v>
      </c>
      <c r="BD60" s="13">
        <f>IF('Données projet'!$A$88&gt;35,BD59+BC60-BL59,IF(A60&lt;'Données projet'!$A$88,$BA$205^A60,IF(A60='Données projet'!$A$88,'Données projet'!$B$88,BD59+BC60-BL59)))</f>
        <v>322.10673076923086</v>
      </c>
      <c r="BE60" s="14">
        <f>BD60*VLOOKUP('Données projet'!$B$11,Paramètres!$A$1:$I$89,3,0)*VLOOKUP('Données projet'!$B$11,Paramètres!$A$1:$I$89,5,0)</f>
        <v>192.61982500000008</v>
      </c>
      <c r="BF60" s="14">
        <f t="shared" si="37"/>
        <v>48.118696520369063</v>
      </c>
      <c r="BG60" s="22">
        <f t="shared" si="7"/>
        <v>419.28625831464296</v>
      </c>
      <c r="BH60" s="62">
        <f t="shared" si="8"/>
        <v>712.61959164797622</v>
      </c>
      <c r="BI60" s="62">
        <f ca="1">AVERAGE(OFFSET($BH$3,0,0,'Données projet'!$E$11+1,1))-AVERAGE(OFFSET($H$3,0,0,'Données projet'!$E$11+1,1))</f>
        <v>222.20580087523689</v>
      </c>
      <c r="BJ60" s="62">
        <f t="shared" si="38"/>
        <v>232.08940427392253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5.8632358595002785</v>
      </c>
      <c r="BQ60" s="23">
        <f>EXP(-LN(2)/25)*BQ59+(1-EXP(-LN(2)/25))/(LN(2)/25)*Calculateur!BL60*Calculateur!BN60*VLOOKUP('Données projet'!$B$11,Paramètres!$A$1:$I$89,3,0)*0.475*44/12</f>
        <v>7.7747194529842094</v>
      </c>
      <c r="BR60" s="23">
        <f>EXP(-LN(2)/2)*BR59+(1-EXP(-LN(2)/2))/(LN(2)/2)*BL60*BO60*VLOOKUP('Données projet'!$B$11,Paramètres!$A$1:$I$89,3,0)*0.475*44/12</f>
        <v>5.472447970362095E-4</v>
      </c>
      <c r="BS60" s="24">
        <f t="shared" si="9"/>
        <v>13.638502557281525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10.763461538461542</v>
      </c>
      <c r="BY60" s="13">
        <f>IF('Données projet'!$A$114&gt;35,BY59+BX60-CG59,IF(A60&lt;'Données projet'!$A$114,$BV$205^A60,IF(A60='Données projet'!$A$114,'Données projet'!$B$114,BY59+BX60-CG59)))</f>
        <v>286.11153846153843</v>
      </c>
      <c r="BZ60" s="14">
        <f>BY60*VLOOKUP('Données projet'!$B$12,Paramètres!$A$1:$I$89,3,0)*VLOOKUP('Données projet'!$B$12,Paramètres!$A$1:$I$89,5,0)</f>
        <v>133.90019999999998</v>
      </c>
      <c r="CA60" s="14">
        <f t="shared" si="39"/>
        <v>34.89602472081711</v>
      </c>
      <c r="CB60" s="22">
        <f t="shared" si="10"/>
        <v>293.98675805542308</v>
      </c>
      <c r="CC60" s="62">
        <f t="shared" si="11"/>
        <v>587.3200913887564</v>
      </c>
      <c r="CD60" s="62">
        <f ca="1">AVERAGE(OFFSET($CC$3,0,0,'Données projet'!$E$12+1,1))-AVERAGE(OFFSET($H$3,0,0,'Données projet'!$E$12+1,1))</f>
        <v>179.14256291235466</v>
      </c>
      <c r="CE60" s="62">
        <f t="shared" si="40"/>
        <v>107.5256983607585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10.66307692307692</v>
      </c>
      <c r="CT60" s="13">
        <f>IF('Données projet'!$A$140&gt;35,CT59+CS60-DB59,IF(A60&lt;'Données projet'!$A$140,$CQ$205^A60,IF(A60='Données projet'!$A$140,'Données projet'!$B$140,CT59+CS60-DB59)))</f>
        <v>310.43384615384616</v>
      </c>
      <c r="CU60" s="18">
        <f>CT60*VLOOKUP('Données projet'!$B$13,Paramètres!$A$1:$I$89,3,0)*VLOOKUP('Données projet'!$B$13,Paramètres!$A$1:$I$89,5,0)</f>
        <v>185.63944000000001</v>
      </c>
      <c r="CV60" s="14">
        <f t="shared" si="41"/>
        <v>46.574596113982338</v>
      </c>
      <c r="CW60" s="22">
        <f t="shared" si="13"/>
        <v>404.43944623185251</v>
      </c>
      <c r="CX60" s="62">
        <f t="shared" si="14"/>
        <v>697.77277956518583</v>
      </c>
      <c r="CY60" s="62">
        <f ca="1">AVERAGE(OFFSET($CX$3,0,0,'Données projet'!$E$13+1,1))-AVERAGE(OFFSET($H$3,0,0,'Données projet'!$E$13+1,1))</f>
        <v>237.03649693529445</v>
      </c>
      <c r="CZ60" s="62">
        <f t="shared" si="42"/>
        <v>191.04289411674887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4.5427375795279216E-4</v>
      </c>
      <c r="DI60" s="24">
        <f t="shared" si="15"/>
        <v>4.5427375795279216E-4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4.2539999999999996</v>
      </c>
      <c r="DO60" s="13">
        <f>IF('Données projet'!$A$166&gt;35,DO59+DN60-DW59,IF(A60&lt;'Données projet'!$A$166,$DL$205^A60,IF(A60='Données projet'!$A$166,'Données projet'!$B$166,DO59+DN60-DW59)))</f>
        <v>189.70799999999988</v>
      </c>
      <c r="DP60" s="18">
        <f>DO60*VLOOKUP('Données projet'!$B$14,Paramètres!$A$1:$I$89,3,0)*VLOOKUP('Données projet'!$B$14,Paramètres!$A$1:$I$89,5,0)</f>
        <v>218.54361599999984</v>
      </c>
      <c r="DQ60" s="14">
        <f t="shared" si="43"/>
        <v>53.798225596777058</v>
      </c>
      <c r="DR60" s="22">
        <f t="shared" si="16"/>
        <v>474.32870744771981</v>
      </c>
      <c r="DS60" s="62">
        <f t="shared" si="17"/>
        <v>767.66204078105307</v>
      </c>
      <c r="DT60" s="62">
        <f ca="1">AVERAGE(OFFSET($DS$3,0,0,'Données projet'!$E$14+1,1))-AVERAGE(OFFSET($H$3,0,0,'Données projet'!$E$14+1,1))</f>
        <v>431.38469096974364</v>
      </c>
      <c r="DU60" s="62">
        <f t="shared" si="44"/>
        <v>295.48627059086647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0.46334409574105379</v>
      </c>
      <c r="EC60" s="23">
        <f>EXP(-LN(2)/2)*EC59+(1-EXP(-LN(2)/2))/(LN(2)/2)*DW60*DZ60*VLOOKUP('Données projet'!$B$14,Paramètres!$A$1:$I$89,3,0)*0.475*44/12</f>
        <v>3.3132123528265592E-4</v>
      </c>
      <c r="ED60" s="24">
        <f t="shared" si="18"/>
        <v>0.46367541697633646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3.8</v>
      </c>
      <c r="EJ60" s="13">
        <f>IF('Données projet'!$A$192&gt;35,EJ59+EI60-ER59,IF(A60&lt;'Données projet'!$A$192,$EG$205^A60,IF(A60='Données projet'!$A$192,'Données projet'!$B$192,EJ59+EI60-ER59)))</f>
        <v>103.59999999999997</v>
      </c>
      <c r="EK60" s="18">
        <f>EJ60*VLOOKUP('Données projet'!$B$15,Paramètres!$A$1:$I$89,3,0)*VLOOKUP('Données projet'!$B$15,Paramètres!$A$1:$I$89,5,0)</f>
        <v>117.97967999999996</v>
      </c>
      <c r="EL60" s="14">
        <f t="shared" si="45"/>
        <v>31.203328198651082</v>
      </c>
      <c r="EM60" s="22">
        <f t="shared" si="19"/>
        <v>259.82707261265051</v>
      </c>
      <c r="EN60" s="62">
        <f t="shared" si="20"/>
        <v>553.16040594598383</v>
      </c>
      <c r="EO60" s="62">
        <f ca="1">AVERAGE(OFFSET($EN$3,0,0,'Données projet'!$E$15+1,1))-AVERAGE(OFFSET($H$3,0,0,'Données projet'!$E$15+1,1))</f>
        <v>220.03635832253951</v>
      </c>
      <c r="EP60" s="62">
        <f t="shared" si="46"/>
        <v>136.30639155882233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4.4000000000000004</v>
      </c>
      <c r="FE60" s="13">
        <f>IF('Données projet'!$A$218&gt;35,FE59+FD60-FM59,IF(A60&lt;'Données projet'!$A$218,$FB$205^A60,IF(A60='Données projet'!$A$218,'Données projet'!$B$218,FE59+FD60-FM59)))</f>
        <v>331.80000000000024</v>
      </c>
      <c r="FF60" s="18">
        <f>FE60*VLOOKUP('Données projet'!$B$16,Paramètres!$A$1:$I$89,3,0)*VLOOKUP('Données projet'!$B$16,Paramètres!$A$1:$I$89,5,0)</f>
        <v>346.79736000000031</v>
      </c>
      <c r="FG60" s="14">
        <f t="shared" si="47"/>
        <v>80.902702003386011</v>
      </c>
      <c r="FH60" s="22">
        <f t="shared" si="22"/>
        <v>744.91094132256455</v>
      </c>
      <c r="FI60" s="62">
        <f t="shared" si="23"/>
        <v>1038.2442746558979</v>
      </c>
      <c r="FJ60" s="62">
        <f ca="1">AVERAGE(OFFSET($FI$3,0,0,'Données projet'!$E$16+1,1))-AVERAGE(OFFSET($H$3,0,0,'Données projet'!$E$16+1,1))</f>
        <v>641.62708445664862</v>
      </c>
      <c r="FK60" s="62">
        <f t="shared" si="48"/>
        <v>379.46845863546929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1.872713898153423E-3</v>
      </c>
      <c r="FT60" s="24">
        <f t="shared" si="24"/>
        <v>1.872713898153423E-3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3.8</v>
      </c>
      <c r="FZ60" s="13">
        <f>IF('Données projet'!$A$244&gt;35,FZ59+FY60-GH59,IF(A60&lt;'Données projet'!$A$244,$FW$205^A60,IF(A60='Données projet'!$A$244,'Données projet'!$B$244,FZ59+FY60-GH59)))</f>
        <v>103.59999999999997</v>
      </c>
      <c r="GA60" s="18">
        <f>FZ60*VLOOKUP('Données projet'!$B$17,Paramètres!$A$1:$I$89,3,0)*VLOOKUP('Données projet'!$B$17,Paramètres!$A$1:$I$89,5,0)</f>
        <v>100.20191999999999</v>
      </c>
      <c r="GB60" s="14">
        <f t="shared" si="49"/>
        <v>27.010096555049586</v>
      </c>
      <c r="GC60" s="22">
        <f t="shared" si="25"/>
        <v>221.56092883337803</v>
      </c>
      <c r="GD60" s="62">
        <f t="shared" si="26"/>
        <v>514.89426216671131</v>
      </c>
      <c r="GE60" s="62">
        <f ca="1">AVERAGE(OFFSET($GD$3,0,0,'Données projet'!$E$17+1,1))-AVERAGE(OFFSET($H$3,0,0,'Données projet'!$E$17+1,1))</f>
        <v>181.39066880931728</v>
      </c>
      <c r="GF60" s="62">
        <f t="shared" si="50"/>
        <v>116.06078566855524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3.2</v>
      </c>
      <c r="GU60" s="13">
        <f>IF('Données projet'!$A$270&gt;35,GU59+GT60-HC59,IF(A60&lt;'Données projet'!$A$270,$GR$205^A60,IF(A60='Données projet'!$A$270,'Données projet'!$B$270,GU59+GT60-HC59)))</f>
        <v>139.39999999999995</v>
      </c>
      <c r="GV60" s="18">
        <f>GU60*VLOOKUP('Données projet'!$B$18,Paramètres!$A$1:$I$89,3,0)*VLOOKUP('Données projet'!$B$18,Paramètres!$A$1:$I$89,5,0)</f>
        <v>121.77983999999996</v>
      </c>
      <c r="GW60" s="14">
        <f t="shared" si="51"/>
        <v>32.089761368755156</v>
      </c>
      <c r="GX60" s="22">
        <f t="shared" si="28"/>
        <v>267.98955571724849</v>
      </c>
      <c r="GY60" s="62">
        <f t="shared" si="29"/>
        <v>561.32288905058181</v>
      </c>
      <c r="GZ60" s="62">
        <f ca="1">AVERAGE(OFFSET($GY$3,0,0,'Données projet'!$E$18+1,1))-AVERAGE(OFFSET($H$3,0,0,'Données projet'!$E$18+1,1))</f>
        <v>152.84277478695606</v>
      </c>
      <c r="HA60" s="62">
        <f t="shared" si="52"/>
        <v>179.22995976651015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9">
        <f t="shared" si="1"/>
        <v>328.82241559803606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222.87720000000002</v>
      </c>
      <c r="P61" s="14">
        <f t="shared" si="33"/>
        <v>54.739757243913829</v>
      </c>
      <c r="Q61" s="22">
        <f t="shared" si="53"/>
        <v>483.51620053314986</v>
      </c>
      <c r="R61" s="62">
        <f t="shared" si="0"/>
        <v>776.84953386648317</v>
      </c>
      <c r="S61" s="62">
        <f ca="1">AVERAGE(OFFSET($R$3,0,0,'Données projet'!$E$9+1,1))-AVERAGE(OFFSET($H$3,0,0,'Données projet'!$E$9+1,1))</f>
        <v>383.26814640166805</v>
      </c>
      <c r="T61" s="62">
        <f t="shared" si="34"/>
        <v>233.71216103405249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3.8</v>
      </c>
      <c r="AI61" s="14">
        <f>IF('Données projet'!$A$62&gt;35,AI60+AH61-AQ60,IF(A61&lt;'Données projet'!$A$62,$AF$205^A61,IF(A61='Données projet'!$A$62,'Données projet'!$B$62,AI60+AH61-AQ60)))</f>
        <v>107.39999999999996</v>
      </c>
      <c r="AJ61" s="14">
        <f>AI61*VLOOKUP('Données projet'!$B$10,Paramètres!$A$1:$I$89,3,0)*VLOOKUP('Données projet'!$B$10,Paramètres!$A$1:$I$89,5,0)</f>
        <v>115.60535999999995</v>
      </c>
      <c r="AK61" s="14">
        <f t="shared" si="35"/>
        <v>30.647806681379965</v>
      </c>
      <c r="AL61" s="22">
        <f t="shared" si="4"/>
        <v>254.72426530340337</v>
      </c>
      <c r="AM61" s="62">
        <f t="shared" si="5"/>
        <v>548.05759863673666</v>
      </c>
      <c r="AN61" s="62">
        <f ca="1">AVERAGE(OFFSET($AM$3,0,0,'Données projet'!$E$10+1,1))-AVERAGE(OFFSET($H$3,0,0,'Données projet'!$E$10+1,1))</f>
        <v>205.99910063756408</v>
      </c>
      <c r="AO61" s="62">
        <f t="shared" si="36"/>
        <v>128.95330275493671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10.464423076923076</v>
      </c>
      <c r="BD61" s="13">
        <f>IF('Données projet'!$A$88&gt;35,BD60+BC61-BL60,IF(A61&lt;'Données projet'!$A$88,$BA$205^A61,IF(A61='Données projet'!$A$88,'Données projet'!$B$88,BD60+BC61-BL60)))</f>
        <v>332.57115384615395</v>
      </c>
      <c r="BE61" s="14">
        <f>BD61*VLOOKUP('Données projet'!$B$11,Paramètres!$A$1:$I$89,3,0)*VLOOKUP('Données projet'!$B$11,Paramètres!$A$1:$I$89,5,0)</f>
        <v>198.87755000000007</v>
      </c>
      <c r="BF61" s="14">
        <f t="shared" si="37"/>
        <v>49.49740644579321</v>
      </c>
      <c r="BG61" s="22">
        <f t="shared" si="7"/>
        <v>432.5863824764233</v>
      </c>
      <c r="BH61" s="62">
        <f t="shared" si="8"/>
        <v>725.91971580975655</v>
      </c>
      <c r="BI61" s="62">
        <f ca="1">AVERAGE(OFFSET($BH$3,0,0,'Données projet'!$E$11+1,1))-AVERAGE(OFFSET($H$3,0,0,'Données projet'!$E$11+1,1))</f>
        <v>222.20580087523689</v>
      </c>
      <c r="BJ61" s="62">
        <f t="shared" si="38"/>
        <v>232.08940427392253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5.7482613805162295</v>
      </c>
      <c r="BQ61" s="23">
        <f>EXP(-LN(2)/25)*BQ60+(1-EXP(-LN(2)/25))/(LN(2)/25)*Calculateur!BL61*Calculateur!BN61*VLOOKUP('Données projet'!$B$11,Paramètres!$A$1:$I$89,3,0)*0.475*44/12</f>
        <v>7.5621193406876293</v>
      </c>
      <c r="BR61" s="23">
        <f>EXP(-LN(2)/2)*BR60+(1-EXP(-LN(2)/2))/(LN(2)/2)*BL61*BO61*VLOOKUP('Données projet'!$B$11,Paramètres!$A$1:$I$89,3,0)*0.475*44/12</f>
        <v>3.869605069533596E-4</v>
      </c>
      <c r="BS61" s="24">
        <f t="shared" si="9"/>
        <v>13.310767681710812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10.763461538461542</v>
      </c>
      <c r="BY61" s="13">
        <f>IF('Données projet'!$A$114&gt;35,BY60+BX61-CG60,IF(A61&lt;'Données projet'!$A$114,$BV$205^A61,IF(A61='Données projet'!$A$114,'Données projet'!$B$114,BY60+BX61-CG60)))</f>
        <v>296.875</v>
      </c>
      <c r="BZ61" s="14">
        <f>BY61*VLOOKUP('Données projet'!$B$12,Paramètres!$A$1:$I$89,3,0)*VLOOKUP('Données projet'!$B$12,Paramètres!$A$1:$I$89,5,0)</f>
        <v>138.9375</v>
      </c>
      <c r="CA61" s="14">
        <f t="shared" si="39"/>
        <v>36.053493849661677</v>
      </c>
      <c r="CB61" s="22">
        <f t="shared" si="10"/>
        <v>304.77598095482739</v>
      </c>
      <c r="CC61" s="62">
        <f t="shared" si="11"/>
        <v>598.1093142881607</v>
      </c>
      <c r="CD61" s="62">
        <f ca="1">AVERAGE(OFFSET($CC$3,0,0,'Données projet'!$E$12+1,1))-AVERAGE(OFFSET($H$3,0,0,'Données projet'!$E$12+1,1))</f>
        <v>179.14256291235466</v>
      </c>
      <c r="CE61" s="62">
        <f t="shared" si="40"/>
        <v>107.5256983607585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10.66307692307692</v>
      </c>
      <c r="CT61" s="13">
        <f>IF('Données projet'!$A$140&gt;35,CT60+CS61-DB60,IF(A61&lt;'Données projet'!$A$140,$CQ$205^A61,IF(A61='Données projet'!$A$140,'Données projet'!$B$140,CT60+CS61-DB60)))</f>
        <v>321.09692307692308</v>
      </c>
      <c r="CU61" s="18">
        <f>CT61*VLOOKUP('Données projet'!$B$13,Paramètres!$A$1:$I$89,3,0)*VLOOKUP('Données projet'!$B$13,Paramètres!$A$1:$I$89,5,0)</f>
        <v>192.01596000000001</v>
      </c>
      <c r="CV61" s="14">
        <f t="shared" si="41"/>
        <v>47.985378835949042</v>
      </c>
      <c r="CW61" s="22">
        <f t="shared" si="13"/>
        <v>418.00233180594455</v>
      </c>
      <c r="CX61" s="62">
        <f t="shared" si="14"/>
        <v>711.33566513927781</v>
      </c>
      <c r="CY61" s="62">
        <f ca="1">AVERAGE(OFFSET($CX$3,0,0,'Données projet'!$E$13+1,1))-AVERAGE(OFFSET($H$3,0,0,'Données projet'!$E$13+1,1))</f>
        <v>237.03649693529445</v>
      </c>
      <c r="CZ61" s="62">
        <f t="shared" si="42"/>
        <v>191.04289411674887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3.2122005476351565E-4</v>
      </c>
      <c r="DI61" s="24">
        <f t="shared" si="15"/>
        <v>3.2122005476351565E-4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4.2539999999999996</v>
      </c>
      <c r="DO61" s="13">
        <f>IF('Données projet'!$A$166&gt;35,DO60+DN61-DW60,IF(A61&lt;'Données projet'!$A$166,$DL$205^A61,IF(A61='Données projet'!$A$166,'Données projet'!$B$166,DO60+DN61-DW60)))</f>
        <v>193.96199999999988</v>
      </c>
      <c r="DP61" s="18">
        <f>DO61*VLOOKUP('Données projet'!$B$14,Paramètres!$A$1:$I$89,3,0)*VLOOKUP('Données projet'!$B$14,Paramètres!$A$1:$I$89,5,0)</f>
        <v>223.44422399999985</v>
      </c>
      <c r="DQ61" s="14">
        <f t="shared" si="43"/>
        <v>54.862792654768974</v>
      </c>
      <c r="DR61" s="22">
        <f t="shared" si="16"/>
        <v>484.71805400705563</v>
      </c>
      <c r="DS61" s="62">
        <f t="shared" si="17"/>
        <v>778.05138734038894</v>
      </c>
      <c r="DT61" s="62">
        <f ca="1">AVERAGE(OFFSET($DS$3,0,0,'Données projet'!$E$14+1,1))-AVERAGE(OFFSET($H$3,0,0,'Données projet'!$E$14+1,1))</f>
        <v>431.38469096974364</v>
      </c>
      <c r="DU61" s="62">
        <f t="shared" si="44"/>
        <v>295.48627059086647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0.45067392707680765</v>
      </c>
      <c r="EC61" s="23">
        <f>EXP(-LN(2)/2)*EC60+(1-EXP(-LN(2)/2))/(LN(2)/2)*DW61*DZ61*VLOOKUP('Données projet'!$B$14,Paramètres!$A$1:$I$89,3,0)*0.475*44/12</f>
        <v>2.3427949221946961E-4</v>
      </c>
      <c r="ED61" s="24">
        <f t="shared" si="18"/>
        <v>0.45090820656902714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3.8</v>
      </c>
      <c r="EJ61" s="13">
        <f>IF('Données projet'!$A$192&gt;35,EJ60+EI61-ER60,IF(A61&lt;'Données projet'!$A$192,$EG$205^A61,IF(A61='Données projet'!$A$192,'Données projet'!$B$192,EJ60+EI61-ER60)))</f>
        <v>107.39999999999996</v>
      </c>
      <c r="EK61" s="18">
        <f>EJ61*VLOOKUP('Données projet'!$B$15,Paramètres!$A$1:$I$89,3,0)*VLOOKUP('Données projet'!$B$15,Paramètres!$A$1:$I$89,5,0)</f>
        <v>122.30711999999995</v>
      </c>
      <c r="EL61" s="14">
        <f t="shared" si="45"/>
        <v>32.212499305145236</v>
      </c>
      <c r="EM61" s="22">
        <f t="shared" si="19"/>
        <v>269.12167028979457</v>
      </c>
      <c r="EN61" s="62">
        <f t="shared" si="20"/>
        <v>562.45500362312782</v>
      </c>
      <c r="EO61" s="62">
        <f ca="1">AVERAGE(OFFSET($EN$3,0,0,'Données projet'!$E$15+1,1))-AVERAGE(OFFSET($H$3,0,0,'Données projet'!$E$15+1,1))</f>
        <v>220.03635832253951</v>
      </c>
      <c r="EP61" s="62">
        <f t="shared" si="46"/>
        <v>136.30639155882233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4.4000000000000004</v>
      </c>
      <c r="FE61" s="13">
        <f>IF('Données projet'!$A$218&gt;35,FE60+FD61-FM60,IF(A61&lt;'Données projet'!$A$218,$FB$205^A61,IF(A61='Données projet'!$A$218,'Données projet'!$B$218,FE60+FD61-FM60)))</f>
        <v>336.20000000000022</v>
      </c>
      <c r="FF61" s="18">
        <f>FE61*VLOOKUP('Données projet'!$B$16,Paramètres!$A$1:$I$89,3,0)*VLOOKUP('Données projet'!$B$16,Paramètres!$A$1:$I$89,5,0)</f>
        <v>351.39624000000026</v>
      </c>
      <c r="FG61" s="14">
        <f t="shared" si="47"/>
        <v>81.84994490329116</v>
      </c>
      <c r="FH61" s="22">
        <f t="shared" si="22"/>
        <v>754.57043870656582</v>
      </c>
      <c r="FI61" s="62">
        <f t="shared" si="23"/>
        <v>1047.9037720398992</v>
      </c>
      <c r="FJ61" s="62">
        <f ca="1">AVERAGE(OFFSET($FI$3,0,0,'Données projet'!$E$16+1,1))-AVERAGE(OFFSET($H$3,0,0,'Données projet'!$E$16+1,1))</f>
        <v>641.62708445664862</v>
      </c>
      <c r="FK61" s="62">
        <f t="shared" si="48"/>
        <v>379.46845863546929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1.324208696606579E-3</v>
      </c>
      <c r="FT61" s="24">
        <f t="shared" si="24"/>
        <v>1.324208696606579E-3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3.8</v>
      </c>
      <c r="FZ61" s="13">
        <f>IF('Données projet'!$A$244&gt;35,FZ60+FY61-GH60,IF(A61&lt;'Données projet'!$A$244,$FW$205^A61,IF(A61='Données projet'!$A$244,'Données projet'!$B$244,FZ60+FY61-GH60)))</f>
        <v>107.39999999999996</v>
      </c>
      <c r="GA61" s="18">
        <f>FZ61*VLOOKUP('Données projet'!$B$17,Paramètres!$A$1:$I$89,3,0)*VLOOKUP('Données projet'!$B$17,Paramètres!$A$1:$I$89,5,0)</f>
        <v>103.87727999999997</v>
      </c>
      <c r="GB61" s="14">
        <f t="shared" si="49"/>
        <v>27.883651095560136</v>
      </c>
      <c r="GC61" s="22">
        <f t="shared" si="25"/>
        <v>229.48362165810047</v>
      </c>
      <c r="GD61" s="62">
        <f t="shared" si="26"/>
        <v>522.81695499143382</v>
      </c>
      <c r="GE61" s="62">
        <f ca="1">AVERAGE(OFFSET($GD$3,0,0,'Données projet'!$E$17+1,1))-AVERAGE(OFFSET($H$3,0,0,'Données projet'!$E$17+1,1))</f>
        <v>181.39066880931728</v>
      </c>
      <c r="GF61" s="62">
        <f t="shared" si="50"/>
        <v>116.06078566855524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3.2</v>
      </c>
      <c r="GU61" s="13">
        <f>IF('Données projet'!$A$270&gt;35,GU60+GT61-HC60,IF(A61&lt;'Données projet'!$A$270,$GR$205^A61,IF(A61='Données projet'!$A$270,'Données projet'!$B$270,GU60+GT61-HC60)))</f>
        <v>142.59999999999994</v>
      </c>
      <c r="GV61" s="18">
        <f>GU61*VLOOKUP('Données projet'!$B$18,Paramètres!$A$1:$I$89,3,0)*VLOOKUP('Données projet'!$B$18,Paramètres!$A$1:$I$89,5,0)</f>
        <v>124.57535999999995</v>
      </c>
      <c r="GW61" s="14">
        <f t="shared" si="51"/>
        <v>32.739791806000952</v>
      </c>
      <c r="GX61" s="22">
        <f t="shared" si="28"/>
        <v>273.99055606211817</v>
      </c>
      <c r="GY61" s="62">
        <f t="shared" si="29"/>
        <v>567.32388939545149</v>
      </c>
      <c r="GZ61" s="62">
        <f ca="1">AVERAGE(OFFSET($GY$3,0,0,'Données projet'!$E$18+1,1))-AVERAGE(OFFSET($H$3,0,0,'Données projet'!$E$18+1,1))</f>
        <v>152.84277478695606</v>
      </c>
      <c r="HA61" s="62">
        <f t="shared" si="52"/>
        <v>179.22995976651015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9">
        <f t="shared" si="1"/>
        <v>330.03210345430642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230.58360000000002</v>
      </c>
      <c r="P62" s="14">
        <f t="shared" si="33"/>
        <v>56.408850878327968</v>
      </c>
      <c r="Q62" s="22">
        <f t="shared" si="53"/>
        <v>499.8451852797545</v>
      </c>
      <c r="R62" s="62">
        <f t="shared" si="0"/>
        <v>793.17851861308782</v>
      </c>
      <c r="S62" s="62">
        <f ca="1">AVERAGE(OFFSET($R$3,0,0,'Données projet'!$E$9+1,1))-AVERAGE(OFFSET($H$3,0,0,'Données projet'!$E$9+1,1))</f>
        <v>383.26814640166805</v>
      </c>
      <c r="T62" s="62">
        <f t="shared" si="34"/>
        <v>233.71216103405249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3.8</v>
      </c>
      <c r="AI62" s="14">
        <f>IF('Données projet'!$A$62&gt;35,AI61+AH62-AQ61,IF(A62&lt;'Données projet'!$A$62,$AF$205^A62,IF(A62='Données projet'!$A$62,'Données projet'!$B$62,AI61+AH62-AQ61)))</f>
        <v>111.19999999999996</v>
      </c>
      <c r="AJ62" s="14">
        <f>AI62*VLOOKUP('Données projet'!$B$10,Paramètres!$A$1:$I$89,3,0)*VLOOKUP('Données projet'!$B$10,Paramètres!$A$1:$I$89,5,0)</f>
        <v>119.69567999999995</v>
      </c>
      <c r="AK62" s="14">
        <f t="shared" si="35"/>
        <v>31.604011165765666</v>
      </c>
      <c r="AL62" s="22">
        <f t="shared" si="4"/>
        <v>263.51362878037509</v>
      </c>
      <c r="AM62" s="62">
        <f t="shared" si="5"/>
        <v>556.8469621137084</v>
      </c>
      <c r="AN62" s="62">
        <f ca="1">AVERAGE(OFFSET($AM$3,0,0,'Données projet'!$E$10+1,1))-AVERAGE(OFFSET($H$3,0,0,'Données projet'!$E$10+1,1))</f>
        <v>205.99910063756408</v>
      </c>
      <c r="AO62" s="62">
        <f t="shared" si="36"/>
        <v>128.95330275493671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10.464423076923076</v>
      </c>
      <c r="BD62" s="13">
        <f>IF('Données projet'!$A$88&gt;35,BD61+BC62-BL61,IF(A62&lt;'Données projet'!$A$88,$BA$205^A62,IF(A62='Données projet'!$A$88,'Données projet'!$B$88,BD61+BC62-BL61)))</f>
        <v>343.03557692307703</v>
      </c>
      <c r="BE62" s="14">
        <f>BD62*VLOOKUP('Données projet'!$B$11,Paramètres!$A$1:$I$89,3,0)*VLOOKUP('Données projet'!$B$11,Paramètres!$A$1:$I$89,5,0)</f>
        <v>205.13527500000006</v>
      </c>
      <c r="BF62" s="14">
        <f t="shared" si="37"/>
        <v>50.871075132713329</v>
      </c>
      <c r="BG62" s="22">
        <f t="shared" si="7"/>
        <v>445.87772648114247</v>
      </c>
      <c r="BH62" s="62">
        <f t="shared" si="8"/>
        <v>739.21105981447579</v>
      </c>
      <c r="BI62" s="62">
        <f ca="1">AVERAGE(OFFSET($BH$3,0,0,'Données projet'!$E$11+1,1))-AVERAGE(OFFSET($H$3,0,0,'Données projet'!$E$11+1,1))</f>
        <v>222.20580087523689</v>
      </c>
      <c r="BJ62" s="62">
        <f t="shared" si="38"/>
        <v>232.08940427392253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5.6355414809375501</v>
      </c>
      <c r="BQ62" s="23">
        <f>EXP(-LN(2)/25)*BQ61+(1-EXP(-LN(2)/25))/(LN(2)/25)*Calculateur!BL62*Calculateur!BN62*VLOOKUP('Données projet'!$B$11,Paramètres!$A$1:$I$89,3,0)*0.475*44/12</f>
        <v>7.3553327896419534</v>
      </c>
      <c r="BR62" s="23">
        <f>EXP(-LN(2)/2)*BR61+(1-EXP(-LN(2)/2))/(LN(2)/2)*BL62*BO62*VLOOKUP('Données projet'!$B$11,Paramètres!$A$1:$I$89,3,0)*0.475*44/12</f>
        <v>2.7362239851810475E-4</v>
      </c>
      <c r="BS62" s="24">
        <f t="shared" si="9"/>
        <v>12.991147892978022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10.763461538461542</v>
      </c>
      <c r="BY62" s="13">
        <f>IF('Données projet'!$A$114&gt;35,BY61+BX62-CG61,IF(A62&lt;'Données projet'!$A$114,$BV$205^A62,IF(A62='Données projet'!$A$114,'Données projet'!$B$114,BY61+BX62-CG61)))</f>
        <v>307.63846153846157</v>
      </c>
      <c r="BZ62" s="14">
        <f>BY62*VLOOKUP('Données projet'!$B$12,Paramètres!$A$1:$I$89,3,0)*VLOOKUP('Données projet'!$B$12,Paramètres!$A$1:$I$89,5,0)</f>
        <v>143.97480000000002</v>
      </c>
      <c r="CA62" s="14">
        <f t="shared" si="39"/>
        <v>37.206087411055172</v>
      </c>
      <c r="CB62" s="22">
        <f t="shared" si="10"/>
        <v>315.55671224092112</v>
      </c>
      <c r="CC62" s="62">
        <f t="shared" si="11"/>
        <v>608.89004557425437</v>
      </c>
      <c r="CD62" s="62">
        <f ca="1">AVERAGE(OFFSET($CC$3,0,0,'Données projet'!$E$12+1,1))-AVERAGE(OFFSET($H$3,0,0,'Données projet'!$E$12+1,1))</f>
        <v>179.14256291235466</v>
      </c>
      <c r="CE62" s="62">
        <f t="shared" si="40"/>
        <v>107.5256983607585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10.66307692307692</v>
      </c>
      <c r="CT62" s="13">
        <f>IF('Données projet'!$A$140&gt;35,CT61+CS62-DB61,IF(A62&lt;'Données projet'!$A$140,$CQ$205^A62,IF(A62='Données projet'!$A$140,'Données projet'!$B$140,CT61+CS62-DB61)))</f>
        <v>331.76</v>
      </c>
      <c r="CU62" s="18">
        <f>CT62*VLOOKUP('Données projet'!$B$13,Paramètres!$A$1:$I$89,3,0)*VLOOKUP('Données projet'!$B$13,Paramètres!$A$1:$I$89,5,0)</f>
        <v>198.39248000000001</v>
      </c>
      <c r="CV62" s="14">
        <f t="shared" si="41"/>
        <v>49.39071772551025</v>
      </c>
      <c r="CW62" s="22">
        <f t="shared" si="13"/>
        <v>431.55573603859699</v>
      </c>
      <c r="CX62" s="62">
        <f t="shared" si="14"/>
        <v>724.8890693719303</v>
      </c>
      <c r="CY62" s="62">
        <f ca="1">AVERAGE(OFFSET($CX$3,0,0,'Données projet'!$E$13+1,1))-AVERAGE(OFFSET($H$3,0,0,'Données projet'!$E$13+1,1))</f>
        <v>237.03649693529445</v>
      </c>
      <c r="CZ62" s="62">
        <f t="shared" si="42"/>
        <v>191.04289411674887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2.2713687897639608E-4</v>
      </c>
      <c r="DI62" s="24">
        <f t="shared" si="15"/>
        <v>2.2713687897639608E-4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4.2539999999999996</v>
      </c>
      <c r="DO62" s="13">
        <f>IF('Données projet'!$A$166&gt;35,DO61+DN62-DW61,IF(A62&lt;'Données projet'!$A$166,$DL$205^A62,IF(A62='Données projet'!$A$166,'Données projet'!$B$166,DO61+DN62-DW61)))</f>
        <v>198.21599999999987</v>
      </c>
      <c r="DP62" s="18">
        <f>DO62*VLOOKUP('Données projet'!$B$14,Paramètres!$A$1:$I$89,3,0)*VLOOKUP('Données projet'!$B$14,Paramètres!$A$1:$I$89,5,0)</f>
        <v>228.34483199999983</v>
      </c>
      <c r="DQ62" s="14">
        <f t="shared" si="43"/>
        <v>55.924645215544096</v>
      </c>
      <c r="DR62" s="22">
        <f t="shared" si="16"/>
        <v>495.10267281707235</v>
      </c>
      <c r="DS62" s="62">
        <f t="shared" si="17"/>
        <v>788.43600615040566</v>
      </c>
      <c r="DT62" s="62">
        <f ca="1">AVERAGE(OFFSET($DS$3,0,0,'Données projet'!$E$14+1,1))-AVERAGE(OFFSET($H$3,0,0,'Données projet'!$E$14+1,1))</f>
        <v>431.38469096974364</v>
      </c>
      <c r="DU62" s="62">
        <f t="shared" si="44"/>
        <v>295.48627059086647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0.43835022484098052</v>
      </c>
      <c r="EC62" s="23">
        <f>EXP(-LN(2)/2)*EC61+(1-EXP(-LN(2)/2))/(LN(2)/2)*DW62*DZ62*VLOOKUP('Données projet'!$B$14,Paramètres!$A$1:$I$89,3,0)*0.475*44/12</f>
        <v>1.6566061764132796E-4</v>
      </c>
      <c r="ED62" s="24">
        <f t="shared" si="18"/>
        <v>0.43851588545862186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3.8</v>
      </c>
      <c r="EJ62" s="13">
        <f>IF('Données projet'!$A$192&gt;35,EJ61+EI62-ER61,IF(A62&lt;'Données projet'!$A$192,$EG$205^A62,IF(A62='Données projet'!$A$192,'Données projet'!$B$192,EJ61+EI62-ER61)))</f>
        <v>111.19999999999996</v>
      </c>
      <c r="EK62" s="18">
        <f>EJ62*VLOOKUP('Données projet'!$B$15,Paramètres!$A$1:$I$89,3,0)*VLOOKUP('Données projet'!$B$15,Paramètres!$A$1:$I$89,5,0)</f>
        <v>126.63455999999996</v>
      </c>
      <c r="EL62" s="14">
        <f t="shared" si="45"/>
        <v>33.217521837722217</v>
      </c>
      <c r="EM62" s="22">
        <f t="shared" si="19"/>
        <v>278.40904253403284</v>
      </c>
      <c r="EN62" s="62">
        <f t="shared" si="20"/>
        <v>571.74237586736615</v>
      </c>
      <c r="EO62" s="62">
        <f ca="1">AVERAGE(OFFSET($EN$3,0,0,'Données projet'!$E$15+1,1))-AVERAGE(OFFSET($H$3,0,0,'Données projet'!$E$15+1,1))</f>
        <v>220.03635832253951</v>
      </c>
      <c r="EP62" s="62">
        <f t="shared" si="46"/>
        <v>136.30639155882233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4.4000000000000004</v>
      </c>
      <c r="FE62" s="13">
        <f>IF('Données projet'!$A$218&gt;35,FE61+FD62-FM61,IF(A62&lt;'Données projet'!$A$218,$FB$205^A62,IF(A62='Données projet'!$A$218,'Données projet'!$B$218,FE61+FD62-FM61)))</f>
        <v>340.60000000000019</v>
      </c>
      <c r="FF62" s="18">
        <f>FE62*VLOOKUP('Données projet'!$B$16,Paramètres!$A$1:$I$89,3,0)*VLOOKUP('Données projet'!$B$16,Paramètres!$A$1:$I$89,5,0)</f>
        <v>355.99512000000021</v>
      </c>
      <c r="FG62" s="14">
        <f t="shared" si="47"/>
        <v>82.795745848350293</v>
      </c>
      <c r="FH62" s="22">
        <f t="shared" si="22"/>
        <v>764.22742468587705</v>
      </c>
      <c r="FI62" s="62">
        <f t="shared" si="23"/>
        <v>1057.5607580192104</v>
      </c>
      <c r="FJ62" s="62">
        <f ca="1">AVERAGE(OFFSET($FI$3,0,0,'Données projet'!$E$16+1,1))-AVERAGE(OFFSET($H$3,0,0,'Données projet'!$E$16+1,1))</f>
        <v>641.62708445664862</v>
      </c>
      <c r="FK62" s="62">
        <f t="shared" si="48"/>
        <v>379.46845863546929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9.3635694907671159E-4</v>
      </c>
      <c r="FT62" s="24">
        <f t="shared" si="24"/>
        <v>9.3635694907671159E-4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3.8</v>
      </c>
      <c r="FZ62" s="13">
        <f>IF('Données projet'!$A$244&gt;35,FZ61+FY62-GH61,IF(A62&lt;'Données projet'!$A$244,$FW$205^A62,IF(A62='Données projet'!$A$244,'Données projet'!$B$244,FZ61+FY62-GH61)))</f>
        <v>111.19999999999996</v>
      </c>
      <c r="GA62" s="18">
        <f>FZ62*VLOOKUP('Données projet'!$B$17,Paramètres!$A$1:$I$89,3,0)*VLOOKUP('Données projet'!$B$17,Paramètres!$A$1:$I$89,5,0)</f>
        <v>107.55263999999997</v>
      </c>
      <c r="GB62" s="14">
        <f t="shared" si="49"/>
        <v>28.753614564587743</v>
      </c>
      <c r="GC62" s="22">
        <f t="shared" si="25"/>
        <v>237.40006003332357</v>
      </c>
      <c r="GD62" s="62">
        <f t="shared" si="26"/>
        <v>530.73339336665686</v>
      </c>
      <c r="GE62" s="62">
        <f ca="1">AVERAGE(OFFSET($GD$3,0,0,'Données projet'!$E$17+1,1))-AVERAGE(OFFSET($H$3,0,0,'Données projet'!$E$17+1,1))</f>
        <v>181.39066880931728</v>
      </c>
      <c r="GF62" s="62">
        <f t="shared" si="50"/>
        <v>116.06078566855524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3.2</v>
      </c>
      <c r="GU62" s="13">
        <f>IF('Données projet'!$A$270&gt;35,GU61+GT62-HC61,IF(A62&lt;'Données projet'!$A$270,$GR$205^A62,IF(A62='Données projet'!$A$270,'Données projet'!$B$270,GU61+GT62-HC61)))</f>
        <v>145.79999999999993</v>
      </c>
      <c r="GV62" s="18">
        <f>GU62*VLOOKUP('Données projet'!$B$18,Paramètres!$A$1:$I$89,3,0)*VLOOKUP('Données projet'!$B$18,Paramètres!$A$1:$I$89,5,0)</f>
        <v>127.37087999999996</v>
      </c>
      <c r="GW62" s="14">
        <f t="shared" si="51"/>
        <v>33.388126388800494</v>
      </c>
      <c r="GX62" s="22">
        <f t="shared" si="28"/>
        <v>279.98860279382745</v>
      </c>
      <c r="GY62" s="62">
        <f t="shared" si="29"/>
        <v>573.32193612716082</v>
      </c>
      <c r="GZ62" s="62">
        <f ca="1">AVERAGE(OFFSET($GY$3,0,0,'Données projet'!$E$18+1,1))-AVERAGE(OFFSET($H$3,0,0,'Données projet'!$E$18+1,1))</f>
        <v>152.84277478695606</v>
      </c>
      <c r="HA62" s="62">
        <f t="shared" si="52"/>
        <v>179.22995976651015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9">
        <f t="shared" si="1"/>
        <v>331.24128132887591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238.29000000000002</v>
      </c>
      <c r="P63" s="14">
        <f t="shared" si="33"/>
        <v>58.071462681001513</v>
      </c>
      <c r="Q63" s="22">
        <f t="shared" si="53"/>
        <v>516.16288083607753</v>
      </c>
      <c r="R63" s="62">
        <f t="shared" si="0"/>
        <v>809.49621416941091</v>
      </c>
      <c r="S63" s="62">
        <f ca="1">AVERAGE(OFFSET($R$3,0,0,'Données projet'!$E$9+1,1))-AVERAGE(OFFSET($H$3,0,0,'Données projet'!$E$9+1,1))</f>
        <v>383.26814640166805</v>
      </c>
      <c r="T63" s="62">
        <f t="shared" si="34"/>
        <v>233.71216103405249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115</v>
      </c>
      <c r="AG63" s="13">
        <f>VLOOKUP(A63,'Données projet'!$A$61:$I$81,9,0)</f>
        <v>3.8</v>
      </c>
      <c r="AH63" s="13">
        <f t="array" ref="AH63">INDEX(AG:AG,MIN(IF(ISNUMBER(AG63:AG259),ROW(AG63:AG259),"")))</f>
        <v>3.8</v>
      </c>
      <c r="AI63" s="14">
        <f>IF('Données projet'!$A$62&gt;35,AI62+AH63-AQ62,IF(A63&lt;'Données projet'!$A$62,$AF$205^A63,IF(A63='Données projet'!$A$62,'Données projet'!$B$62,AI62+AH63-AQ62)))</f>
        <v>114.99999999999996</v>
      </c>
      <c r="AJ63" s="14">
        <f>AI63*VLOOKUP('Données projet'!$B$10,Paramètres!$A$1:$I$89,3,0)*VLOOKUP('Données projet'!$B$10,Paramètres!$A$1:$I$89,5,0)</f>
        <v>123.78599999999994</v>
      </c>
      <c r="AK63" s="14">
        <f t="shared" si="35"/>
        <v>32.556418931566412</v>
      </c>
      <c r="AL63" s="22">
        <f t="shared" si="4"/>
        <v>272.29637963914473</v>
      </c>
      <c r="AM63" s="62">
        <f t="shared" si="5"/>
        <v>565.62971297247805</v>
      </c>
      <c r="AN63" s="62">
        <f ca="1">AVERAGE(OFFSET($AM$3,0,0,'Données projet'!$E$10+1,1))-AVERAGE(OFFSET($H$3,0,0,'Données projet'!$E$10+1,1))</f>
        <v>205.99910063756408</v>
      </c>
      <c r="AO63" s="62">
        <f t="shared" si="36"/>
        <v>128.95330275493671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353.5</v>
      </c>
      <c r="BB63" s="13">
        <f>VLOOKUP(A63,'Données projet'!$A$87:$I$107,9,0)</f>
        <v>10.464423076923076</v>
      </c>
      <c r="BC63" s="13">
        <f t="array" ref="BC63">INDEX(BB:BB,MIN(IF(ISNUMBER(BB63:BB259),ROW(BB63:BB259),"")))</f>
        <v>10.464423076923076</v>
      </c>
      <c r="BD63" s="13">
        <f>IF('Données projet'!$A$88&gt;35,BD62+BC63-BL62,IF(A63&lt;'Données projet'!$A$88,$BA$205^A63,IF(A63='Données projet'!$A$88,'Données projet'!$B$88,BD62+BC63-BL62)))</f>
        <v>353.50000000000011</v>
      </c>
      <c r="BE63" s="14">
        <f>BD63*VLOOKUP('Données projet'!$B$11,Paramètres!$A$1:$I$89,3,0)*VLOOKUP('Données projet'!$B$11,Paramètres!$A$1:$I$89,5,0)</f>
        <v>211.39300000000009</v>
      </c>
      <c r="BF63" s="14">
        <f t="shared" si="37"/>
        <v>52.239874015944089</v>
      </c>
      <c r="BG63" s="22">
        <f t="shared" si="7"/>
        <v>459.16058891110282</v>
      </c>
      <c r="BH63" s="62">
        <f t="shared" si="8"/>
        <v>752.49392224443613</v>
      </c>
      <c r="BI63" s="62">
        <f ca="1">AVERAGE(OFFSET($BH$3,0,0,'Données projet'!$E$11+1,1))-AVERAGE(OFFSET($H$3,0,0,'Données projet'!$E$11+1,1))</f>
        <v>222.20580087523689</v>
      </c>
      <c r="BJ63" s="62">
        <f t="shared" si="38"/>
        <v>232.08940427392253</v>
      </c>
      <c r="BK63" s="16">
        <f>IF(ISNA(VLOOKUP(A63,'Données projet'!$A$87:$I$107,3,0)),0,VLOOKUP(A63,'Données projet'!$A$87:$I$107,3,0))</f>
        <v>7</v>
      </c>
      <c r="BL63" s="16">
        <f>IF(ISNA(VLOOKUP(A63,'Données projet'!$A$87:$I$107,4,0)),0,VLOOKUP(A63,'Données projet'!$A$87:$I$107,4,0))</f>
        <v>353.5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5.5250319498372589</v>
      </c>
      <c r="BQ63" s="23">
        <f>EXP(-LN(2)/25)*BQ62+(1-EXP(-LN(2)/25))/(LN(2)/25)*Calculateur!BL63*Calculateur!BN63*VLOOKUP('Données projet'!$B$11,Paramètres!$A$1:$I$89,3,0)*0.475*44/12</f>
        <v>7.1542008277090536</v>
      </c>
      <c r="BR63" s="23">
        <f>EXP(-LN(2)/2)*BR62+(1-EXP(-LN(2)/2))/(LN(2)/2)*BL63*BO63*VLOOKUP('Données projet'!$B$11,Paramètres!$A$1:$I$89,3,0)*0.475*44/12</f>
        <v>1.934802534766798E-4</v>
      </c>
      <c r="BS63" s="24">
        <f t="shared" si="9"/>
        <v>12.67942625779979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10.763461538461542</v>
      </c>
      <c r="BY63" s="13">
        <f>IF('Données projet'!$A$114&gt;35,BY62+BX63-CG62,IF(A63&lt;'Données projet'!$A$114,$BV$205^A63,IF(A63='Données projet'!$A$114,'Données projet'!$B$114,BY62+BX63-CG62)))</f>
        <v>318.40192307692314</v>
      </c>
      <c r="BZ63" s="14">
        <f>BY63*VLOOKUP('Données projet'!$B$12,Paramètres!$A$1:$I$89,3,0)*VLOOKUP('Données projet'!$B$12,Paramètres!$A$1:$I$89,5,0)</f>
        <v>149.01210000000003</v>
      </c>
      <c r="CA63" s="14">
        <f t="shared" si="39"/>
        <v>38.353995535783497</v>
      </c>
      <c r="CB63" s="22">
        <f t="shared" si="10"/>
        <v>326.32928305815631</v>
      </c>
      <c r="CC63" s="62">
        <f t="shared" si="11"/>
        <v>619.66261639148956</v>
      </c>
      <c r="CD63" s="62">
        <f ca="1">AVERAGE(OFFSET($CC$3,0,0,'Données projet'!$E$12+1,1))-AVERAGE(OFFSET($H$3,0,0,'Données projet'!$E$12+1,1))</f>
        <v>179.14256291235466</v>
      </c>
      <c r="CE63" s="62">
        <f t="shared" si="40"/>
        <v>107.5256983607585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342.42307692307691</v>
      </c>
      <c r="CR63" s="13">
        <f>VLOOKUP(A63,'Données projet'!$A$139:$I$159,9,0)</f>
        <v>10.66307692307692</v>
      </c>
      <c r="CS63" s="13">
        <f t="array" ref="CS63">INDEX(CR:CR,MIN(IF(ISNUMBER(CR63:CR259),ROW(CR63:CR259),"")))</f>
        <v>10.66307692307692</v>
      </c>
      <c r="CT63" s="13">
        <f>IF('Données projet'!$A$140&gt;35,CT62+CS63-DB62,IF(A63&lt;'Données projet'!$A$140,$CQ$205^A63,IF(A63='Données projet'!$A$140,'Données projet'!$B$140,CT62+CS63-DB62)))</f>
        <v>342.42307692307691</v>
      </c>
      <c r="CU63" s="18">
        <f>CT63*VLOOKUP('Données projet'!$B$13,Paramètres!$A$1:$I$89,3,0)*VLOOKUP('Données projet'!$B$13,Paramètres!$A$1:$I$89,5,0)</f>
        <v>204.76900000000001</v>
      </c>
      <c r="CV63" s="14">
        <f t="shared" si="41"/>
        <v>50.790807822254017</v>
      </c>
      <c r="CW63" s="22">
        <f t="shared" si="13"/>
        <v>445.09999862375906</v>
      </c>
      <c r="CX63" s="62">
        <f t="shared" si="14"/>
        <v>738.43333195709238</v>
      </c>
      <c r="CY63" s="62">
        <f ca="1">AVERAGE(OFFSET($CX$3,0,0,'Données projet'!$E$13+1,1))-AVERAGE(OFFSET($H$3,0,0,'Données projet'!$E$13+1,1))</f>
        <v>237.03649693529445</v>
      </c>
      <c r="CZ63" s="62">
        <f t="shared" si="42"/>
        <v>191.04289411674887</v>
      </c>
      <c r="DA63" s="16">
        <f>IF(ISNA(VLOOKUP(A63,'Données projet'!$A$139:$I$159,3,0)),0,VLOOKUP(A63,'Données projet'!$A$139:$I$159,3,0))</f>
        <v>6</v>
      </c>
      <c r="DB63" s="16">
        <f>IF(ISNA(VLOOKUP(A63,'Données projet'!$A$139:$I$159,4,0)),0,VLOOKUP(A63,'Données projet'!$A$139:$I$159,4,0))</f>
        <v>54.261538461538464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1.6061002738175783E-4</v>
      </c>
      <c r="DI63" s="24">
        <f t="shared" si="15"/>
        <v>1.6061002738175783E-4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202.47</v>
      </c>
      <c r="DM63" s="13">
        <f>VLOOKUP(A63,'Données projet'!$A$165:$I$185,9,0)</f>
        <v>4.2539999999999996</v>
      </c>
      <c r="DN63" s="13">
        <f t="array" ref="DN63">INDEX(DM:DM,MIN(IF(ISNUMBER(DM63:DM259),ROW(DM63:DM259),"")))</f>
        <v>4.2539999999999996</v>
      </c>
      <c r="DO63" s="13">
        <f>IF('Données projet'!$A$166&gt;35,DO62+DN63-DW62,IF(A63&lt;'Données projet'!$A$166,$DL$205^A63,IF(A63='Données projet'!$A$166,'Données projet'!$B$166,DO62+DN63-DW62)))</f>
        <v>202.46999999999986</v>
      </c>
      <c r="DP63" s="18">
        <f>DO63*VLOOKUP('Données projet'!$B$14,Paramètres!$A$1:$I$89,3,0)*VLOOKUP('Données projet'!$B$14,Paramètres!$A$1:$I$89,5,0)</f>
        <v>233.2454399999998</v>
      </c>
      <c r="DQ63" s="14">
        <f t="shared" si="43"/>
        <v>56.983848246130201</v>
      </c>
      <c r="DR63" s="22">
        <f t="shared" si="16"/>
        <v>505.48267702867639</v>
      </c>
      <c r="DS63" s="62">
        <f t="shared" si="17"/>
        <v>798.81601036200971</v>
      </c>
      <c r="DT63" s="62">
        <f ca="1">AVERAGE(OFFSET($DS$3,0,0,'Données projet'!$E$14+1,1))-AVERAGE(OFFSET($H$3,0,0,'Données projet'!$E$14+1,1))</f>
        <v>431.38469096974364</v>
      </c>
      <c r="DU63" s="62">
        <f t="shared" si="44"/>
        <v>295.48627059086647</v>
      </c>
      <c r="DV63" s="16">
        <f>IF(ISNA(VLOOKUP(A63,'Données projet'!$A$165:$I$185,3,0)),0,VLOOKUP(A63,'Données projet'!$A$165:$I$185,3,0))</f>
        <v>6</v>
      </c>
      <c r="DW63" s="16">
        <f>IF(ISNA(VLOOKUP(A63,'Données projet'!$A$165:$I$185,4,0)),0,VLOOKUP(A63,'Données projet'!$A$165:$I$185,4,0))</f>
        <v>19.8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0.42636351489086743</v>
      </c>
      <c r="EC63" s="23">
        <f>EXP(-LN(2)/2)*EC62+(1-EXP(-LN(2)/2))/(LN(2)/2)*DW63*DZ63*VLOOKUP('Données projet'!$B$14,Paramètres!$A$1:$I$89,3,0)*0.475*44/12</f>
        <v>1.171397461097348E-4</v>
      </c>
      <c r="ED63" s="24">
        <f t="shared" si="18"/>
        <v>0.42648065463697715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115</v>
      </c>
      <c r="EH63" s="13">
        <f>VLOOKUP(A63,'Données projet'!$A$191:$I$211,9,0)</f>
        <v>3.8</v>
      </c>
      <c r="EI63" s="13">
        <f t="array" ref="EI63">INDEX(EH:EH,MIN(IF(ISNUMBER(EH63:EH259),ROW(EH63:EH259),"")))</f>
        <v>3.8</v>
      </c>
      <c r="EJ63" s="13">
        <f>IF('Données projet'!$A$192&gt;35,EJ62+EI63-ER62,IF(A63&lt;'Données projet'!$A$192,$EG$205^A63,IF(A63='Données projet'!$A$192,'Données projet'!$B$192,EJ62+EI63-ER62)))</f>
        <v>114.99999999999996</v>
      </c>
      <c r="EK63" s="18">
        <f>EJ63*VLOOKUP('Données projet'!$B$15,Paramètres!$A$1:$I$89,3,0)*VLOOKUP('Données projet'!$B$15,Paramètres!$A$1:$I$89,5,0)</f>
        <v>130.96199999999993</v>
      </c>
      <c r="EL63" s="14">
        <f t="shared" si="45"/>
        <v>34.218553814105391</v>
      </c>
      <c r="EM63" s="22">
        <f t="shared" si="19"/>
        <v>287.68946455956683</v>
      </c>
      <c r="EN63" s="62">
        <f t="shared" si="20"/>
        <v>581.02279789290014</v>
      </c>
      <c r="EO63" s="62">
        <f ca="1">AVERAGE(OFFSET($EN$3,0,0,'Données projet'!$E$15+1,1))-AVERAGE(OFFSET($H$3,0,0,'Données projet'!$E$15+1,1))</f>
        <v>220.03635832253951</v>
      </c>
      <c r="EP63" s="62">
        <f t="shared" si="46"/>
        <v>136.30639155882233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345</v>
      </c>
      <c r="FC63" s="13">
        <f>VLOOKUP(A63,'Données projet'!$A$217:$I$237,9,0)</f>
        <v>4.4000000000000004</v>
      </c>
      <c r="FD63" s="13">
        <f t="array" ref="FD63">INDEX(FC:FC,MIN(IF(ISNUMBER(FC63:FC259),ROW(FC63:FC259),"")))</f>
        <v>4.4000000000000004</v>
      </c>
      <c r="FE63" s="13">
        <f>IF('Données projet'!$A$218&gt;35,FE62+FD63-FM62,IF(A63&lt;'Données projet'!$A$218,$FB$205^A63,IF(A63='Données projet'!$A$218,'Données projet'!$B$218,FE62+FD63-FM62)))</f>
        <v>345.00000000000017</v>
      </c>
      <c r="FF63" s="18">
        <f>FE63*VLOOKUP('Données projet'!$B$16,Paramètres!$A$1:$I$89,3,0)*VLOOKUP('Données projet'!$B$16,Paramètres!$A$1:$I$89,5,0)</f>
        <v>360.59400000000022</v>
      </c>
      <c r="FG63" s="14">
        <f t="shared" si="47"/>
        <v>83.740125620084939</v>
      </c>
      <c r="FH63" s="22">
        <f t="shared" si="22"/>
        <v>773.88193545498154</v>
      </c>
      <c r="FI63" s="62">
        <f t="shared" si="23"/>
        <v>1067.2152687883149</v>
      </c>
      <c r="FJ63" s="62">
        <f ca="1">AVERAGE(OFFSET($FI$3,0,0,'Données projet'!$E$16+1,1))-AVERAGE(OFFSET($H$3,0,0,'Données projet'!$E$16+1,1))</f>
        <v>641.62708445664862</v>
      </c>
      <c r="FK63" s="62">
        <f t="shared" si="48"/>
        <v>379.46845863546929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38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6.6210434830328959E-4</v>
      </c>
      <c r="FT63" s="24">
        <f t="shared" si="24"/>
        <v>6.6210434830328959E-4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115</v>
      </c>
      <c r="FX63" s="13">
        <f>VLOOKUP(A63,'Données projet'!$A$243:$I$263,9,0)</f>
        <v>3.8</v>
      </c>
      <c r="FY63" s="13">
        <f t="array" ref="FY63">INDEX(FX:FX,MIN(IF(ISNUMBER(FX63:FX259),ROW(FX63:FX259),"")))</f>
        <v>3.8</v>
      </c>
      <c r="FZ63" s="13">
        <f>IF('Données projet'!$A$244&gt;35,FZ62+FY63-GH62,IF(A63&lt;'Données projet'!$A$244,$FW$205^A63,IF(A63='Données projet'!$A$244,'Données projet'!$B$244,FZ62+FY63-GH62)))</f>
        <v>114.99999999999996</v>
      </c>
      <c r="GA63" s="18">
        <f>FZ63*VLOOKUP('Données projet'!$B$17,Paramètres!$A$1:$I$89,3,0)*VLOOKUP('Données projet'!$B$17,Paramètres!$A$1:$I$89,5,0)</f>
        <v>111.22799999999995</v>
      </c>
      <c r="GB63" s="14">
        <f t="shared" si="49"/>
        <v>29.620123744783804</v>
      </c>
      <c r="GC63" s="22">
        <f t="shared" si="25"/>
        <v>245.31048218883168</v>
      </c>
      <c r="GD63" s="62">
        <f t="shared" si="26"/>
        <v>538.64381552216503</v>
      </c>
      <c r="GE63" s="62">
        <f ca="1">AVERAGE(OFFSET($GD$3,0,0,'Données projet'!$E$17+1,1))-AVERAGE(OFFSET($H$3,0,0,'Données projet'!$E$17+1,1))</f>
        <v>181.39066880931728</v>
      </c>
      <c r="GF63" s="62">
        <f t="shared" si="50"/>
        <v>116.06078566855524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149</v>
      </c>
      <c r="GS63" s="13">
        <f>VLOOKUP(A63,'Données projet'!$A$269:$I$289,9,0)</f>
        <v>3.2</v>
      </c>
      <c r="GT63" s="13">
        <f t="array" ref="GT63">INDEX(GS:GS,MIN(IF(ISNUMBER(GS63:GS259),ROW(GS63:GS259),"")))</f>
        <v>3.2</v>
      </c>
      <c r="GU63" s="13">
        <f>IF('Données projet'!$A$270&gt;35,GU62+GT63-HC62,IF(A63&lt;'Données projet'!$A$270,$GR$205^A63,IF(A63='Données projet'!$A$270,'Données projet'!$B$270,GU62+GT63-HC62)))</f>
        <v>148.99999999999991</v>
      </c>
      <c r="GV63" s="18">
        <f>GU63*VLOOKUP('Données projet'!$B$18,Paramètres!$A$1:$I$89,3,0)*VLOOKUP('Données projet'!$B$18,Paramètres!$A$1:$I$89,5,0)</f>
        <v>130.16639999999992</v>
      </c>
      <c r="GW63" s="14">
        <f t="shared" si="51"/>
        <v>34.034806623706274</v>
      </c>
      <c r="GX63" s="22">
        <f t="shared" si="28"/>
        <v>285.98376820295493</v>
      </c>
      <c r="GY63" s="62">
        <f t="shared" si="29"/>
        <v>579.31710153628819</v>
      </c>
      <c r="GZ63" s="62">
        <f ca="1">AVERAGE(OFFSET($GY$3,0,0,'Données projet'!$E$18+1,1))-AVERAGE(OFFSET($H$3,0,0,'Données projet'!$E$18+1,1))</f>
        <v>152.84277478695606</v>
      </c>
      <c r="HA63" s="62">
        <f t="shared" si="52"/>
        <v>179.22995976651015</v>
      </c>
      <c r="HB63" s="16">
        <f>IF(ISNA(VLOOKUP(A63,'Données projet'!$A$269:$I$289,3,0)),0,VLOOKUP(A63,'Données projet'!$A$269:$I$289,3,0))</f>
        <v>4</v>
      </c>
      <c r="HC63" s="16">
        <f>IF(ISNA(VLOOKUP(A63,'Données projet'!$A$269:$I$289,4,0)),0,VLOOKUP(A63,'Données projet'!$A$269:$I$289,4,0))</f>
        <v>16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9">
        <f t="shared" si="1"/>
        <v>332.44995870249011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203.00279999999995</v>
      </c>
      <c r="P64" s="14">
        <f t="shared" si="33"/>
        <v>50.403518824343074</v>
      </c>
      <c r="Q64" s="22">
        <f t="shared" si="53"/>
        <v>441.3493386190641</v>
      </c>
      <c r="R64" s="62">
        <f t="shared" si="0"/>
        <v>734.68267195239741</v>
      </c>
      <c r="S64" s="62">
        <f ca="1">AVERAGE(OFFSET($R$3,0,0,'Données projet'!$E$9+1,1))-AVERAGE(OFFSET($H$3,0,0,'Données projet'!$E$9+1,1))</f>
        <v>383.26814640166805</v>
      </c>
      <c r="T64" s="62">
        <f t="shared" si="34"/>
        <v>233.71216103405249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3.8</v>
      </c>
      <c r="AI64" s="14">
        <f>IF('Données projet'!$A$62&gt;35,AI63+AH64-AQ63,IF(A64&lt;'Données projet'!$A$62,$AF$205^A64,IF(A64='Données projet'!$A$62,'Données projet'!$B$62,AI63+AH64-AQ63)))</f>
        <v>118.79999999999995</v>
      </c>
      <c r="AJ64" s="14">
        <f>AI64*VLOOKUP('Données projet'!$B$10,Paramètres!$A$1:$I$89,3,0)*VLOOKUP('Données projet'!$B$10,Paramètres!$A$1:$I$89,5,0)</f>
        <v>127.87631999999995</v>
      </c>
      <c r="AK64" s="14">
        <f t="shared" si="35"/>
        <v>33.505169821414185</v>
      </c>
      <c r="AL64" s="22">
        <f t="shared" si="4"/>
        <v>281.07276143896291</v>
      </c>
      <c r="AM64" s="62">
        <f t="shared" si="5"/>
        <v>574.40609477229623</v>
      </c>
      <c r="AN64" s="62">
        <f ca="1">AVERAGE(OFFSET($AM$3,0,0,'Données projet'!$E$10+1,1))-AVERAGE(OFFSET($H$3,0,0,'Données projet'!$E$10+1,1))</f>
        <v>205.99910063756408</v>
      </c>
      <c r="AO64" s="62">
        <f t="shared" si="36"/>
        <v>128.95330275493671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6.7984728957526396E-14</v>
      </c>
      <c r="BF64" s="14">
        <f t="shared" si="37"/>
        <v>1.0682447123141398E-12</v>
      </c>
      <c r="BG64" s="22">
        <f t="shared" si="7"/>
        <v>1.978932943548152E-12</v>
      </c>
      <c r="BH64" s="62">
        <f t="shared" si="8"/>
        <v>293.3333333333353</v>
      </c>
      <c r="BI64" s="62">
        <f ca="1">AVERAGE(OFFSET($BH$3,0,0,'Données projet'!$E$11+1,1))-AVERAGE(OFFSET($H$3,0,0,'Données projet'!$E$11+1,1))</f>
        <v>222.20580087523689</v>
      </c>
      <c r="BJ64" s="62">
        <f t="shared" si="38"/>
        <v>232.08940427392253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5.4166894432376864</v>
      </c>
      <c r="BQ64" s="23">
        <f>EXP(-LN(2)/25)*BQ63+(1-EXP(-LN(2)/25))/(LN(2)/25)*Calculateur!BL64*Calculateur!BN64*VLOOKUP('Données projet'!$B$11,Paramètres!$A$1:$I$89,3,0)*0.475*44/12</f>
        <v>6.958568829852279</v>
      </c>
      <c r="BR64" s="23">
        <f>EXP(-LN(2)/2)*BR63+(1-EXP(-LN(2)/2))/(LN(2)/2)*BL64*BO64*VLOOKUP('Données projet'!$B$11,Paramètres!$A$1:$I$89,3,0)*0.475*44/12</f>
        <v>1.3681119925905238E-4</v>
      </c>
      <c r="BS64" s="24">
        <f t="shared" si="9"/>
        <v>12.375395084289224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10.763461538461542</v>
      </c>
      <c r="BY64" s="13">
        <f>IF('Données projet'!$A$114&gt;35,BY63+BX64-CG63,IF(A64&lt;'Données projet'!$A$114,$BV$205^A64,IF(A64='Données projet'!$A$114,'Données projet'!$B$114,BY63+BX64-CG63)))</f>
        <v>329.16538461538471</v>
      </c>
      <c r="BZ64" s="14">
        <f>BY64*VLOOKUP('Données projet'!$B$12,Paramètres!$A$1:$I$89,3,0)*VLOOKUP('Données projet'!$B$12,Paramètres!$A$1:$I$89,5,0)</f>
        <v>154.04940000000005</v>
      </c>
      <c r="CA64" s="14">
        <f t="shared" si="39"/>
        <v>39.497394770746702</v>
      </c>
      <c r="CB64" s="22">
        <f t="shared" si="10"/>
        <v>337.09400089238392</v>
      </c>
      <c r="CC64" s="62">
        <f t="shared" si="11"/>
        <v>630.42733422571723</v>
      </c>
      <c r="CD64" s="62">
        <f ca="1">AVERAGE(OFFSET($CC$3,0,0,'Données projet'!$E$12+1,1))-AVERAGE(OFFSET($H$3,0,0,'Données projet'!$E$12+1,1))</f>
        <v>179.14256291235466</v>
      </c>
      <c r="CE64" s="62">
        <f t="shared" si="40"/>
        <v>107.5256983607585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9.1830769230769249</v>
      </c>
      <c r="CT64" s="13">
        <f>IF('Données projet'!$A$140&gt;35,CT63+CS64-DB63,IF(A64&lt;'Données projet'!$A$140,$CQ$205^A64,IF(A64='Données projet'!$A$140,'Données projet'!$B$140,CT63+CS64-DB63)))</f>
        <v>297.34461538461534</v>
      </c>
      <c r="CU64" s="18">
        <f>CT64*VLOOKUP('Données projet'!$B$13,Paramètres!$A$1:$I$89,3,0)*VLOOKUP('Données projet'!$B$13,Paramètres!$A$1:$I$89,5,0)</f>
        <v>177.81207999999998</v>
      </c>
      <c r="CV64" s="14">
        <f t="shared" si="41"/>
        <v>44.835068353066951</v>
      </c>
      <c r="CW64" s="22">
        <f t="shared" si="13"/>
        <v>387.77711671492489</v>
      </c>
      <c r="CX64" s="62">
        <f t="shared" si="14"/>
        <v>681.11045004825814</v>
      </c>
      <c r="CY64" s="62">
        <f ca="1">AVERAGE(OFFSET($CX$3,0,0,'Données projet'!$E$13+1,1))-AVERAGE(OFFSET($H$3,0,0,'Données projet'!$E$13+1,1))</f>
        <v>237.03649693529445</v>
      </c>
      <c r="CZ64" s="62">
        <f t="shared" si="42"/>
        <v>191.04289411674887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1.1356843948819804E-4</v>
      </c>
      <c r="DI64" s="24">
        <f t="shared" si="15"/>
        <v>1.1356843948819804E-4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4.0200000000000014</v>
      </c>
      <c r="DO64" s="13">
        <f>IF('Données projet'!$A$166&gt;35,DO63+DN64-DW63,IF(A64&lt;'Données projet'!$A$166,$DL$205^A64,IF(A64='Données projet'!$A$166,'Données projet'!$B$166,DO63+DN64-DW63)))</f>
        <v>186.68999999999986</v>
      </c>
      <c r="DP64" s="18">
        <f>DO64*VLOOKUP('Données projet'!$B$14,Paramètres!$A$1:$I$89,3,0)*VLOOKUP('Données projet'!$B$14,Paramètres!$A$1:$I$89,5,0)</f>
        <v>215.06687999999983</v>
      </c>
      <c r="DQ64" s="14">
        <f t="shared" si="43"/>
        <v>53.041285401832056</v>
      </c>
      <c r="DR64" s="22">
        <f t="shared" si="16"/>
        <v>466.95505474152384</v>
      </c>
      <c r="DS64" s="62">
        <f t="shared" si="17"/>
        <v>760.28838807485715</v>
      </c>
      <c r="DT64" s="62">
        <f ca="1">AVERAGE(OFFSET($DS$3,0,0,'Données projet'!$E$14+1,1))-AVERAGE(OFFSET($H$3,0,0,'Données projet'!$E$14+1,1))</f>
        <v>431.38469096974364</v>
      </c>
      <c r="DU64" s="62">
        <f t="shared" si="44"/>
        <v>295.48627059086647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0.41470458215469386</v>
      </c>
      <c r="EC64" s="23">
        <f>EXP(-LN(2)/2)*EC63+(1-EXP(-LN(2)/2))/(LN(2)/2)*DW64*DZ64*VLOOKUP('Données projet'!$B$14,Paramètres!$A$1:$I$89,3,0)*0.475*44/12</f>
        <v>8.2830308820663979E-5</v>
      </c>
      <c r="ED64" s="24">
        <f t="shared" si="18"/>
        <v>0.41478741246351453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3.8</v>
      </c>
      <c r="EJ64" s="13">
        <f>IF('Données projet'!$A$192&gt;35,EJ63+EI64-ER63,IF(A64&lt;'Données projet'!$A$192,$EG$205^A64,IF(A64='Données projet'!$A$192,'Données projet'!$B$192,EJ63+EI64-ER63)))</f>
        <v>118.79999999999995</v>
      </c>
      <c r="EK64" s="18">
        <f>EJ64*VLOOKUP('Données projet'!$B$15,Paramètres!$A$1:$I$89,3,0)*VLOOKUP('Données projet'!$B$15,Paramètres!$A$1:$I$89,5,0)</f>
        <v>135.28943999999996</v>
      </c>
      <c r="EL64" s="14">
        <f t="shared" si="45"/>
        <v>35.215742216450188</v>
      </c>
      <c r="EM64" s="22">
        <f t="shared" si="19"/>
        <v>296.96319236031735</v>
      </c>
      <c r="EN64" s="62">
        <f t="shared" si="20"/>
        <v>590.29652569365066</v>
      </c>
      <c r="EO64" s="62">
        <f ca="1">AVERAGE(OFFSET($EN$3,0,0,'Données projet'!$E$15+1,1))-AVERAGE(OFFSET($H$3,0,0,'Données projet'!$E$15+1,1))</f>
        <v>220.03635832253951</v>
      </c>
      <c r="EP64" s="62">
        <f t="shared" si="46"/>
        <v>136.30639155882233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11.6</v>
      </c>
      <c r="FE64" s="13">
        <f>IF('Données projet'!$A$218&gt;35,FE63+FD64-FM63,IF(A64&lt;'Données projet'!$A$218,$FB$205^A64,IF(A64='Données projet'!$A$218,'Données projet'!$B$218,FE63+FD64-FM63)))</f>
        <v>318.60000000000019</v>
      </c>
      <c r="FF64" s="18">
        <f>FE64*VLOOKUP('Données projet'!$B$16,Paramètres!$A$1:$I$89,3,0)*VLOOKUP('Données projet'!$B$16,Paramètres!$A$1:$I$89,5,0)</f>
        <v>333.00072000000023</v>
      </c>
      <c r="FG64" s="14">
        <f t="shared" si="47"/>
        <v>78.052104855001545</v>
      </c>
      <c r="FH64" s="22">
        <f t="shared" si="22"/>
        <v>715.91700328912805</v>
      </c>
      <c r="FI64" s="62">
        <f t="shared" si="23"/>
        <v>1009.2503366224614</v>
      </c>
      <c r="FJ64" s="62">
        <f ca="1">AVERAGE(OFFSET($FI$3,0,0,'Données projet'!$E$16+1,1))-AVERAGE(OFFSET($H$3,0,0,'Données projet'!$E$16+1,1))</f>
        <v>641.62708445664862</v>
      </c>
      <c r="FK64" s="62">
        <f t="shared" si="48"/>
        <v>379.46845863546929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4.6817847453835585E-4</v>
      </c>
      <c r="FT64" s="24">
        <f t="shared" si="24"/>
        <v>4.6817847453835585E-4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3.8</v>
      </c>
      <c r="FZ64" s="13">
        <f>IF('Données projet'!$A$244&gt;35,FZ63+FY64-GH63,IF(A64&lt;'Données projet'!$A$244,$FW$205^A64,IF(A64='Données projet'!$A$244,'Données projet'!$B$244,FZ63+FY64-GH63)))</f>
        <v>118.79999999999995</v>
      </c>
      <c r="GA64" s="18">
        <f>FZ64*VLOOKUP('Données projet'!$B$17,Paramètres!$A$1:$I$89,3,0)*VLOOKUP('Données projet'!$B$17,Paramètres!$A$1:$I$89,5,0)</f>
        <v>114.90335999999996</v>
      </c>
      <c r="GB64" s="14">
        <f t="shared" si="49"/>
        <v>30.483305866236858</v>
      </c>
      <c r="GC64" s="22">
        <f t="shared" si="25"/>
        <v>253.21510971702909</v>
      </c>
      <c r="GD64" s="62">
        <f t="shared" si="26"/>
        <v>546.54844305036238</v>
      </c>
      <c r="GE64" s="62">
        <f ca="1">AVERAGE(OFFSET($GD$3,0,0,'Données projet'!$E$17+1,1))-AVERAGE(OFFSET($H$3,0,0,'Données projet'!$E$17+1,1))</f>
        <v>181.39066880931728</v>
      </c>
      <c r="GF64" s="62">
        <f t="shared" si="50"/>
        <v>116.06078566855524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2.6</v>
      </c>
      <c r="GU64" s="13">
        <f>IF('Données projet'!$A$270&gt;35,GU63+GT64-HC63,IF(A64&lt;'Données projet'!$A$270,$GR$205^A64,IF(A64='Données projet'!$A$270,'Données projet'!$B$270,GU63+GT64-HC63)))</f>
        <v>135.59999999999991</v>
      </c>
      <c r="GV64" s="18">
        <f>GU64*VLOOKUP('Données projet'!$B$18,Paramètres!$A$1:$I$89,3,0)*VLOOKUP('Données projet'!$B$18,Paramètres!$A$1:$I$89,5,0)</f>
        <v>118.46015999999993</v>
      </c>
      <c r="GW64" s="14">
        <f t="shared" si="51"/>
        <v>31.315587396029649</v>
      </c>
      <c r="GX64" s="22">
        <f t="shared" si="28"/>
        <v>260.85942671475146</v>
      </c>
      <c r="GY64" s="62">
        <f t="shared" si="29"/>
        <v>554.19276004808478</v>
      </c>
      <c r="GZ64" s="62">
        <f ca="1">AVERAGE(OFFSET($GY$3,0,0,'Données projet'!$E$18+1,1))-AVERAGE(OFFSET($H$3,0,0,'Données projet'!$E$18+1,1))</f>
        <v>152.84277478695606</v>
      </c>
      <c r="HA64" s="62">
        <f t="shared" si="52"/>
        <v>179.22995976651015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9">
        <f t="shared" si="1"/>
        <v>333.65814472722889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210.30359999999996</v>
      </c>
      <c r="P65" s="14">
        <f t="shared" si="33"/>
        <v>52.001924357524459</v>
      </c>
      <c r="Q65" s="22">
        <f t="shared" si="53"/>
        <v>456.84878825602163</v>
      </c>
      <c r="R65" s="62">
        <f t="shared" si="0"/>
        <v>750.18212158935489</v>
      </c>
      <c r="S65" s="62">
        <f ca="1">AVERAGE(OFFSET($R$3,0,0,'Données projet'!$E$9+1,1))-AVERAGE(OFFSET($H$3,0,0,'Données projet'!$E$9+1,1))</f>
        <v>383.26814640166805</v>
      </c>
      <c r="T65" s="62">
        <f t="shared" si="34"/>
        <v>233.71216103405249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3.8</v>
      </c>
      <c r="AI65" s="14">
        <f>IF('Données projet'!$A$62&gt;35,AI64+AH65-AQ64,IF(A65&lt;'Données projet'!$A$62,$AF$205^A65,IF(A65='Données projet'!$A$62,'Données projet'!$B$62,AI64+AH65-AQ64)))</f>
        <v>122.59999999999995</v>
      </c>
      <c r="AJ65" s="14">
        <f>AI65*VLOOKUP('Données projet'!$B$10,Paramètres!$A$1:$I$89,3,0)*VLOOKUP('Données projet'!$B$10,Paramètres!$A$1:$I$89,5,0)</f>
        <v>131.96663999999996</v>
      </c>
      <c r="AK65" s="14">
        <f t="shared" si="35"/>
        <v>34.450394223819067</v>
      </c>
      <c r="AL65" s="22">
        <f t="shared" si="4"/>
        <v>289.84300127315146</v>
      </c>
      <c r="AM65" s="62">
        <f t="shared" si="5"/>
        <v>583.17633460648472</v>
      </c>
      <c r="AN65" s="62">
        <f ca="1">AVERAGE(OFFSET($AM$3,0,0,'Données projet'!$E$10+1,1))-AVERAGE(OFFSET($H$3,0,0,'Données projet'!$E$10+1,1))</f>
        <v>205.99910063756408</v>
      </c>
      <c r="AO65" s="62">
        <f t="shared" si="36"/>
        <v>128.95330275493671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6.7984728957526396E-14</v>
      </c>
      <c r="BF65" s="14">
        <f t="shared" si="37"/>
        <v>1.0682447123141398E-12</v>
      </c>
      <c r="BG65" s="22">
        <f t="shared" si="7"/>
        <v>1.978932943548152E-12</v>
      </c>
      <c r="BH65" s="62">
        <f t="shared" si="8"/>
        <v>293.3333333333353</v>
      </c>
      <c r="BI65" s="62">
        <f ca="1">AVERAGE(OFFSET($BH$3,0,0,'Données projet'!$E$11+1,1))-AVERAGE(OFFSET($H$3,0,0,'Données projet'!$E$11+1,1))</f>
        <v>222.20580087523689</v>
      </c>
      <c r="BJ65" s="62">
        <f t="shared" si="38"/>
        <v>232.08940427392253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5.3104714671101272</v>
      </c>
      <c r="BQ65" s="23">
        <f>EXP(-LN(2)/25)*BQ64+(1-EXP(-LN(2)/25))/(LN(2)/25)*Calculateur!BL65*Calculateur!BN65*VLOOKUP('Données projet'!$B$11,Paramètres!$A$1:$I$89,3,0)*0.475*44/12</f>
        <v>6.7682863992647375</v>
      </c>
      <c r="BR65" s="23">
        <f>EXP(-LN(2)/2)*BR64+(1-EXP(-LN(2)/2))/(LN(2)/2)*BL65*BO65*VLOOKUP('Données projet'!$B$11,Paramètres!$A$1:$I$89,3,0)*0.475*44/12</f>
        <v>9.6740126738339901E-5</v>
      </c>
      <c r="BS65" s="24">
        <f t="shared" si="9"/>
        <v>12.078854606501602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10.763461538461542</v>
      </c>
      <c r="BY65" s="13">
        <f>IF('Données projet'!$A$114&gt;35,BY64+BX65-CG64,IF(A65&lt;'Données projet'!$A$114,$BV$205^A65,IF(A65='Données projet'!$A$114,'Données projet'!$B$114,BY64+BX65-CG64)))</f>
        <v>339.92884615384628</v>
      </c>
      <c r="BZ65" s="14">
        <f>BY65*VLOOKUP('Données projet'!$B$12,Paramètres!$A$1:$I$89,3,0)*VLOOKUP('Données projet'!$B$12,Paramètres!$A$1:$I$89,5,0)</f>
        <v>159.08670000000006</v>
      </c>
      <c r="CA65" s="14">
        <f t="shared" si="39"/>
        <v>40.636449461585293</v>
      </c>
      <c r="CB65" s="22">
        <f t="shared" si="10"/>
        <v>347.85115197892782</v>
      </c>
      <c r="CC65" s="62">
        <f t="shared" si="11"/>
        <v>641.18448531226113</v>
      </c>
      <c r="CD65" s="62">
        <f ca="1">AVERAGE(OFFSET($CC$3,0,0,'Données projet'!$E$12+1,1))-AVERAGE(OFFSET($H$3,0,0,'Données projet'!$E$12+1,1))</f>
        <v>179.14256291235466</v>
      </c>
      <c r="CE65" s="62">
        <f t="shared" si="40"/>
        <v>107.5256983607585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9.1830769230769249</v>
      </c>
      <c r="CT65" s="13">
        <f>IF('Données projet'!$A$140&gt;35,CT64+CS65-DB64,IF(A65&lt;'Données projet'!$A$140,$CQ$205^A65,IF(A65='Données projet'!$A$140,'Données projet'!$B$140,CT64+CS65-DB64)))</f>
        <v>306.52769230769229</v>
      </c>
      <c r="CU65" s="18">
        <f>CT65*VLOOKUP('Données projet'!$B$13,Paramètres!$A$1:$I$89,3,0)*VLOOKUP('Données projet'!$B$13,Paramètres!$A$1:$I$89,5,0)</f>
        <v>183.30356</v>
      </c>
      <c r="CV65" s="14">
        <f t="shared" si="41"/>
        <v>46.056387641494027</v>
      </c>
      <c r="CW65" s="22">
        <f t="shared" si="13"/>
        <v>399.46857547560211</v>
      </c>
      <c r="CX65" s="62">
        <f t="shared" si="14"/>
        <v>692.80190880893542</v>
      </c>
      <c r="CY65" s="62">
        <f ca="1">AVERAGE(OFFSET($CX$3,0,0,'Données projet'!$E$13+1,1))-AVERAGE(OFFSET($H$3,0,0,'Données projet'!$E$13+1,1))</f>
        <v>237.03649693529445</v>
      </c>
      <c r="CZ65" s="62">
        <f t="shared" si="42"/>
        <v>191.04289411674887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8.0305013690878913E-5</v>
      </c>
      <c r="DI65" s="24">
        <f t="shared" si="15"/>
        <v>8.0305013690878913E-5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4.0200000000000014</v>
      </c>
      <c r="DO65" s="13">
        <f>IF('Données projet'!$A$166&gt;35,DO64+DN65-DW64,IF(A65&lt;'Données projet'!$A$166,$DL$205^A65,IF(A65='Données projet'!$A$166,'Données projet'!$B$166,DO64+DN65-DW64)))</f>
        <v>190.70999999999987</v>
      </c>
      <c r="DP65" s="18">
        <f>DO65*VLOOKUP('Données projet'!$B$14,Paramètres!$A$1:$I$89,3,0)*VLOOKUP('Données projet'!$B$14,Paramètres!$A$1:$I$89,5,0)</f>
        <v>219.69791999999984</v>
      </c>
      <c r="DQ65" s="14">
        <f t="shared" si="43"/>
        <v>54.049224875637591</v>
      </c>
      <c r="DR65" s="22">
        <f t="shared" si="16"/>
        <v>476.77627732506852</v>
      </c>
      <c r="DS65" s="62">
        <f t="shared" si="17"/>
        <v>770.10961065840183</v>
      </c>
      <c r="DT65" s="62">
        <f ca="1">AVERAGE(OFFSET($DS$3,0,0,'Données projet'!$E$14+1,1))-AVERAGE(OFFSET($H$3,0,0,'Données projet'!$E$14+1,1))</f>
        <v>431.38469096974364</v>
      </c>
      <c r="DU65" s="62">
        <f t="shared" si="44"/>
        <v>295.48627059086647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0.40336446354730759</v>
      </c>
      <c r="EC65" s="23">
        <f>EXP(-LN(2)/2)*EC64+(1-EXP(-LN(2)/2))/(LN(2)/2)*DW65*DZ65*VLOOKUP('Données projet'!$B$14,Paramètres!$A$1:$I$89,3,0)*0.475*44/12</f>
        <v>5.8569873054867402E-5</v>
      </c>
      <c r="ED65" s="24">
        <f t="shared" si="18"/>
        <v>0.40342303342036245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3.8</v>
      </c>
      <c r="EJ65" s="13">
        <f>IF('Données projet'!$A$192&gt;35,EJ64+EI65-ER64,IF(A65&lt;'Données projet'!$A$192,$EG$205^A65,IF(A65='Données projet'!$A$192,'Données projet'!$B$192,EJ64+EI65-ER64)))</f>
        <v>122.59999999999995</v>
      </c>
      <c r="EK65" s="18">
        <f>EJ65*VLOOKUP('Données projet'!$B$15,Paramètres!$A$1:$I$89,3,0)*VLOOKUP('Données projet'!$B$15,Paramètres!$A$1:$I$89,5,0)</f>
        <v>139.61687999999995</v>
      </c>
      <c r="EL65" s="14">
        <f t="shared" si="45"/>
        <v>36.209224090119541</v>
      </c>
      <c r="EM65" s="22">
        <f t="shared" si="19"/>
        <v>306.23046462362475</v>
      </c>
      <c r="EN65" s="62">
        <f t="shared" si="20"/>
        <v>599.56379795695807</v>
      </c>
      <c r="EO65" s="62">
        <f ca="1">AVERAGE(OFFSET($EN$3,0,0,'Données projet'!$E$15+1,1))-AVERAGE(OFFSET($H$3,0,0,'Données projet'!$E$15+1,1))</f>
        <v>220.03635832253951</v>
      </c>
      <c r="EP65" s="62">
        <f t="shared" si="46"/>
        <v>136.30639155882233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11.6</v>
      </c>
      <c r="FE65" s="13">
        <f>IF('Données projet'!$A$218&gt;35,FE64+FD65-FM64,IF(A65&lt;'Données projet'!$A$218,$FB$205^A65,IF(A65='Données projet'!$A$218,'Données projet'!$B$218,FE64+FD65-FM64)))</f>
        <v>330.20000000000022</v>
      </c>
      <c r="FF65" s="18">
        <f>FE65*VLOOKUP('Données projet'!$B$16,Paramètres!$A$1:$I$89,3,0)*VLOOKUP('Données projet'!$B$16,Paramètres!$A$1:$I$89,5,0)</f>
        <v>345.12504000000024</v>
      </c>
      <c r="FG65" s="14">
        <f t="shared" si="47"/>
        <v>80.557888375432583</v>
      </c>
      <c r="FH65" s="22">
        <f t="shared" si="22"/>
        <v>741.39776692054545</v>
      </c>
      <c r="FI65" s="62">
        <f t="shared" si="23"/>
        <v>1034.7311002538788</v>
      </c>
      <c r="FJ65" s="62">
        <f ca="1">AVERAGE(OFFSET($FI$3,0,0,'Données projet'!$E$16+1,1))-AVERAGE(OFFSET($H$3,0,0,'Données projet'!$E$16+1,1))</f>
        <v>641.62708445664862</v>
      </c>
      <c r="FK65" s="62">
        <f t="shared" si="48"/>
        <v>379.46845863546929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3.3105217415164485E-4</v>
      </c>
      <c r="FT65" s="24">
        <f t="shared" si="24"/>
        <v>3.3105217415164485E-4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3.8</v>
      </c>
      <c r="FZ65" s="13">
        <f>IF('Données projet'!$A$244&gt;35,FZ64+FY65-GH64,IF(A65&lt;'Données projet'!$A$244,$FW$205^A65,IF(A65='Données projet'!$A$244,'Données projet'!$B$244,FZ64+FY65-GH64)))</f>
        <v>122.59999999999995</v>
      </c>
      <c r="GA65" s="18">
        <f>FZ65*VLOOKUP('Données projet'!$B$17,Paramètres!$A$1:$I$89,3,0)*VLOOKUP('Données projet'!$B$17,Paramètres!$A$1:$I$89,5,0)</f>
        <v>118.57871999999996</v>
      </c>
      <c r="GB65" s="14">
        <f t="shared" si="49"/>
        <v>31.343279557590108</v>
      </c>
      <c r="GC65" s="22">
        <f t="shared" si="25"/>
        <v>261.11414922946938</v>
      </c>
      <c r="GD65" s="62">
        <f t="shared" si="26"/>
        <v>554.44748256280263</v>
      </c>
      <c r="GE65" s="62">
        <f ca="1">AVERAGE(OFFSET($GD$3,0,0,'Données projet'!$E$17+1,1))-AVERAGE(OFFSET($H$3,0,0,'Données projet'!$E$17+1,1))</f>
        <v>181.39066880931728</v>
      </c>
      <c r="GF65" s="62">
        <f t="shared" si="50"/>
        <v>116.06078566855524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2.6</v>
      </c>
      <c r="GU65" s="13">
        <f>IF('Données projet'!$A$270&gt;35,GU64+GT65-HC64,IF(A65&lt;'Données projet'!$A$270,$GR$205^A65,IF(A65='Données projet'!$A$270,'Données projet'!$B$270,GU64+GT65-HC64)))</f>
        <v>138.1999999999999</v>
      </c>
      <c r="GV65" s="18">
        <f>GU65*VLOOKUP('Données projet'!$B$18,Paramètres!$A$1:$I$89,3,0)*VLOOKUP('Données projet'!$B$18,Paramètres!$A$1:$I$89,5,0)</f>
        <v>120.73151999999993</v>
      </c>
      <c r="GW65" s="14">
        <f t="shared" si="51"/>
        <v>31.845553926050336</v>
      </c>
      <c r="GX65" s="22">
        <f t="shared" si="28"/>
        <v>265.73840375453756</v>
      </c>
      <c r="GY65" s="62">
        <f t="shared" si="29"/>
        <v>559.07173708787082</v>
      </c>
      <c r="GZ65" s="62">
        <f ca="1">AVERAGE(OFFSET($GY$3,0,0,'Données projet'!$E$18+1,1))-AVERAGE(OFFSET($H$3,0,0,'Données projet'!$E$18+1,1))</f>
        <v>152.84277478695606</v>
      </c>
      <c r="HA65" s="62">
        <f t="shared" si="52"/>
        <v>179.22995976651015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9">
        <f t="shared" si="1"/>
        <v>334.86584824301428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217.60439999999994</v>
      </c>
      <c r="P66" s="14">
        <f t="shared" si="33"/>
        <v>53.593882578706356</v>
      </c>
      <c r="Q66" s="22">
        <f t="shared" si="53"/>
        <v>472.33700882458015</v>
      </c>
      <c r="R66" s="62">
        <f t="shared" si="0"/>
        <v>765.67034215791341</v>
      </c>
      <c r="S66" s="62">
        <f ca="1">AVERAGE(OFFSET($R$3,0,0,'Données projet'!$E$9+1,1))-AVERAGE(OFFSET($H$3,0,0,'Données projet'!$E$9+1,1))</f>
        <v>383.26814640166805</v>
      </c>
      <c r="T66" s="62">
        <f t="shared" si="34"/>
        <v>233.71216103405249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3.8</v>
      </c>
      <c r="AI66" s="14">
        <f>IF('Données projet'!$A$62&gt;35,AI65+AH66-AQ65,IF(A66&lt;'Données projet'!$A$62,$AF$205^A66,IF(A66='Données projet'!$A$62,'Données projet'!$B$62,AI65+AH66-AQ65)))</f>
        <v>126.39999999999995</v>
      </c>
      <c r="AJ66" s="14">
        <f>AI66*VLOOKUP('Données projet'!$B$10,Paramètres!$A$1:$I$89,3,0)*VLOOKUP('Données projet'!$B$10,Paramètres!$A$1:$I$89,5,0)</f>
        <v>136.05695999999992</v>
      </c>
      <c r="AK66" s="14">
        <f t="shared" si="35"/>
        <v>35.392213985322201</v>
      </c>
      <c r="AL66" s="22">
        <f t="shared" si="4"/>
        <v>298.60731135776933</v>
      </c>
      <c r="AM66" s="62">
        <f t="shared" si="5"/>
        <v>591.94064469110265</v>
      </c>
      <c r="AN66" s="62">
        <f ca="1">AVERAGE(OFFSET($AM$3,0,0,'Données projet'!$E$10+1,1))-AVERAGE(OFFSET($H$3,0,0,'Données projet'!$E$10+1,1))</f>
        <v>205.99910063756408</v>
      </c>
      <c r="AO66" s="62">
        <f t="shared" si="36"/>
        <v>128.95330275493671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6.7984728957526396E-14</v>
      </c>
      <c r="BF66" s="14">
        <f t="shared" si="37"/>
        <v>1.0682447123141398E-12</v>
      </c>
      <c r="BG66" s="22">
        <f t="shared" si="7"/>
        <v>1.978932943548152E-12</v>
      </c>
      <c r="BH66" s="62">
        <f t="shared" si="8"/>
        <v>293.3333333333353</v>
      </c>
      <c r="BI66" s="62">
        <f ca="1">AVERAGE(OFFSET($BH$3,0,0,'Données projet'!$E$11+1,1))-AVERAGE(OFFSET($H$3,0,0,'Données projet'!$E$11+1,1))</f>
        <v>222.20580087523689</v>
      </c>
      <c r="BJ66" s="62">
        <f t="shared" si="38"/>
        <v>232.08940427392253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5.2063363607078612</v>
      </c>
      <c r="BQ66" s="23">
        <f>EXP(-LN(2)/25)*BQ65+(1-EXP(-LN(2)/25))/(LN(2)/25)*Calculateur!BL66*Calculateur!BN66*VLOOKUP('Données projet'!$B$11,Paramètres!$A$1:$I$89,3,0)*0.475*44/12</f>
        <v>6.5832072517481306</v>
      </c>
      <c r="BR66" s="23">
        <f>EXP(-LN(2)/2)*BR65+(1-EXP(-LN(2)/2))/(LN(2)/2)*BL66*BO66*VLOOKUP('Données projet'!$B$11,Paramètres!$A$1:$I$89,3,0)*0.475*44/12</f>
        <v>6.8405599629526188E-5</v>
      </c>
      <c r="BS66" s="24">
        <f t="shared" si="9"/>
        <v>11.789612018055621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>
        <f>VLOOKUP(A66,'Données projet'!$A$113:$I$133,2,0)</f>
        <v>350.69230769230768</v>
      </c>
      <c r="BW66" s="13">
        <f>VLOOKUP(A66,'Données projet'!$A$113:$I$133,9,0)</f>
        <v>10.763461538461542</v>
      </c>
      <c r="BX66" s="13">
        <f t="array" ref="BX66">INDEX(BW:BW,MIN(IF(ISNUMBER(BW66:BW262),ROW(BW66:BW262),"")))</f>
        <v>10.763461538461542</v>
      </c>
      <c r="BY66" s="13">
        <f>IF('Données projet'!$A$114&gt;35,BY65+BX66-CG65,IF(A66&lt;'Données projet'!$A$114,$BV$205^A66,IF(A66='Données projet'!$A$114,'Données projet'!$B$114,BY65+BX66-CG65)))</f>
        <v>350.69230769230785</v>
      </c>
      <c r="BZ66" s="14">
        <f>BY66*VLOOKUP('Données projet'!$B$12,Paramètres!$A$1:$I$89,3,0)*VLOOKUP('Données projet'!$B$12,Paramètres!$A$1:$I$89,5,0)</f>
        <v>164.12400000000008</v>
      </c>
      <c r="CA66" s="14">
        <f t="shared" si="39"/>
        <v>41.771312955270602</v>
      </c>
      <c r="CB66" s="22">
        <f t="shared" si="10"/>
        <v>358.60100339709646</v>
      </c>
      <c r="CC66" s="62">
        <f t="shared" si="11"/>
        <v>651.93433673042978</v>
      </c>
      <c r="CD66" s="62">
        <f ca="1">AVERAGE(OFFSET($CC$3,0,0,'Données projet'!$E$12+1,1))-AVERAGE(OFFSET($H$3,0,0,'Données projet'!$E$12+1,1))</f>
        <v>179.14256291235466</v>
      </c>
      <c r="CE66" s="62">
        <f t="shared" si="40"/>
        <v>107.5256983607585</v>
      </c>
      <c r="CF66" s="16">
        <f>IF(ISNA(VLOOKUP(A66,'Données projet'!$A$113:$I$133,3,0)),0,VLOOKUP(A66,'Données projet'!$A$113:$I$133,3,0))</f>
        <v>2</v>
      </c>
      <c r="CG66" s="16">
        <f>IF(ISNA(VLOOKUP(A66,'Données projet'!$A$113:$I$133,4,0)),0,VLOOKUP(A66,'Données projet'!$A$113:$I$133,4,0))</f>
        <v>108.08461538461538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9.1830769230769249</v>
      </c>
      <c r="CT66" s="13">
        <f>IF('Données projet'!$A$140&gt;35,CT65+CS66-DB65,IF(A66&lt;'Données projet'!$A$140,$CQ$205^A66,IF(A66='Données projet'!$A$140,'Données projet'!$B$140,CT65+CS66-DB65)))</f>
        <v>315.71076923076919</v>
      </c>
      <c r="CU66" s="18">
        <f>CT66*VLOOKUP('Données projet'!$B$13,Paramètres!$A$1:$I$89,3,0)*VLOOKUP('Données projet'!$B$13,Paramètres!$A$1:$I$89,5,0)</f>
        <v>188.79504</v>
      </c>
      <c r="CV66" s="14">
        <f t="shared" si="41"/>
        <v>47.273454743056831</v>
      </c>
      <c r="CW66" s="22">
        <f t="shared" si="13"/>
        <v>411.15262834415722</v>
      </c>
      <c r="CX66" s="62">
        <f t="shared" si="14"/>
        <v>704.48596167749054</v>
      </c>
      <c r="CY66" s="62">
        <f ca="1">AVERAGE(OFFSET($CX$3,0,0,'Données projet'!$E$13+1,1))-AVERAGE(OFFSET($H$3,0,0,'Données projet'!$E$13+1,1))</f>
        <v>237.03649693529445</v>
      </c>
      <c r="CZ66" s="62">
        <f t="shared" si="42"/>
        <v>191.04289411674887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5.678421974409902E-5</v>
      </c>
      <c r="DI66" s="24">
        <f t="shared" si="15"/>
        <v>5.678421974409902E-5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4.0200000000000014</v>
      </c>
      <c r="DO66" s="13">
        <f>IF('Données projet'!$A$166&gt;35,DO65+DN66-DW65,IF(A66&lt;'Données projet'!$A$166,$DL$205^A66,IF(A66='Données projet'!$A$166,'Données projet'!$B$166,DO65+DN66-DW65)))</f>
        <v>194.72999999999988</v>
      </c>
      <c r="DP66" s="18">
        <f>DO66*VLOOKUP('Données projet'!$B$14,Paramètres!$A$1:$I$89,3,0)*VLOOKUP('Données projet'!$B$14,Paramètres!$A$1:$I$89,5,0)</f>
        <v>224.32895999999985</v>
      </c>
      <c r="DQ66" s="14">
        <f t="shared" si="43"/>
        <v>55.054694097031373</v>
      </c>
      <c r="DR66" s="22">
        <f t="shared" si="16"/>
        <v>486.5931975523294</v>
      </c>
      <c r="DS66" s="62">
        <f t="shared" si="17"/>
        <v>779.92653088566271</v>
      </c>
      <c r="DT66" s="62">
        <f ca="1">AVERAGE(OFFSET($DS$3,0,0,'Données projet'!$E$14+1,1))-AVERAGE(OFFSET($H$3,0,0,'Données projet'!$E$14+1,1))</f>
        <v>431.38469096974364</v>
      </c>
      <c r="DU66" s="62">
        <f t="shared" si="44"/>
        <v>295.48627059086647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0.39233444107959126</v>
      </c>
      <c r="EC66" s="23">
        <f>EXP(-LN(2)/2)*EC65+(1-EXP(-LN(2)/2))/(LN(2)/2)*DW66*DZ66*VLOOKUP('Données projet'!$B$14,Paramètres!$A$1:$I$89,3,0)*0.475*44/12</f>
        <v>4.1415154410331989E-5</v>
      </c>
      <c r="ED66" s="24">
        <f t="shared" si="18"/>
        <v>0.39237585623400156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3.8</v>
      </c>
      <c r="EJ66" s="13">
        <f>IF('Données projet'!$A$192&gt;35,EJ65+EI66-ER65,IF(A66&lt;'Données projet'!$A$192,$EG$205^A66,IF(A66='Données projet'!$A$192,'Données projet'!$B$192,EJ65+EI66-ER65)))</f>
        <v>126.39999999999995</v>
      </c>
      <c r="EK66" s="18">
        <f>EJ66*VLOOKUP('Données projet'!$B$15,Paramètres!$A$1:$I$89,3,0)*VLOOKUP('Données projet'!$B$15,Paramètres!$A$1:$I$89,5,0)</f>
        <v>143.94431999999995</v>
      </c>
      <c r="EL66" s="14">
        <f t="shared" si="45"/>
        <v>37.199127502405936</v>
      </c>
      <c r="EM66" s="22">
        <f t="shared" si="19"/>
        <v>315.49150440002353</v>
      </c>
      <c r="EN66" s="62">
        <f t="shared" si="20"/>
        <v>608.82483773335684</v>
      </c>
      <c r="EO66" s="62">
        <f ca="1">AVERAGE(OFFSET($EN$3,0,0,'Données projet'!$E$15+1,1))-AVERAGE(OFFSET($H$3,0,0,'Données projet'!$E$15+1,1))</f>
        <v>220.03635832253951</v>
      </c>
      <c r="EP66" s="62">
        <f t="shared" si="46"/>
        <v>136.30639155882233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11.6</v>
      </c>
      <c r="FE66" s="13">
        <f>IF('Données projet'!$A$218&gt;35,FE65+FD66-FM65,IF(A66&lt;'Données projet'!$A$218,$FB$205^A66,IF(A66='Données projet'!$A$218,'Données projet'!$B$218,FE65+FD66-FM65)))</f>
        <v>341.80000000000024</v>
      </c>
      <c r="FF66" s="18">
        <f>FE66*VLOOKUP('Données projet'!$B$16,Paramètres!$A$1:$I$89,3,0)*VLOOKUP('Données projet'!$B$16,Paramètres!$A$1:$I$89,5,0)</f>
        <v>357.24936000000025</v>
      </c>
      <c r="FG66" s="14">
        <f t="shared" si="47"/>
        <v>83.053444049955715</v>
      </c>
      <c r="FH66" s="22">
        <f t="shared" si="22"/>
        <v>766.86071705367328</v>
      </c>
      <c r="FI66" s="62">
        <f t="shared" si="23"/>
        <v>1060.1940503870067</v>
      </c>
      <c r="FJ66" s="62">
        <f ca="1">AVERAGE(OFFSET($FI$3,0,0,'Données projet'!$E$16+1,1))-AVERAGE(OFFSET($H$3,0,0,'Données projet'!$E$16+1,1))</f>
        <v>641.62708445664862</v>
      </c>
      <c r="FK66" s="62">
        <f t="shared" si="48"/>
        <v>379.46845863546929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2.3408923726917798E-4</v>
      </c>
      <c r="FT66" s="24">
        <f t="shared" si="24"/>
        <v>2.3408923726917798E-4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3.8</v>
      </c>
      <c r="FZ66" s="13">
        <f>IF('Données projet'!$A$244&gt;35,FZ65+FY66-GH65,IF(A66&lt;'Données projet'!$A$244,$FW$205^A66,IF(A66='Données projet'!$A$244,'Données projet'!$B$244,FZ65+FY66-GH65)))</f>
        <v>126.39999999999995</v>
      </c>
      <c r="GA66" s="18">
        <f>FZ66*VLOOKUP('Données projet'!$B$17,Paramètres!$A$1:$I$89,3,0)*VLOOKUP('Données projet'!$B$17,Paramètres!$A$1:$I$89,5,0)</f>
        <v>122.25407999999995</v>
      </c>
      <c r="GB66" s="14">
        <f t="shared" si="49"/>
        <v>32.20015567592624</v>
      </c>
      <c r="GC66" s="22">
        <f t="shared" si="25"/>
        <v>269.0077938022381</v>
      </c>
      <c r="GD66" s="62">
        <f t="shared" si="26"/>
        <v>562.34112713557147</v>
      </c>
      <c r="GE66" s="62">
        <f ca="1">AVERAGE(OFFSET($GD$3,0,0,'Données projet'!$E$17+1,1))-AVERAGE(OFFSET($H$3,0,0,'Données projet'!$E$17+1,1))</f>
        <v>181.39066880931728</v>
      </c>
      <c r="GF66" s="62">
        <f t="shared" si="50"/>
        <v>116.06078566855524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2.6</v>
      </c>
      <c r="GU66" s="13">
        <f>IF('Données projet'!$A$270&gt;35,GU65+GT66-HC65,IF(A66&lt;'Données projet'!$A$270,$GR$205^A66,IF(A66='Données projet'!$A$270,'Données projet'!$B$270,GU65+GT66-HC65)))</f>
        <v>140.7999999999999</v>
      </c>
      <c r="GV66" s="18">
        <f>GU66*VLOOKUP('Données projet'!$B$18,Paramètres!$A$1:$I$89,3,0)*VLOOKUP('Données projet'!$B$18,Paramètres!$A$1:$I$89,5,0)</f>
        <v>123.00287999999993</v>
      </c>
      <c r="GW66" s="14">
        <f t="shared" si="51"/>
        <v>32.374361095906139</v>
      </c>
      <c r="GX66" s="22">
        <f t="shared" si="28"/>
        <v>270.61536157536972</v>
      </c>
      <c r="GY66" s="62">
        <f t="shared" si="29"/>
        <v>563.94869490870303</v>
      </c>
      <c r="GZ66" s="62">
        <f ca="1">AVERAGE(OFFSET($GY$3,0,0,'Données projet'!$E$18+1,1))-AVERAGE(OFFSET($H$3,0,0,'Données projet'!$E$18+1,1))</f>
        <v>152.84277478695606</v>
      </c>
      <c r="HA66" s="62">
        <f t="shared" si="52"/>
        <v>179.22995976651015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9">
        <f t="shared" si="1"/>
        <v>336.07307779303983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224.90519999999995</v>
      </c>
      <c r="P67" s="14">
        <f t="shared" si="33"/>
        <v>55.17963460003309</v>
      </c>
      <c r="Q67" s="22">
        <f t="shared" ref="Q67:Q98" si="54">(O67+P67)*0.475*44/12</f>
        <v>487.81442026172425</v>
      </c>
      <c r="R67" s="62">
        <f t="shared" ref="R67:R130" si="55">Q67+(I67+J67)*44/12</f>
        <v>781.14775359505757</v>
      </c>
      <c r="S67" s="62">
        <f ca="1">AVERAGE(OFFSET($R$3,0,0,'Données projet'!$E$9+1,1))-AVERAGE(OFFSET($H$3,0,0,'Données projet'!$E$9+1,1))</f>
        <v>383.26814640166805</v>
      </c>
      <c r="T67" s="62">
        <f t="shared" si="34"/>
        <v>233.71216103405249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3.8</v>
      </c>
      <c r="AI67" s="14">
        <f>IF('Données projet'!$A$62&gt;35,AI66+AH67-AQ66,IF(A67&lt;'Données projet'!$A$62,$AF$205^A67,IF(A67='Données projet'!$A$62,'Données projet'!$B$62,AI66+AH67-AQ66)))</f>
        <v>130.19999999999996</v>
      </c>
      <c r="AJ67" s="14">
        <f>AI67*VLOOKUP('Données projet'!$B$10,Paramètres!$A$1:$I$89,3,0)*VLOOKUP('Données projet'!$B$10,Paramètres!$A$1:$I$89,5,0)</f>
        <v>140.14727999999994</v>
      </c>
      <c r="AK67" s="14">
        <f t="shared" si="35"/>
        <v>36.330743209877255</v>
      </c>
      <c r="AL67" s="22">
        <f t="shared" si="4"/>
        <v>307.36589042386942</v>
      </c>
      <c r="AM67" s="62">
        <f t="shared" si="5"/>
        <v>600.69922375720273</v>
      </c>
      <c r="AN67" s="62">
        <f ca="1">AVERAGE(OFFSET($AM$3,0,0,'Données projet'!$E$10+1,1))-AVERAGE(OFFSET($H$3,0,0,'Données projet'!$E$10+1,1))</f>
        <v>205.99910063756408</v>
      </c>
      <c r="AO67" s="62">
        <f t="shared" si="36"/>
        <v>128.95330275493671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6.7984728957526396E-14</v>
      </c>
      <c r="BF67" s="14">
        <f t="shared" si="37"/>
        <v>1.0682447123141398E-12</v>
      </c>
      <c r="BG67" s="22">
        <f t="shared" si="7"/>
        <v>1.978932943548152E-12</v>
      </c>
      <c r="BH67" s="62">
        <f t="shared" si="8"/>
        <v>293.3333333333353</v>
      </c>
      <c r="BI67" s="62">
        <f ca="1">AVERAGE(OFFSET($BH$3,0,0,'Données projet'!$E$11+1,1))-AVERAGE(OFFSET($H$3,0,0,'Données projet'!$E$11+1,1))</f>
        <v>222.20580087523689</v>
      </c>
      <c r="BJ67" s="62">
        <f t="shared" si="38"/>
        <v>232.08940427392253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5.104243280226</v>
      </c>
      <c r="BQ67" s="23">
        <f>EXP(-LN(2)/25)*BQ66+(1-EXP(-LN(2)/25))/(LN(2)/25)*Calculateur!BL67*Calculateur!BN67*VLOOKUP('Données projet'!$B$11,Paramètres!$A$1:$I$89,3,0)*0.475*44/12</f>
        <v>6.4031891032532551</v>
      </c>
      <c r="BR67" s="23">
        <f>EXP(-LN(2)/2)*BR66+(1-EXP(-LN(2)/2))/(LN(2)/2)*BL67*BO67*VLOOKUP('Données projet'!$B$11,Paramètres!$A$1:$I$89,3,0)*0.475*44/12</f>
        <v>4.837006336916995E-5</v>
      </c>
      <c r="BS67" s="24">
        <f t="shared" si="9"/>
        <v>11.507480753542625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9.8224358974358967</v>
      </c>
      <c r="BY67" s="13">
        <f>IF('Données projet'!$A$114&gt;35,BY66+BX67-CG66,IF(A67&lt;'Données projet'!$A$114,$BV$205^A67,IF(A67='Données projet'!$A$114,'Données projet'!$B$114,BY66+BX67-CG66)))</f>
        <v>252.4301282051284</v>
      </c>
      <c r="BZ67" s="14">
        <f>BY67*VLOOKUP('Données projet'!$B$12,Paramètres!$A$1:$I$89,3,0)*VLOOKUP('Données projet'!$B$12,Paramètres!$A$1:$I$89,5,0)</f>
        <v>118.1373000000001</v>
      </c>
      <c r="CA67" s="14">
        <f t="shared" si="39"/>
        <v>31.240160341179944</v>
      </c>
      <c r="CB67" s="22">
        <f t="shared" si="10"/>
        <v>260.16574342755524</v>
      </c>
      <c r="CC67" s="62">
        <f t="shared" si="11"/>
        <v>553.49907676088856</v>
      </c>
      <c r="CD67" s="62">
        <f ca="1">AVERAGE(OFFSET($CC$3,0,0,'Données projet'!$E$12+1,1))-AVERAGE(OFFSET($H$3,0,0,'Données projet'!$E$12+1,1))</f>
        <v>179.14256291235466</v>
      </c>
      <c r="CE67" s="62">
        <f t="shared" si="40"/>
        <v>107.5256983607585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9.1830769230769249</v>
      </c>
      <c r="CT67" s="13">
        <f>IF('Données projet'!$A$140&gt;35,CT66+CS67-DB66,IF(A67&lt;'Données projet'!$A$140,$CQ$205^A67,IF(A67='Données projet'!$A$140,'Données projet'!$B$140,CT66+CS67-DB66)))</f>
        <v>324.89384615384608</v>
      </c>
      <c r="CU67" s="18">
        <f>CT67*VLOOKUP('Données projet'!$B$13,Paramètres!$A$1:$I$89,3,0)*VLOOKUP('Données projet'!$B$13,Paramètres!$A$1:$I$89,5,0)</f>
        <v>194.28651999999997</v>
      </c>
      <c r="CV67" s="14">
        <f t="shared" si="41"/>
        <v>48.486407543748122</v>
      </c>
      <c r="CW67" s="22">
        <f t="shared" si="13"/>
        <v>422.82951547202788</v>
      </c>
      <c r="CX67" s="62">
        <f t="shared" si="14"/>
        <v>716.16284880536114</v>
      </c>
      <c r="CY67" s="62">
        <f ca="1">AVERAGE(OFFSET($CX$3,0,0,'Données projet'!$E$13+1,1))-AVERAGE(OFFSET($H$3,0,0,'Données projet'!$E$13+1,1))</f>
        <v>237.03649693529445</v>
      </c>
      <c r="CZ67" s="62">
        <f t="shared" si="42"/>
        <v>191.04289411674887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4.0152506845439457E-5</v>
      </c>
      <c r="DI67" s="24">
        <f t="shared" si="15"/>
        <v>4.0152506845439457E-5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4.0200000000000014</v>
      </c>
      <c r="DO67" s="13">
        <f>IF('Données projet'!$A$166&gt;35,DO66+DN67-DW66,IF(A67&lt;'Données projet'!$A$166,$DL$205^A67,IF(A67='Données projet'!$A$166,'Données projet'!$B$166,DO66+DN67-DW66)))</f>
        <v>198.74999999999989</v>
      </c>
      <c r="DP67" s="18">
        <f>DO67*VLOOKUP('Données projet'!$B$14,Paramètres!$A$1:$I$89,3,0)*VLOOKUP('Données projet'!$B$14,Paramètres!$A$1:$I$89,5,0)</f>
        <v>228.95999999999987</v>
      </c>
      <c r="DQ67" s="14">
        <f t="shared" si="43"/>
        <v>56.057749937547015</v>
      </c>
      <c r="DR67" s="22">
        <f t="shared" si="16"/>
        <v>496.40591447456086</v>
      </c>
      <c r="DS67" s="62">
        <f t="shared" si="17"/>
        <v>789.73924780789412</v>
      </c>
      <c r="DT67" s="62">
        <f ca="1">AVERAGE(OFFSET($DS$3,0,0,'Données projet'!$E$14+1,1))-AVERAGE(OFFSET($H$3,0,0,'Données projet'!$E$14+1,1))</f>
        <v>431.38469096974364</v>
      </c>
      <c r="DU67" s="62">
        <f t="shared" si="44"/>
        <v>295.48627059086647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0.38160603515629826</v>
      </c>
      <c r="EC67" s="23">
        <f>EXP(-LN(2)/2)*EC66+(1-EXP(-LN(2)/2))/(LN(2)/2)*DW67*DZ67*VLOOKUP('Données projet'!$B$14,Paramètres!$A$1:$I$89,3,0)*0.475*44/12</f>
        <v>2.9284936527433701E-5</v>
      </c>
      <c r="ED67" s="24">
        <f t="shared" si="18"/>
        <v>0.38163532009282569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3.8</v>
      </c>
      <c r="EJ67" s="13">
        <f>IF('Données projet'!$A$192&gt;35,EJ66+EI67-ER66,IF(A67&lt;'Données projet'!$A$192,$EG$205^A67,IF(A67='Données projet'!$A$192,'Données projet'!$B$192,EJ66+EI67-ER66)))</f>
        <v>130.19999999999996</v>
      </c>
      <c r="EK67" s="18">
        <f>EJ67*VLOOKUP('Données projet'!$B$15,Paramètres!$A$1:$I$89,3,0)*VLOOKUP('Données projet'!$B$15,Paramètres!$A$1:$I$89,5,0)</f>
        <v>148.27175999999994</v>
      </c>
      <c r="EL67" s="14">
        <f t="shared" si="45"/>
        <v>38.185572382724423</v>
      </c>
      <c r="EM67" s="22">
        <f t="shared" si="19"/>
        <v>324.74652056657823</v>
      </c>
      <c r="EN67" s="62">
        <f t="shared" si="20"/>
        <v>618.07985389991154</v>
      </c>
      <c r="EO67" s="62">
        <f ca="1">AVERAGE(OFFSET($EN$3,0,0,'Données projet'!$E$15+1,1))-AVERAGE(OFFSET($H$3,0,0,'Données projet'!$E$15+1,1))</f>
        <v>220.03635832253951</v>
      </c>
      <c r="EP67" s="62">
        <f t="shared" si="46"/>
        <v>136.30639155882233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11.6</v>
      </c>
      <c r="FE67" s="13">
        <f>IF('Données projet'!$A$218&gt;35,FE66+FD67-FM66,IF(A67&lt;'Données projet'!$A$218,$FB$205^A67,IF(A67='Données projet'!$A$218,'Données projet'!$B$218,FE66+FD67-FM66)))</f>
        <v>353.40000000000026</v>
      </c>
      <c r="FF67" s="18">
        <f>FE67*VLOOKUP('Données projet'!$B$16,Paramètres!$A$1:$I$89,3,0)*VLOOKUP('Données projet'!$B$16,Paramètres!$A$1:$I$89,5,0)</f>
        <v>369.37368000000032</v>
      </c>
      <c r="FG67" s="14">
        <f t="shared" si="47"/>
        <v>85.539158781325924</v>
      </c>
      <c r="FH67" s="22">
        <f t="shared" si="22"/>
        <v>792.30652754414314</v>
      </c>
      <c r="FI67" s="62">
        <f t="shared" si="23"/>
        <v>1085.6398608774764</v>
      </c>
      <c r="FJ67" s="62">
        <f ca="1">AVERAGE(OFFSET($FI$3,0,0,'Données projet'!$E$16+1,1))-AVERAGE(OFFSET($H$3,0,0,'Données projet'!$E$16+1,1))</f>
        <v>641.62708445664862</v>
      </c>
      <c r="FK67" s="62">
        <f t="shared" si="48"/>
        <v>379.46845863546929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1.6552608707582245E-4</v>
      </c>
      <c r="FT67" s="24">
        <f t="shared" si="24"/>
        <v>1.6552608707582245E-4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3.8</v>
      </c>
      <c r="FZ67" s="13">
        <f>IF('Données projet'!$A$244&gt;35,FZ66+FY67-GH66,IF(A67&lt;'Données projet'!$A$244,$FW$205^A67,IF(A67='Données projet'!$A$244,'Données projet'!$B$244,FZ66+FY67-GH66)))</f>
        <v>130.19999999999996</v>
      </c>
      <c r="GA67" s="18">
        <f>FZ67*VLOOKUP('Données projet'!$B$17,Paramètres!$A$1:$I$89,3,0)*VLOOKUP('Données projet'!$B$17,Paramètres!$A$1:$I$89,5,0)</f>
        <v>125.92943999999997</v>
      </c>
      <c r="GB67" s="14">
        <f t="shared" si="49"/>
        <v>33.054038034052049</v>
      </c>
      <c r="GC67" s="22">
        <f t="shared" si="25"/>
        <v>276.89622424264059</v>
      </c>
      <c r="GD67" s="62">
        <f t="shared" si="26"/>
        <v>570.2295575759739</v>
      </c>
      <c r="GE67" s="62">
        <f ca="1">AVERAGE(OFFSET($GD$3,0,0,'Données projet'!$E$17+1,1))-AVERAGE(OFFSET($H$3,0,0,'Données projet'!$E$17+1,1))</f>
        <v>181.39066880931728</v>
      </c>
      <c r="GF67" s="62">
        <f t="shared" si="50"/>
        <v>116.06078566855524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2.6</v>
      </c>
      <c r="GU67" s="13">
        <f>IF('Données projet'!$A$270&gt;35,GU66+GT67-HC66,IF(A67&lt;'Données projet'!$A$270,$GR$205^A67,IF(A67='Données projet'!$A$270,'Données projet'!$B$270,GU66+GT67-HC66)))</f>
        <v>143.39999999999989</v>
      </c>
      <c r="GV67" s="18">
        <f>GU67*VLOOKUP('Données projet'!$B$18,Paramètres!$A$1:$I$89,3,0)*VLOOKUP('Données projet'!$B$18,Paramètres!$A$1:$I$89,5,0)</f>
        <v>125.27423999999992</v>
      </c>
      <c r="GW67" s="14">
        <f t="shared" si="51"/>
        <v>32.902032783270968</v>
      </c>
      <c r="GX67" s="22">
        <f t="shared" si="28"/>
        <v>275.49034176419678</v>
      </c>
      <c r="GY67" s="62">
        <f t="shared" si="29"/>
        <v>568.8236750975301</v>
      </c>
      <c r="GZ67" s="62">
        <f ca="1">AVERAGE(OFFSET($GY$3,0,0,'Données projet'!$E$18+1,1))-AVERAGE(OFFSET($H$3,0,0,'Données projet'!$E$18+1,1))</f>
        <v>152.84277478695606</v>
      </c>
      <c r="HA67" s="62">
        <f t="shared" si="52"/>
        <v>179.22995976651015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9">
        <f t="shared" ref="H68:H131" si="56">(B68+E68+F68)*44/12+(C68+D68)*0.475*44/12</f>
        <v>337.27984163820884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232.2059999999999</v>
      </c>
      <c r="P68" s="14">
        <f t="shared" si="33"/>
        <v>56.759404991217522</v>
      </c>
      <c r="Q68" s="22">
        <f t="shared" si="54"/>
        <v>503.281413693037</v>
      </c>
      <c r="R68" s="62">
        <f t="shared" si="55"/>
        <v>796.61474702637031</v>
      </c>
      <c r="S68" s="62">
        <f ca="1">AVERAGE(OFFSET($R$3,0,0,'Données projet'!$E$9+1,1))-AVERAGE(OFFSET($H$3,0,0,'Données projet'!$E$9+1,1))</f>
        <v>383.26814640166805</v>
      </c>
      <c r="T68" s="62">
        <f t="shared" si="34"/>
        <v>233.71216103405249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134</v>
      </c>
      <c r="AG68" s="13">
        <f>VLOOKUP(A68,'Données projet'!$A$61:$I$81,9,0)</f>
        <v>3.8</v>
      </c>
      <c r="AH68" s="13">
        <f t="array" ref="AH68">INDEX(AG:AG,MIN(IF(ISNUMBER(AG68:AG264),ROW(AG68:AG264),"")))</f>
        <v>3.8</v>
      </c>
      <c r="AI68" s="14">
        <f>IF('Données projet'!$A$62&gt;35,AI67+AH68-AQ67,IF(A68&lt;'Données projet'!$A$62,$AF$205^A68,IF(A68='Données projet'!$A$62,'Données projet'!$B$62,AI67+AH68-AQ67)))</f>
        <v>133.99999999999997</v>
      </c>
      <c r="AJ68" s="14">
        <f>AI68*VLOOKUP('Données projet'!$B$10,Paramètres!$A$1:$I$89,3,0)*VLOOKUP('Données projet'!$B$10,Paramètres!$A$1:$I$89,5,0)</f>
        <v>144.23759999999999</v>
      </c>
      <c r="AK68" s="14">
        <f t="shared" si="35"/>
        <v>37.266088962286922</v>
      </c>
      <c r="AL68" s="22">
        <f t="shared" ref="AL68:AL131" si="58">(AJ68+AK68)*0.475*44/12</f>
        <v>316.1189249426497</v>
      </c>
      <c r="AM68" s="62">
        <f t="shared" ref="AM68:AM131" si="59">AL68+(AD68+AE68)*44/12</f>
        <v>609.45225827598301</v>
      </c>
      <c r="AN68" s="62">
        <f ca="1">AVERAGE(OFFSET($AM$3,0,0,'Données projet'!$E$10+1,1))-AVERAGE(OFFSET($H$3,0,0,'Données projet'!$E$10+1,1))</f>
        <v>205.99910063756408</v>
      </c>
      <c r="AO68" s="62">
        <f t="shared" si="36"/>
        <v>128.95330275493671</v>
      </c>
      <c r="AP68" s="16">
        <f>IF(ISNA(VLOOKUP(A68,'Données projet'!$A$61:$I$81,3,0)),0,VLOOKUP(A68,'Données projet'!$A$61:$I$81,3,0))</f>
        <v>4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6.7984728957526396E-14</v>
      </c>
      <c r="BF68" s="14">
        <f t="shared" si="37"/>
        <v>1.0682447123141398E-12</v>
      </c>
      <c r="BG68" s="22">
        <f t="shared" ref="BG68:BG131" si="61">(BE68+BF68)*0.475*44/12</f>
        <v>1.978932943548152E-12</v>
      </c>
      <c r="BH68" s="62">
        <f t="shared" ref="BH68:BH131" si="62">BG68+(AY68+AZ68)*44/12</f>
        <v>293.3333333333353</v>
      </c>
      <c r="BI68" s="62">
        <f ca="1">AVERAGE(OFFSET($BH$3,0,0,'Données projet'!$E$11+1,1))-AVERAGE(OFFSET($H$3,0,0,'Données projet'!$E$11+1,1))</f>
        <v>222.20580087523689</v>
      </c>
      <c r="BJ68" s="62">
        <f t="shared" si="38"/>
        <v>232.08940427392253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5.0041521827817581</v>
      </c>
      <c r="BQ68" s="23">
        <f>EXP(-LN(2)/25)*BQ67+(1-EXP(-LN(2)/25))/(LN(2)/25)*Calculateur!BL68*Calculateur!BN68*VLOOKUP('Données projet'!$B$11,Paramètres!$A$1:$I$89,3,0)*0.475*44/12</f>
        <v>6.2280935604957142</v>
      </c>
      <c r="BR68" s="23">
        <f>EXP(-LN(2)/2)*BR67+(1-EXP(-LN(2)/2))/(LN(2)/2)*BL68*BO68*VLOOKUP('Données projet'!$B$11,Paramètres!$A$1:$I$89,3,0)*0.475*44/12</f>
        <v>3.4202799814763094E-5</v>
      </c>
      <c r="BS68" s="24">
        <f t="shared" ref="BS68:BS131" si="63">SUM(BP68:BR68)</f>
        <v>11.232279946077288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9.8224358974358967</v>
      </c>
      <c r="BY68" s="13">
        <f>IF('Données projet'!$A$114&gt;35,BY67+BX68-CG67,IF(A68&lt;'Données projet'!$A$114,$BV$205^A68,IF(A68='Données projet'!$A$114,'Données projet'!$B$114,BY67+BX68-CG67)))</f>
        <v>262.25256410256429</v>
      </c>
      <c r="BZ68" s="14">
        <f>BY68*VLOOKUP('Données projet'!$B$12,Paramètres!$A$1:$I$89,3,0)*VLOOKUP('Données projet'!$B$12,Paramètres!$A$1:$I$89,5,0)</f>
        <v>122.73420000000009</v>
      </c>
      <c r="CA68" s="14">
        <f t="shared" si="39"/>
        <v>32.311867973295051</v>
      </c>
      <c r="CB68" s="22">
        <f t="shared" ref="CB68:CB131" si="64">(BZ68+CA68)*0.475*44/12</f>
        <v>270.03856838682231</v>
      </c>
      <c r="CC68" s="62">
        <f t="shared" ref="CC68:CC131" si="65">CB68+(BT68+BU68)*44/12</f>
        <v>563.37190172015562</v>
      </c>
      <c r="CD68" s="62">
        <f ca="1">AVERAGE(OFFSET($CC$3,0,0,'Données projet'!$E$12+1,1))-AVERAGE(OFFSET($H$3,0,0,'Données projet'!$E$12+1,1))</f>
        <v>179.14256291235466</v>
      </c>
      <c r="CE68" s="62">
        <f t="shared" si="40"/>
        <v>107.5256983607585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9.1830769230769249</v>
      </c>
      <c r="CT68" s="13">
        <f>IF('Données projet'!$A$140&gt;35,CT67+CS68-DB67,IF(A68&lt;'Données projet'!$A$140,$CQ$205^A68,IF(A68='Données projet'!$A$140,'Données projet'!$B$140,CT67+CS68-DB67)))</f>
        <v>334.07692307692298</v>
      </c>
      <c r="CU68" s="18">
        <f>CT68*VLOOKUP('Données projet'!$B$13,Paramètres!$A$1:$I$89,3,0)*VLOOKUP('Données projet'!$B$13,Paramètres!$A$1:$I$89,5,0)</f>
        <v>199.77799999999996</v>
      </c>
      <c r="CV68" s="14">
        <f t="shared" si="41"/>
        <v>49.695375691492842</v>
      </c>
      <c r="CW68" s="22">
        <f t="shared" ref="CW68:CW131" si="67">(CU68+CV68)*0.475*44/12</f>
        <v>434.4994626626833</v>
      </c>
      <c r="CX68" s="62">
        <f t="shared" ref="CX68:CX131" si="68">CW68+(CO68+CP68)*44/12</f>
        <v>727.83279599601656</v>
      </c>
      <c r="CY68" s="62">
        <f ca="1">AVERAGE(OFFSET($CX$3,0,0,'Données projet'!$E$13+1,1))-AVERAGE(OFFSET($H$3,0,0,'Données projet'!$E$13+1,1))</f>
        <v>237.03649693529445</v>
      </c>
      <c r="CZ68" s="62">
        <f t="shared" si="42"/>
        <v>191.04289411674887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2.839210987204951E-5</v>
      </c>
      <c r="DI68" s="24">
        <f t="shared" ref="DI68:DI131" si="69">SUM(DF68:DH68)</f>
        <v>2.839210987204951E-5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4.0200000000000014</v>
      </c>
      <c r="DO68" s="13">
        <f>IF('Données projet'!$A$166&gt;35,DO67+DN68-DW67,IF(A68&lt;'Données projet'!$A$166,$DL$205^A68,IF(A68='Données projet'!$A$166,'Données projet'!$B$166,DO67+DN68-DW67)))</f>
        <v>202.7699999999999</v>
      </c>
      <c r="DP68" s="18">
        <f>DO68*VLOOKUP('Données projet'!$B$14,Paramètres!$A$1:$I$89,3,0)*VLOOKUP('Données projet'!$B$14,Paramètres!$A$1:$I$89,5,0)</f>
        <v>233.59103999999985</v>
      </c>
      <c r="DQ68" s="14">
        <f t="shared" si="43"/>
        <v>57.058446836573793</v>
      </c>
      <c r="DR68" s="22">
        <f t="shared" ref="DR68:DR131" si="70">(DP68+DQ68)*0.475*44/12</f>
        <v>506.21452290703246</v>
      </c>
      <c r="DS68" s="62">
        <f t="shared" ref="DS68:DS131" si="71">DR68+(DJ68+DK68)*44/12</f>
        <v>799.54785624036572</v>
      </c>
      <c r="DT68" s="62">
        <f ca="1">AVERAGE(OFFSET($DS$3,0,0,'Données projet'!$E$14+1,1))-AVERAGE(OFFSET($H$3,0,0,'Données projet'!$E$14+1,1))</f>
        <v>431.38469096974364</v>
      </c>
      <c r="DU68" s="62">
        <f t="shared" si="44"/>
        <v>295.48627059086647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0.37117099805716008</v>
      </c>
      <c r="EC68" s="23">
        <f>EXP(-LN(2)/2)*EC67+(1-EXP(-LN(2)/2))/(LN(2)/2)*DW68*DZ68*VLOOKUP('Données projet'!$B$14,Paramètres!$A$1:$I$89,3,0)*0.475*44/12</f>
        <v>2.0707577205165995E-5</v>
      </c>
      <c r="ED68" s="24">
        <f t="shared" ref="ED68:ED131" si="72">SUM(EA68:EC68)</f>
        <v>0.37119170563436527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134</v>
      </c>
      <c r="EH68" s="13">
        <f>VLOOKUP(A68,'Données projet'!$A$191:$I$211,9,0)</f>
        <v>3.8</v>
      </c>
      <c r="EI68" s="13">
        <f t="array" ref="EI68">INDEX(EH:EH,MIN(IF(ISNUMBER(EH68:EH264),ROW(EH68:EH264),"")))</f>
        <v>3.8</v>
      </c>
      <c r="EJ68" s="13">
        <f>IF('Données projet'!$A$192&gt;35,EJ67+EI68-ER67,IF(A68&lt;'Données projet'!$A$192,$EG$205^A68,IF(A68='Données projet'!$A$192,'Données projet'!$B$192,EJ67+EI68-ER67)))</f>
        <v>133.99999999999997</v>
      </c>
      <c r="EK68" s="18">
        <f>EJ68*VLOOKUP('Données projet'!$B$15,Paramètres!$A$1:$I$89,3,0)*VLOOKUP('Données projet'!$B$15,Paramètres!$A$1:$I$89,5,0)</f>
        <v>152.59919999999997</v>
      </c>
      <c r="EL68" s="14">
        <f t="shared" si="45"/>
        <v>39.168671261962366</v>
      </c>
      <c r="EM68" s="22">
        <f t="shared" ref="EM68:EM131" si="73">(EK68+EL68)*0.475*44/12</f>
        <v>333.99570911458437</v>
      </c>
      <c r="EN68" s="62">
        <f t="shared" ref="EN68:EN131" si="74">EM68+(EE68+EF68)*44/12</f>
        <v>627.32904244791769</v>
      </c>
      <c r="EO68" s="62">
        <f ca="1">AVERAGE(OFFSET($EN$3,0,0,'Données projet'!$E$15+1,1))-AVERAGE(OFFSET($H$3,0,0,'Données projet'!$E$15+1,1))</f>
        <v>220.03635832253951</v>
      </c>
      <c r="EP68" s="62">
        <f t="shared" si="46"/>
        <v>136.30639155882233</v>
      </c>
      <c r="EQ68" s="16">
        <f>IF(ISNA(VLOOKUP(A68,'Données projet'!$A$191:$I$211,3,0)),0,VLOOKUP(A68,'Données projet'!$A$191:$I$211,3,0))</f>
        <v>4</v>
      </c>
      <c r="ER68" s="16">
        <f>IF(ISNA(VLOOKUP(A68,'Données projet'!$A$191:$I$211,4,0)),0,VLOOKUP(A68,'Données projet'!$A$191:$I$211,4,0))</f>
        <v>20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365</v>
      </c>
      <c r="FC68" s="13">
        <f>VLOOKUP(A68,'Données projet'!$A$217:$I$237,9,0)</f>
        <v>11.6</v>
      </c>
      <c r="FD68" s="13">
        <f t="array" ref="FD68">INDEX(FC:FC,MIN(IF(ISNUMBER(FC68:FC264),ROW(FC68:FC264),"")))</f>
        <v>11.6</v>
      </c>
      <c r="FE68" s="13">
        <f>IF('Données projet'!$A$218&gt;35,FE67+FD68-FM67,IF(A68&lt;'Données projet'!$A$218,$FB$205^A68,IF(A68='Données projet'!$A$218,'Données projet'!$B$218,FE67+FD68-FM67)))</f>
        <v>365.00000000000028</v>
      </c>
      <c r="FF68" s="18">
        <f>FE68*VLOOKUP('Données projet'!$B$16,Paramètres!$A$1:$I$89,3,0)*VLOOKUP('Données projet'!$B$16,Paramètres!$A$1:$I$89,5,0)</f>
        <v>381.49800000000033</v>
      </c>
      <c r="FG68" s="14">
        <f t="shared" si="47"/>
        <v>88.015392631297431</v>
      </c>
      <c r="FH68" s="22">
        <f t="shared" ref="FH68:FH131" si="76">(FF68+FG68)*0.475*44/12</f>
        <v>817.73582549951016</v>
      </c>
      <c r="FI68" s="62">
        <f t="shared" ref="FI68:FI131" si="77">FH68+(EZ68+FA68)*44/12</f>
        <v>1111.0691588328434</v>
      </c>
      <c r="FJ68" s="62">
        <f ca="1">AVERAGE(OFFSET($FI$3,0,0,'Données projet'!$E$16+1,1))-AVERAGE(OFFSET($H$3,0,0,'Données projet'!$E$16+1,1))</f>
        <v>641.62708445664862</v>
      </c>
      <c r="FK68" s="62">
        <f t="shared" si="48"/>
        <v>379.46845863546929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1.17044618634589E-4</v>
      </c>
      <c r="FT68" s="24">
        <f t="shared" ref="FT68:FT131" si="78">SUM(FQ68:FS68)</f>
        <v>1.17044618634589E-4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134</v>
      </c>
      <c r="FX68" s="13">
        <f>VLOOKUP(A68,'Données projet'!$A$243:$I$263,9,0)</f>
        <v>3.8</v>
      </c>
      <c r="FY68" s="13">
        <f t="array" ref="FY68">INDEX(FX:FX,MIN(IF(ISNUMBER(FX68:FX264),ROW(FX68:FX264),"")))</f>
        <v>3.8</v>
      </c>
      <c r="FZ68" s="13">
        <f>IF('Données projet'!$A$244&gt;35,FZ67+FY68-GH67,IF(A68&lt;'Données projet'!$A$244,$FW$205^A68,IF(A68='Données projet'!$A$244,'Données projet'!$B$244,FZ67+FY68-GH67)))</f>
        <v>133.99999999999997</v>
      </c>
      <c r="GA68" s="18">
        <f>FZ68*VLOOKUP('Données projet'!$B$17,Paramètres!$A$1:$I$89,3,0)*VLOOKUP('Données projet'!$B$17,Paramètres!$A$1:$I$89,5,0)</f>
        <v>129.60479999999998</v>
      </c>
      <c r="GB68" s="14">
        <f t="shared" si="49"/>
        <v>33.905024040491121</v>
      </c>
      <c r="GC68" s="22">
        <f t="shared" ref="GC68:GC131" si="79">(GA68+GB68)*0.475*44/12</f>
        <v>284.77961020385533</v>
      </c>
      <c r="GD68" s="62">
        <f t="shared" ref="GD68:GD131" si="80">GC68+(FU68+FV68)*44/12</f>
        <v>578.11294353718858</v>
      </c>
      <c r="GE68" s="62">
        <f ca="1">AVERAGE(OFFSET($GD$3,0,0,'Données projet'!$E$17+1,1))-AVERAGE(OFFSET($H$3,0,0,'Données projet'!$E$17+1,1))</f>
        <v>181.39066880931728</v>
      </c>
      <c r="GF68" s="62">
        <f t="shared" si="50"/>
        <v>116.06078566855524</v>
      </c>
      <c r="GG68" s="16">
        <f>IF(ISNA(VLOOKUP(A68,'Données projet'!$A$243:$I$263,3,0)),0,VLOOKUP(A68,'Données projet'!$A$243:$I$263,3,0))</f>
        <v>4</v>
      </c>
      <c r="GH68" s="16">
        <f>IF(ISNA(VLOOKUP(A68,'Données projet'!$A$243:$I$263,4,0)),0,VLOOKUP(A68,'Données projet'!$A$243:$I$263,4,0))</f>
        <v>20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146</v>
      </c>
      <c r="GS68" s="13">
        <f>VLOOKUP(A68,'Données projet'!$A$269:$I$289,9,0)</f>
        <v>2.6</v>
      </c>
      <c r="GT68" s="13">
        <f t="array" ref="GT68">INDEX(GS:GS,MIN(IF(ISNUMBER(GS68:GS264),ROW(GS68:GS264),"")))</f>
        <v>2.6</v>
      </c>
      <c r="GU68" s="13">
        <f>IF('Données projet'!$A$270&gt;35,GU67+GT68-HC67,IF(A68&lt;'Données projet'!$A$270,$GR$205^A68,IF(A68='Données projet'!$A$270,'Données projet'!$B$270,GU67+GT68-HC67)))</f>
        <v>145.99999999999989</v>
      </c>
      <c r="GV68" s="18">
        <f>GU68*VLOOKUP('Données projet'!$B$18,Paramètres!$A$1:$I$89,3,0)*VLOOKUP('Données projet'!$B$18,Paramètres!$A$1:$I$89,5,0)</f>
        <v>127.54559999999992</v>
      </c>
      <c r="GW68" s="14">
        <f t="shared" si="51"/>
        <v>33.428591950384806</v>
      </c>
      <c r="GX68" s="22">
        <f t="shared" ref="GX68:GX131" si="82">(GV68+GW68)*0.475*44/12</f>
        <v>280.36338431358672</v>
      </c>
      <c r="GY68" s="62">
        <f t="shared" ref="GY68:GY131" si="83">GX68+(GP68+GQ68)*44/12</f>
        <v>573.69671764691998</v>
      </c>
      <c r="GZ68" s="62">
        <f ca="1">AVERAGE(OFFSET($GY$3,0,0,'Données projet'!$E$18+1,1))-AVERAGE(OFFSET($H$3,0,0,'Données projet'!$E$18+1,1))</f>
        <v>152.84277478695606</v>
      </c>
      <c r="HA68" s="62">
        <f t="shared" si="52"/>
        <v>179.22995976651015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9">
        <f t="shared" si="56"/>
        <v>338.48614777065865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239.10119999999995</v>
      </c>
      <c r="P69" s="14">
        <f t="shared" ref="P69:P132" si="87">EXP(-1.0587+0.8836*LN(O69)+0.284)</f>
        <v>58.246107075777331</v>
      </c>
      <c r="Q69" s="22">
        <f t="shared" si="54"/>
        <v>517.87989315697871</v>
      </c>
      <c r="R69" s="62">
        <f t="shared" si="55"/>
        <v>811.21322649031208</v>
      </c>
      <c r="S69" s="62">
        <f ca="1">AVERAGE(OFFSET($R$3,0,0,'Données projet'!$E$9+1,1))-AVERAGE(OFFSET($H$3,0,0,'Données projet'!$E$9+1,1))</f>
        <v>383.26814640166805</v>
      </c>
      <c r="T69" s="62">
        <f t="shared" ref="T69:T132" si="88">$T$3</f>
        <v>233.71216103405249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3.6</v>
      </c>
      <c r="AI69" s="14">
        <f>IF('Données projet'!$A$62&gt;35,AI68+AH69-AQ68,IF(A69&lt;'Données projet'!$A$62,$AF$205^A69,IF(A69='Données projet'!$A$62,'Données projet'!$B$62,AI68+AH69-AQ68)))</f>
        <v>117.59999999999997</v>
      </c>
      <c r="AJ69" s="14">
        <f>AI69*VLOOKUP('Données projet'!$B$10,Paramètres!$A$1:$I$89,3,0)*VLOOKUP('Données projet'!$B$10,Paramètres!$A$1:$I$89,5,0)</f>
        <v>126.58463999999996</v>
      </c>
      <c r="AK69" s="14">
        <f t="shared" ref="AK69:AK132" si="89">EXP(-1.0587+0.8836*LN(AJ69)+0.284)</f>
        <v>33.205951254973805</v>
      </c>
      <c r="AL69" s="22">
        <f t="shared" si="58"/>
        <v>278.301946435746</v>
      </c>
      <c r="AM69" s="62">
        <f t="shared" si="59"/>
        <v>571.63527976907926</v>
      </c>
      <c r="AN69" s="62">
        <f ca="1">AVERAGE(OFFSET($AM$3,0,0,'Données projet'!$E$10+1,1))-AVERAGE(OFFSET($H$3,0,0,'Données projet'!$E$10+1,1))</f>
        <v>205.99910063756408</v>
      </c>
      <c r="AO69" s="62">
        <f t="shared" ref="AO69:AO132" si="90">$AO$3</f>
        <v>128.95330275493671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6.7984728957526396E-14</v>
      </c>
      <c r="BF69" s="14">
        <f t="shared" ref="BF69:BF132" si="91">EXP(-1.0587+0.8836*LN(BE69)+0.284)</f>
        <v>1.0682447123141398E-12</v>
      </c>
      <c r="BG69" s="22">
        <f t="shared" si="61"/>
        <v>1.978932943548152E-12</v>
      </c>
      <c r="BH69" s="62">
        <f t="shared" si="62"/>
        <v>293.3333333333353</v>
      </c>
      <c r="BI69" s="62">
        <f ca="1">AVERAGE(OFFSET($BH$3,0,0,'Données projet'!$E$11+1,1))-AVERAGE(OFFSET($H$3,0,0,'Données projet'!$E$11+1,1))</f>
        <v>222.20580087523689</v>
      </c>
      <c r="BJ69" s="62">
        <f t="shared" ref="BJ69:BJ132" si="92">$BJ$3</f>
        <v>232.08940427392253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4.9060238107088567</v>
      </c>
      <c r="BQ69" s="23">
        <f>EXP(-LN(2)/25)*BQ68+(1-EXP(-LN(2)/25))/(LN(2)/25)*Calculateur!BL69*Calculateur!BN69*VLOOKUP('Données projet'!$B$11,Paramètres!$A$1:$I$89,3,0)*0.475*44/12</f>
        <v>6.0577860145627529</v>
      </c>
      <c r="BR69" s="23">
        <f>EXP(-LN(2)/2)*BR68+(1-EXP(-LN(2)/2))/(LN(2)/2)*BL69*BO69*VLOOKUP('Données projet'!$B$11,Paramètres!$A$1:$I$89,3,0)*0.475*44/12</f>
        <v>2.4185031684584975E-5</v>
      </c>
      <c r="BS69" s="24">
        <f t="shared" si="63"/>
        <v>10.963834010303295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9.8224358974358967</v>
      </c>
      <c r="BY69" s="13">
        <f>IF('Données projet'!$A$114&gt;35,BY68+BX69-CG68,IF(A69&lt;'Données projet'!$A$114,$BV$205^A69,IF(A69='Données projet'!$A$114,'Données projet'!$B$114,BY68+BX69-CG68)))</f>
        <v>272.07500000000022</v>
      </c>
      <c r="BZ69" s="14">
        <f>BY69*VLOOKUP('Données projet'!$B$12,Paramètres!$A$1:$I$89,3,0)*VLOOKUP('Données projet'!$B$12,Paramètres!$A$1:$I$89,5,0)</f>
        <v>127.33110000000011</v>
      </c>
      <c r="CA69" s="14">
        <f t="shared" ref="CA69:CA132" si="93">EXP(-1.0587+0.8836*LN(BZ69)+0.284)</f>
        <v>33.378912344830439</v>
      </c>
      <c r="CB69" s="22">
        <f t="shared" si="64"/>
        <v>279.90327150057988</v>
      </c>
      <c r="CC69" s="62">
        <f t="shared" si="65"/>
        <v>573.23660483391313</v>
      </c>
      <c r="CD69" s="62">
        <f ca="1">AVERAGE(OFFSET($CC$3,0,0,'Données projet'!$E$12+1,1))-AVERAGE(OFFSET($H$3,0,0,'Données projet'!$E$12+1,1))</f>
        <v>179.14256291235466</v>
      </c>
      <c r="CE69" s="62">
        <f t="shared" ref="CE69:CE132" si="94">$CE$3</f>
        <v>107.5256983607585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9.1830769230769249</v>
      </c>
      <c r="CT69" s="13">
        <f>IF('Données projet'!$A$140&gt;35,CT68+CS69-DB68,IF(A69&lt;'Données projet'!$A$140,$CQ$205^A69,IF(A69='Données projet'!$A$140,'Données projet'!$B$140,CT68+CS69-DB68)))</f>
        <v>343.25999999999988</v>
      </c>
      <c r="CU69" s="18">
        <f>CT69*VLOOKUP('Données projet'!$B$13,Paramètres!$A$1:$I$89,3,0)*VLOOKUP('Données projet'!$B$13,Paramètres!$A$1:$I$89,5,0)</f>
        <v>205.26947999999996</v>
      </c>
      <c r="CV69" s="14">
        <f t="shared" ref="CV69:CV132" si="95">EXP(-1.0587+0.8836*LN(CU69)+0.284)</f>
        <v>50.900481301079942</v>
      </c>
      <c r="CW69" s="22">
        <f t="shared" si="67"/>
        <v>446.16268259938084</v>
      </c>
      <c r="CX69" s="62">
        <f t="shared" si="68"/>
        <v>739.49601593271416</v>
      </c>
      <c r="CY69" s="62">
        <f ca="1">AVERAGE(OFFSET($CX$3,0,0,'Données projet'!$E$13+1,1))-AVERAGE(OFFSET($H$3,0,0,'Données projet'!$E$13+1,1))</f>
        <v>237.03649693529445</v>
      </c>
      <c r="CZ69" s="62">
        <f t="shared" ref="CZ69:CZ132" si="96">$CZ$3</f>
        <v>191.04289411674887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2.0076253422719728E-5</v>
      </c>
      <c r="DI69" s="24">
        <f t="shared" si="69"/>
        <v>2.0076253422719728E-5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4.0200000000000014</v>
      </c>
      <c r="DO69" s="13">
        <f>IF('Données projet'!$A$166&gt;35,DO68+DN69-DW68,IF(A69&lt;'Données projet'!$A$166,$DL$205^A69,IF(A69='Données projet'!$A$166,'Données projet'!$B$166,DO68+DN69-DW68)))</f>
        <v>206.78999999999991</v>
      </c>
      <c r="DP69" s="18">
        <f>DO69*VLOOKUP('Données projet'!$B$14,Paramètres!$A$1:$I$89,3,0)*VLOOKUP('Données projet'!$B$14,Paramètres!$A$1:$I$89,5,0)</f>
        <v>238.22207999999986</v>
      </c>
      <c r="DQ69" s="14">
        <f t="shared" ref="DQ69:DQ132" si="97">EXP(-1.0587+0.8836*LN(DP69)+0.284)</f>
        <v>58.056836951490347</v>
      </c>
      <c r="DR69" s="22">
        <f t="shared" si="70"/>
        <v>516.01911369051209</v>
      </c>
      <c r="DS69" s="62">
        <f t="shared" si="71"/>
        <v>809.35244702384534</v>
      </c>
      <c r="DT69" s="62">
        <f ca="1">AVERAGE(OFFSET($DS$3,0,0,'Données projet'!$E$14+1,1))-AVERAGE(OFFSET($H$3,0,0,'Données projet'!$E$14+1,1))</f>
        <v>431.38469096974364</v>
      </c>
      <c r="DU69" s="62">
        <f t="shared" ref="DU69:DU132" si="98">$DU$3</f>
        <v>295.48627059086647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0.36102130759625256</v>
      </c>
      <c r="EC69" s="23">
        <f>EXP(-LN(2)/2)*EC68+(1-EXP(-LN(2)/2))/(LN(2)/2)*DW69*DZ69*VLOOKUP('Données projet'!$B$14,Paramètres!$A$1:$I$89,3,0)*0.475*44/12</f>
        <v>1.4642468263716851E-5</v>
      </c>
      <c r="ED69" s="24">
        <f t="shared" si="72"/>
        <v>0.36103595006451628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3.6</v>
      </c>
      <c r="EJ69" s="13">
        <f>IF('Données projet'!$A$192&gt;35,EJ68+EI69-ER68,IF(A69&lt;'Données projet'!$A$192,$EG$205^A69,IF(A69='Données projet'!$A$192,'Données projet'!$B$192,EJ68+EI69-ER68)))</f>
        <v>117.59999999999997</v>
      </c>
      <c r="EK69" s="18">
        <f>EJ69*VLOOKUP('Données projet'!$B$15,Paramètres!$A$1:$I$89,3,0)*VLOOKUP('Données projet'!$B$15,Paramètres!$A$1:$I$89,5,0)</f>
        <v>133.92287999999996</v>
      </c>
      <c r="EL69" s="14">
        <f t="shared" ref="EL69:EL132" si="99">EXP(-1.0587+0.8836*LN(EK69)+0.284)</f>
        <v>34.901247350186097</v>
      </c>
      <c r="EM69" s="22">
        <f t="shared" si="73"/>
        <v>294.03535513490738</v>
      </c>
      <c r="EN69" s="62">
        <f t="shared" si="74"/>
        <v>587.36868846824063</v>
      </c>
      <c r="EO69" s="62">
        <f ca="1">AVERAGE(OFFSET($EN$3,0,0,'Données projet'!$E$15+1,1))-AVERAGE(OFFSET($H$3,0,0,'Données projet'!$E$15+1,1))</f>
        <v>220.03635832253951</v>
      </c>
      <c r="EP69" s="62">
        <f t="shared" ref="EP69:EP132" si="100">$EP$3</f>
        <v>136.30639155882233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4</v>
      </c>
      <c r="FE69" s="13">
        <f>IF('Données projet'!$A$218&gt;35,FE68+FD69-FM68,IF(A69&lt;'Données projet'!$A$218,$FB$205^A69,IF(A69='Données projet'!$A$218,'Données projet'!$B$218,FE68+FD69-FM68)))</f>
        <v>369.00000000000028</v>
      </c>
      <c r="FF69" s="18">
        <f>FE69*VLOOKUP('Données projet'!$B$16,Paramètres!$A$1:$I$89,3,0)*VLOOKUP('Données projet'!$B$16,Paramètres!$A$1:$I$89,5,0)</f>
        <v>385.67880000000036</v>
      </c>
      <c r="FG69" s="14">
        <f t="shared" ref="FG69:FG132" si="101">EXP(-1.0587+0.8836*LN(FF69)+0.284)</f>
        <v>88.867129611583636</v>
      </c>
      <c r="FH69" s="22">
        <f t="shared" si="76"/>
        <v>826.50082740684218</v>
      </c>
      <c r="FI69" s="62">
        <f t="shared" si="77"/>
        <v>1119.8341607401755</v>
      </c>
      <c r="FJ69" s="62">
        <f ca="1">AVERAGE(OFFSET($FI$3,0,0,'Données projet'!$E$16+1,1))-AVERAGE(OFFSET($H$3,0,0,'Données projet'!$E$16+1,1))</f>
        <v>641.62708445664862</v>
      </c>
      <c r="FK69" s="62">
        <f t="shared" ref="FK69:FK132" si="102">$FK$3</f>
        <v>379.46845863546929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8.2763043537911239E-5</v>
      </c>
      <c r="FT69" s="24">
        <f t="shared" si="78"/>
        <v>8.2763043537911239E-5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3.6</v>
      </c>
      <c r="FZ69" s="13">
        <f>IF('Données projet'!$A$244&gt;35,FZ68+FY69-GH68,IF(A69&lt;'Données projet'!$A$244,$FW$205^A69,IF(A69='Données projet'!$A$244,'Données projet'!$B$244,FZ68+FY69-GH68)))</f>
        <v>117.59999999999997</v>
      </c>
      <c r="GA69" s="18">
        <f>FZ69*VLOOKUP('Données projet'!$B$17,Paramètres!$A$1:$I$89,3,0)*VLOOKUP('Données projet'!$B$17,Paramètres!$A$1:$I$89,5,0)</f>
        <v>113.74271999999996</v>
      </c>
      <c r="GB69" s="14">
        <f t="shared" ref="GB69:GB132" si="103">EXP(-1.0587+0.8836*LN(GA69)+0.284)</f>
        <v>30.211074114233345</v>
      </c>
      <c r="GC69" s="22">
        <f t="shared" si="79"/>
        <v>250.71952474895636</v>
      </c>
      <c r="GD69" s="62">
        <f t="shared" si="80"/>
        <v>544.05285808228973</v>
      </c>
      <c r="GE69" s="62">
        <f ca="1">AVERAGE(OFFSET($GD$3,0,0,'Données projet'!$E$17+1,1))-AVERAGE(OFFSET($H$3,0,0,'Données projet'!$E$17+1,1))</f>
        <v>181.39066880931728</v>
      </c>
      <c r="GF69" s="62">
        <f t="shared" ref="GF69:GF132" si="104">$GF$3</f>
        <v>116.06078566855524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2.2000000000000002</v>
      </c>
      <c r="GU69" s="13">
        <f>IF('Données projet'!$A$270&gt;35,GU68+GT69-HC68,IF(A69&lt;'Données projet'!$A$270,$GR$205^A69,IF(A69='Données projet'!$A$270,'Données projet'!$B$270,GU68+GT69-HC68)))</f>
        <v>148.19999999999987</v>
      </c>
      <c r="GV69" s="18">
        <f>GU69*VLOOKUP('Données projet'!$B$18,Paramètres!$A$1:$I$89,3,0)*VLOOKUP('Données projet'!$B$18,Paramètres!$A$1:$I$89,5,0)</f>
        <v>129.46751999999989</v>
      </c>
      <c r="GW69" s="14">
        <f t="shared" ref="GW69:GW132" si="105">EXP(-1.0587+0.8836*LN(GV69)+0.284)</f>
        <v>33.873289462262882</v>
      </c>
      <c r="GX69" s="22">
        <f t="shared" si="82"/>
        <v>284.48524314677434</v>
      </c>
      <c r="GY69" s="62">
        <f t="shared" si="83"/>
        <v>577.81857648010759</v>
      </c>
      <c r="GZ69" s="62">
        <f ca="1">AVERAGE(OFFSET($GY$3,0,0,'Données projet'!$E$18+1,1))-AVERAGE(OFFSET($H$3,0,0,'Données projet'!$E$18+1,1))</f>
        <v>152.84277478695606</v>
      </c>
      <c r="HA69" s="62">
        <f t="shared" ref="HA69:HA132" si="106">$HA$3</f>
        <v>179.22995976651015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9">
        <f t="shared" si="56"/>
        <v>339.69200392644217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245.99639999999997</v>
      </c>
      <c r="P70" s="14">
        <f t="shared" si="87"/>
        <v>59.72782632026442</v>
      </c>
      <c r="Q70" s="22">
        <f t="shared" si="54"/>
        <v>532.46969417446041</v>
      </c>
      <c r="R70" s="62">
        <f t="shared" si="55"/>
        <v>825.80302750779379</v>
      </c>
      <c r="S70" s="62">
        <f ca="1">AVERAGE(OFFSET($R$3,0,0,'Données projet'!$E$9+1,1))-AVERAGE(OFFSET($H$3,0,0,'Données projet'!$E$9+1,1))</f>
        <v>383.26814640166805</v>
      </c>
      <c r="T70" s="62">
        <f t="shared" si="88"/>
        <v>233.71216103405249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3.6</v>
      </c>
      <c r="AI70" s="14">
        <f>IF('Données projet'!$A$62&gt;35,AI69+AH70-AQ69,IF(A70&lt;'Données projet'!$A$62,$AF$205^A70,IF(A70='Données projet'!$A$62,'Données projet'!$B$62,AI69+AH70-AQ69)))</f>
        <v>121.19999999999996</v>
      </c>
      <c r="AJ70" s="14">
        <f>AI70*VLOOKUP('Données projet'!$B$10,Paramètres!$A$1:$I$89,3,0)*VLOOKUP('Données projet'!$B$10,Paramètres!$A$1:$I$89,5,0)</f>
        <v>130.45967999999996</v>
      </c>
      <c r="AK70" s="14">
        <f t="shared" si="89"/>
        <v>34.102556053254894</v>
      </c>
      <c r="AL70" s="22">
        <f t="shared" si="58"/>
        <v>286.61256112608555</v>
      </c>
      <c r="AM70" s="62">
        <f t="shared" si="59"/>
        <v>579.94589445941892</v>
      </c>
      <c r="AN70" s="62">
        <f ca="1">AVERAGE(OFFSET($AM$3,0,0,'Données projet'!$E$10+1,1))-AVERAGE(OFFSET($H$3,0,0,'Données projet'!$E$10+1,1))</f>
        <v>205.99910063756408</v>
      </c>
      <c r="AO70" s="62">
        <f t="shared" si="90"/>
        <v>128.95330275493671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6.7984728957526396E-14</v>
      </c>
      <c r="BF70" s="14">
        <f t="shared" si="91"/>
        <v>1.0682447123141398E-12</v>
      </c>
      <c r="BG70" s="22">
        <f t="shared" si="61"/>
        <v>1.978932943548152E-12</v>
      </c>
      <c r="BH70" s="62">
        <f t="shared" si="62"/>
        <v>293.3333333333353</v>
      </c>
      <c r="BI70" s="62">
        <f ca="1">AVERAGE(OFFSET($BH$3,0,0,'Données projet'!$E$11+1,1))-AVERAGE(OFFSET($H$3,0,0,'Données projet'!$E$11+1,1))</f>
        <v>222.20580087523689</v>
      </c>
      <c r="BJ70" s="62">
        <f t="shared" si="92"/>
        <v>232.08940427392253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4.8098196761599077</v>
      </c>
      <c r="BQ70" s="23">
        <f>EXP(-LN(2)/25)*BQ69+(1-EXP(-LN(2)/25))/(LN(2)/25)*Calculateur!BL70*Calculateur!BN70*VLOOKUP('Données projet'!$B$11,Paramètres!$A$1:$I$89,3,0)*0.475*44/12</f>
        <v>5.8921355374294135</v>
      </c>
      <c r="BR70" s="23">
        <f>EXP(-LN(2)/2)*BR69+(1-EXP(-LN(2)/2))/(LN(2)/2)*BL70*BO70*VLOOKUP('Données projet'!$B$11,Paramètres!$A$1:$I$89,3,0)*0.475*44/12</f>
        <v>1.7101399907381547E-5</v>
      </c>
      <c r="BS70" s="24">
        <f t="shared" si="63"/>
        <v>10.701972314989229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9.8224358974358967</v>
      </c>
      <c r="BY70" s="13">
        <f>IF('Données projet'!$A$114&gt;35,BY69+BX70-CG69,IF(A70&lt;'Données projet'!$A$114,$BV$205^A70,IF(A70='Données projet'!$A$114,'Données projet'!$B$114,BY69+BX70-CG69)))</f>
        <v>281.89743589743614</v>
      </c>
      <c r="BZ70" s="14">
        <f>BY70*VLOOKUP('Données projet'!$B$12,Paramètres!$A$1:$I$89,3,0)*VLOOKUP('Données projet'!$B$12,Paramètres!$A$1:$I$89,5,0)</f>
        <v>131.92800000000011</v>
      </c>
      <c r="CA70" s="14">
        <f t="shared" si="93"/>
        <v>34.441481093359563</v>
      </c>
      <c r="CB70" s="22">
        <f t="shared" si="64"/>
        <v>289.76017957093472</v>
      </c>
      <c r="CC70" s="62">
        <f t="shared" si="65"/>
        <v>583.09351290426798</v>
      </c>
      <c r="CD70" s="62">
        <f ca="1">AVERAGE(OFFSET($CC$3,0,0,'Données projet'!$E$12+1,1))-AVERAGE(OFFSET($H$3,0,0,'Données projet'!$E$12+1,1))</f>
        <v>179.14256291235466</v>
      </c>
      <c r="CE70" s="62">
        <f t="shared" si="94"/>
        <v>107.5256983607585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9.1830769230769249</v>
      </c>
      <c r="CT70" s="13">
        <f>IF('Données projet'!$A$140&gt;35,CT69+CS70-DB69,IF(A70&lt;'Données projet'!$A$140,$CQ$205^A70,IF(A70='Données projet'!$A$140,'Données projet'!$B$140,CT69+CS70-DB69)))</f>
        <v>352.44307692307677</v>
      </c>
      <c r="CU70" s="18">
        <f>CT70*VLOOKUP('Données projet'!$B$13,Paramètres!$A$1:$I$89,3,0)*VLOOKUP('Données projet'!$B$13,Paramètres!$A$1:$I$89,5,0)</f>
        <v>210.76095999999993</v>
      </c>
      <c r="CV70" s="14">
        <f t="shared" si="95"/>
        <v>52.101839581538208</v>
      </c>
      <c r="CW70" s="22">
        <f t="shared" si="67"/>
        <v>457.81937593784551</v>
      </c>
      <c r="CX70" s="62">
        <f t="shared" si="68"/>
        <v>751.15270927117876</v>
      </c>
      <c r="CY70" s="62">
        <f ca="1">AVERAGE(OFFSET($CX$3,0,0,'Données projet'!$E$13+1,1))-AVERAGE(OFFSET($H$3,0,0,'Données projet'!$E$13+1,1))</f>
        <v>237.03649693529445</v>
      </c>
      <c r="CZ70" s="62">
        <f t="shared" si="96"/>
        <v>191.04289411674887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1.4196054936024755E-5</v>
      </c>
      <c r="DI70" s="24">
        <f t="shared" si="69"/>
        <v>1.4196054936024755E-5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4.0200000000000014</v>
      </c>
      <c r="DO70" s="13">
        <f>IF('Données projet'!$A$166&gt;35,DO69+DN70-DW69,IF(A70&lt;'Données projet'!$A$166,$DL$205^A70,IF(A70='Données projet'!$A$166,'Données projet'!$B$166,DO69+DN70-DW69)))</f>
        <v>210.80999999999992</v>
      </c>
      <c r="DP70" s="18">
        <f>DO70*VLOOKUP('Données projet'!$B$14,Paramètres!$A$1:$I$89,3,0)*VLOOKUP('Données projet'!$B$14,Paramètres!$A$1:$I$89,5,0)</f>
        <v>242.85311999999988</v>
      </c>
      <c r="DQ70" s="14">
        <f t="shared" si="97"/>
        <v>59.05297029579404</v>
      </c>
      <c r="DR70" s="22">
        <f t="shared" si="70"/>
        <v>525.81977393184104</v>
      </c>
      <c r="DS70" s="62">
        <f t="shared" si="71"/>
        <v>819.15310726517441</v>
      </c>
      <c r="DT70" s="62">
        <f ca="1">AVERAGE(OFFSET($DS$3,0,0,'Données projet'!$E$14+1,1))-AVERAGE(OFFSET($H$3,0,0,'Données projet'!$E$14+1,1))</f>
        <v>431.38469096974364</v>
      </c>
      <c r="DU70" s="62">
        <f t="shared" si="98"/>
        <v>295.48627059086647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0.35114916095474757</v>
      </c>
      <c r="EC70" s="23">
        <f>EXP(-LN(2)/2)*EC69+(1-EXP(-LN(2)/2))/(LN(2)/2)*DW70*DZ70*VLOOKUP('Données projet'!$B$14,Paramètres!$A$1:$I$89,3,0)*0.475*44/12</f>
        <v>1.0353788602582997E-5</v>
      </c>
      <c r="ED70" s="24">
        <f t="shared" si="72"/>
        <v>0.35115951474335017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3.6</v>
      </c>
      <c r="EJ70" s="13">
        <f>IF('Données projet'!$A$192&gt;35,EJ69+EI70-ER69,IF(A70&lt;'Données projet'!$A$192,$EG$205^A70,IF(A70='Données projet'!$A$192,'Données projet'!$B$192,EJ69+EI70-ER69)))</f>
        <v>121.19999999999996</v>
      </c>
      <c r="EK70" s="18">
        <f>EJ70*VLOOKUP('Données projet'!$B$15,Paramètres!$A$1:$I$89,3,0)*VLOOKUP('Données projet'!$B$15,Paramètres!$A$1:$I$89,5,0)</f>
        <v>138.02255999999997</v>
      </c>
      <c r="EL70" s="14">
        <f t="shared" si="99"/>
        <v>35.84362739525362</v>
      </c>
      <c r="EM70" s="22">
        <f t="shared" si="73"/>
        <v>302.81694304673329</v>
      </c>
      <c r="EN70" s="62">
        <f t="shared" si="74"/>
        <v>596.15027638006654</v>
      </c>
      <c r="EO70" s="62">
        <f ca="1">AVERAGE(OFFSET($EN$3,0,0,'Données projet'!$E$15+1,1))-AVERAGE(OFFSET($H$3,0,0,'Données projet'!$E$15+1,1))</f>
        <v>220.03635832253951</v>
      </c>
      <c r="EP70" s="62">
        <f t="shared" si="100"/>
        <v>136.30639155882233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4</v>
      </c>
      <c r="FE70" s="13">
        <f>IF('Données projet'!$A$218&gt;35,FE69+FD70-FM69,IF(A70&lt;'Données projet'!$A$218,$FB$205^A70,IF(A70='Données projet'!$A$218,'Données projet'!$B$218,FE69+FD70-FM69)))</f>
        <v>373.00000000000028</v>
      </c>
      <c r="FF70" s="18">
        <f>FE70*VLOOKUP('Données projet'!$B$16,Paramètres!$A$1:$I$89,3,0)*VLOOKUP('Données projet'!$B$16,Paramètres!$A$1:$I$89,5,0)</f>
        <v>389.85960000000034</v>
      </c>
      <c r="FG70" s="14">
        <f t="shared" si="101"/>
        <v>89.717792535341559</v>
      </c>
      <c r="FH70" s="22">
        <f t="shared" si="76"/>
        <v>835.26395866572045</v>
      </c>
      <c r="FI70" s="62">
        <f t="shared" si="77"/>
        <v>1128.5972919990538</v>
      </c>
      <c r="FJ70" s="62">
        <f ca="1">AVERAGE(OFFSET($FI$3,0,0,'Données projet'!$E$16+1,1))-AVERAGE(OFFSET($H$3,0,0,'Données projet'!$E$16+1,1))</f>
        <v>641.62708445664862</v>
      </c>
      <c r="FK70" s="62">
        <f t="shared" si="102"/>
        <v>379.46845863546929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5.8522309317294515E-5</v>
      </c>
      <c r="FT70" s="24">
        <f t="shared" si="78"/>
        <v>5.8522309317294515E-5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3.6</v>
      </c>
      <c r="FZ70" s="13">
        <f>IF('Données projet'!$A$244&gt;35,FZ69+FY70-GH69,IF(A70&lt;'Données projet'!$A$244,$FW$205^A70,IF(A70='Données projet'!$A$244,'Données projet'!$B$244,FZ69+FY70-GH69)))</f>
        <v>121.19999999999996</v>
      </c>
      <c r="GA70" s="18">
        <f>FZ70*VLOOKUP('Données projet'!$B$17,Paramètres!$A$1:$I$89,3,0)*VLOOKUP('Données projet'!$B$17,Paramètres!$A$1:$I$89,5,0)</f>
        <v>117.22463999999997</v>
      </c>
      <c r="GB70" s="14">
        <f t="shared" si="103"/>
        <v>31.026813250993953</v>
      </c>
      <c r="GC70" s="22">
        <f t="shared" si="79"/>
        <v>258.20461441214769</v>
      </c>
      <c r="GD70" s="62">
        <f t="shared" si="80"/>
        <v>551.53794774548101</v>
      </c>
      <c r="GE70" s="62">
        <f ca="1">AVERAGE(OFFSET($GD$3,0,0,'Données projet'!$E$17+1,1))-AVERAGE(OFFSET($H$3,0,0,'Données projet'!$E$17+1,1))</f>
        <v>181.39066880931728</v>
      </c>
      <c r="GF70" s="62">
        <f t="shared" si="104"/>
        <v>116.06078566855524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2.2000000000000002</v>
      </c>
      <c r="GU70" s="13">
        <f>IF('Données projet'!$A$270&gt;35,GU69+GT70-HC69,IF(A70&lt;'Données projet'!$A$270,$GR$205^A70,IF(A70='Données projet'!$A$270,'Données projet'!$B$270,GU69+GT70-HC69)))</f>
        <v>150.39999999999986</v>
      </c>
      <c r="GV70" s="18">
        <f>GU70*VLOOKUP('Données projet'!$B$18,Paramètres!$A$1:$I$89,3,0)*VLOOKUP('Données projet'!$B$18,Paramètres!$A$1:$I$89,5,0)</f>
        <v>131.38943999999989</v>
      </c>
      <c r="GW70" s="14">
        <f t="shared" si="105"/>
        <v>34.317219199328726</v>
      </c>
      <c r="GX70" s="22">
        <f t="shared" si="82"/>
        <v>288.60576477216398</v>
      </c>
      <c r="GY70" s="62">
        <f t="shared" si="83"/>
        <v>581.93909810549735</v>
      </c>
      <c r="GZ70" s="62">
        <f ca="1">AVERAGE(OFFSET($GY$3,0,0,'Données projet'!$E$18+1,1))-AVERAGE(OFFSET($H$3,0,0,'Données projet'!$E$18+1,1))</f>
        <v>152.84277478695606</v>
      </c>
      <c r="HA70" s="62">
        <f t="shared" si="106"/>
        <v>179.22995976651015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9">
        <f t="shared" si="56"/>
        <v>340.89741759743021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252.89159999999998</v>
      </c>
      <c r="P71" s="14">
        <f t="shared" si="87"/>
        <v>61.204718436590312</v>
      </c>
      <c r="Q71" s="22">
        <f t="shared" si="54"/>
        <v>547.05108794372802</v>
      </c>
      <c r="R71" s="62">
        <f t="shared" si="55"/>
        <v>840.38442127706139</v>
      </c>
      <c r="S71" s="62">
        <f ca="1">AVERAGE(OFFSET($R$3,0,0,'Données projet'!$E$9+1,1))-AVERAGE(OFFSET($H$3,0,0,'Données projet'!$E$9+1,1))</f>
        <v>383.26814640166805</v>
      </c>
      <c r="T71" s="62">
        <f t="shared" si="88"/>
        <v>233.71216103405249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3.6</v>
      </c>
      <c r="AI71" s="14">
        <f>IF('Données projet'!$A$62&gt;35,AI70+AH71-AQ70,IF(A71&lt;'Données projet'!$A$62,$AF$205^A71,IF(A71='Données projet'!$A$62,'Données projet'!$B$62,AI70+AH71-AQ70)))</f>
        <v>124.79999999999995</v>
      </c>
      <c r="AJ71" s="14">
        <f>AI71*VLOOKUP('Données projet'!$B$10,Paramètres!$A$1:$I$89,3,0)*VLOOKUP('Données projet'!$B$10,Paramètres!$A$1:$I$89,5,0)</f>
        <v>134.33471999999995</v>
      </c>
      <c r="AK71" s="14">
        <f t="shared" si="89"/>
        <v>34.996065778897268</v>
      </c>
      <c r="AL71" s="22">
        <f t="shared" si="58"/>
        <v>294.91778523157933</v>
      </c>
      <c r="AM71" s="62">
        <f t="shared" si="59"/>
        <v>588.25111856491264</v>
      </c>
      <c r="AN71" s="62">
        <f ca="1">AVERAGE(OFFSET($AM$3,0,0,'Données projet'!$E$10+1,1))-AVERAGE(OFFSET($H$3,0,0,'Données projet'!$E$10+1,1))</f>
        <v>205.99910063756408</v>
      </c>
      <c r="AO71" s="62">
        <f t="shared" si="90"/>
        <v>128.95330275493671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6.7984728957526396E-14</v>
      </c>
      <c r="BF71" s="14">
        <f t="shared" si="91"/>
        <v>1.0682447123141398E-12</v>
      </c>
      <c r="BG71" s="22">
        <f t="shared" si="61"/>
        <v>1.978932943548152E-12</v>
      </c>
      <c r="BH71" s="62">
        <f t="shared" si="62"/>
        <v>293.3333333333353</v>
      </c>
      <c r="BI71" s="62">
        <f ca="1">AVERAGE(OFFSET($BH$3,0,0,'Données projet'!$E$11+1,1))-AVERAGE(OFFSET($H$3,0,0,'Données projet'!$E$11+1,1))</f>
        <v>222.20580087523689</v>
      </c>
      <c r="BJ71" s="62">
        <f t="shared" si="92"/>
        <v>232.08940427392253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4.7155020460107355</v>
      </c>
      <c r="BQ71" s="23">
        <f>EXP(-LN(2)/25)*BQ70+(1-EXP(-LN(2)/25))/(LN(2)/25)*Calculateur!BL71*Calculateur!BN71*VLOOKUP('Données projet'!$B$11,Paramètres!$A$1:$I$89,3,0)*0.475*44/12</f>
        <v>5.7310147813044647</v>
      </c>
      <c r="BR71" s="23">
        <f>EXP(-LN(2)/2)*BR70+(1-EXP(-LN(2)/2))/(LN(2)/2)*BL71*BO71*VLOOKUP('Données projet'!$B$11,Paramètres!$A$1:$I$89,3,0)*0.475*44/12</f>
        <v>1.2092515842292488E-5</v>
      </c>
      <c r="BS71" s="24">
        <f t="shared" si="63"/>
        <v>10.446528919831042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9.8224358974358967</v>
      </c>
      <c r="BY71" s="13">
        <f>IF('Données projet'!$A$114&gt;35,BY70+BX71-CG70,IF(A71&lt;'Données projet'!$A$114,$BV$205^A71,IF(A71='Données projet'!$A$114,'Données projet'!$B$114,BY70+BX71-CG70)))</f>
        <v>291.71987179487206</v>
      </c>
      <c r="BZ71" s="14">
        <f>BY71*VLOOKUP('Données projet'!$B$12,Paramètres!$A$1:$I$89,3,0)*VLOOKUP('Données projet'!$B$12,Paramètres!$A$1:$I$89,5,0)</f>
        <v>136.52490000000012</v>
      </c>
      <c r="CA71" s="14">
        <f t="shared" si="93"/>
        <v>35.49974803884507</v>
      </c>
      <c r="CB71" s="22">
        <f t="shared" si="64"/>
        <v>299.60959533432202</v>
      </c>
      <c r="CC71" s="62">
        <f t="shared" si="65"/>
        <v>592.94292866765534</v>
      </c>
      <c r="CD71" s="62">
        <f ca="1">AVERAGE(OFFSET($CC$3,0,0,'Données projet'!$E$12+1,1))-AVERAGE(OFFSET($H$3,0,0,'Données projet'!$E$12+1,1))</f>
        <v>179.14256291235466</v>
      </c>
      <c r="CE71" s="62">
        <f t="shared" si="94"/>
        <v>107.5256983607585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9.1830769230769249</v>
      </c>
      <c r="CT71" s="13">
        <f>IF('Données projet'!$A$140&gt;35,CT70+CS71-DB70,IF(A71&lt;'Données projet'!$A$140,$CQ$205^A71,IF(A71='Données projet'!$A$140,'Données projet'!$B$140,CT70+CS71-DB70)))</f>
        <v>361.62615384615367</v>
      </c>
      <c r="CU71" s="18">
        <f>CT71*VLOOKUP('Données projet'!$B$13,Paramètres!$A$1:$I$89,3,0)*VLOOKUP('Données projet'!$B$13,Paramètres!$A$1:$I$89,5,0)</f>
        <v>216.25243999999989</v>
      </c>
      <c r="CV71" s="14">
        <f t="shared" si="95"/>
        <v>53.299559396285737</v>
      </c>
      <c r="CW71" s="22">
        <f t="shared" si="67"/>
        <v>469.46973228186403</v>
      </c>
      <c r="CX71" s="62">
        <f t="shared" si="68"/>
        <v>762.80306561519728</v>
      </c>
      <c r="CY71" s="62">
        <f ca="1">AVERAGE(OFFSET($CX$3,0,0,'Données projet'!$E$13+1,1))-AVERAGE(OFFSET($H$3,0,0,'Données projet'!$E$13+1,1))</f>
        <v>237.03649693529445</v>
      </c>
      <c r="CZ71" s="62">
        <f t="shared" si="96"/>
        <v>191.04289411674887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1.0038126711359864E-5</v>
      </c>
      <c r="DI71" s="24">
        <f t="shared" si="69"/>
        <v>1.0038126711359864E-5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4.0200000000000014</v>
      </c>
      <c r="DO71" s="13">
        <f>IF('Données projet'!$A$166&gt;35,DO70+DN71-DW70,IF(A71&lt;'Données projet'!$A$166,$DL$205^A71,IF(A71='Données projet'!$A$166,'Données projet'!$B$166,DO70+DN71-DW70)))</f>
        <v>214.82999999999993</v>
      </c>
      <c r="DP71" s="18">
        <f>DO71*VLOOKUP('Données projet'!$B$14,Paramètres!$A$1:$I$89,3,0)*VLOOKUP('Données projet'!$B$14,Paramètres!$A$1:$I$89,5,0)</f>
        <v>247.48415999999992</v>
      </c>
      <c r="DQ71" s="14">
        <f t="shared" si="97"/>
        <v>60.046894866395682</v>
      </c>
      <c r="DR71" s="22">
        <f t="shared" si="70"/>
        <v>535.61658722563902</v>
      </c>
      <c r="DS71" s="62">
        <f t="shared" si="71"/>
        <v>828.94992055897228</v>
      </c>
      <c r="DT71" s="62">
        <f ca="1">AVERAGE(OFFSET($DS$3,0,0,'Données projet'!$E$14+1,1))-AVERAGE(OFFSET($H$3,0,0,'Données projet'!$E$14+1,1))</f>
        <v>431.38469096974364</v>
      </c>
      <c r="DU71" s="62">
        <f t="shared" si="98"/>
        <v>295.48627059086647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0.34154696868230822</v>
      </c>
      <c r="EC71" s="23">
        <f>EXP(-LN(2)/2)*EC70+(1-EXP(-LN(2)/2))/(LN(2)/2)*DW71*DZ71*VLOOKUP('Données projet'!$B$14,Paramètres!$A$1:$I$89,3,0)*0.475*44/12</f>
        <v>7.3212341318584253E-6</v>
      </c>
      <c r="ED71" s="24">
        <f t="shared" si="72"/>
        <v>0.3415542899164401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3.6</v>
      </c>
      <c r="EJ71" s="13">
        <f>IF('Données projet'!$A$192&gt;35,EJ70+EI71-ER70,IF(A71&lt;'Données projet'!$A$192,$EG$205^A71,IF(A71='Données projet'!$A$192,'Données projet'!$B$192,EJ70+EI71-ER70)))</f>
        <v>124.79999999999995</v>
      </c>
      <c r="EK71" s="18">
        <f>EJ71*VLOOKUP('Données projet'!$B$15,Paramètres!$A$1:$I$89,3,0)*VLOOKUP('Données projet'!$B$15,Paramètres!$A$1:$I$89,5,0)</f>
        <v>142.12223999999995</v>
      </c>
      <c r="EL71" s="14">
        <f t="shared" si="99"/>
        <v>36.782754351894297</v>
      </c>
      <c r="EM71" s="22">
        <f t="shared" si="73"/>
        <v>311.59286516288245</v>
      </c>
      <c r="EN71" s="62">
        <f t="shared" si="74"/>
        <v>604.92619849621576</v>
      </c>
      <c r="EO71" s="62">
        <f ca="1">AVERAGE(OFFSET($EN$3,0,0,'Données projet'!$E$15+1,1))-AVERAGE(OFFSET($H$3,0,0,'Données projet'!$E$15+1,1))</f>
        <v>220.03635832253951</v>
      </c>
      <c r="EP71" s="62">
        <f t="shared" si="100"/>
        <v>136.30639155882233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4</v>
      </c>
      <c r="FE71" s="13">
        <f>IF('Données projet'!$A$218&gt;35,FE70+FD71-FM70,IF(A71&lt;'Données projet'!$A$218,$FB$205^A71,IF(A71='Données projet'!$A$218,'Données projet'!$B$218,FE70+FD71-FM70)))</f>
        <v>377.00000000000028</v>
      </c>
      <c r="FF71" s="18">
        <f>FE71*VLOOKUP('Données projet'!$B$16,Paramètres!$A$1:$I$89,3,0)*VLOOKUP('Données projet'!$B$16,Paramètres!$A$1:$I$89,5,0)</f>
        <v>394.04040000000032</v>
      </c>
      <c r="FG71" s="14">
        <f t="shared" si="101"/>
        <v>90.567394253775291</v>
      </c>
      <c r="FH71" s="22">
        <f t="shared" si="76"/>
        <v>844.02524165865918</v>
      </c>
      <c r="FI71" s="62">
        <f t="shared" si="77"/>
        <v>1137.3585749919926</v>
      </c>
      <c r="FJ71" s="62">
        <f ca="1">AVERAGE(OFFSET($FI$3,0,0,'Données projet'!$E$16+1,1))-AVERAGE(OFFSET($H$3,0,0,'Données projet'!$E$16+1,1))</f>
        <v>641.62708445664862</v>
      </c>
      <c r="FK71" s="62">
        <f t="shared" si="102"/>
        <v>379.46845863546929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4.1381521768955626E-5</v>
      </c>
      <c r="FT71" s="24">
        <f t="shared" si="78"/>
        <v>4.1381521768955626E-5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3.6</v>
      </c>
      <c r="FZ71" s="13">
        <f>IF('Données projet'!$A$244&gt;35,FZ70+FY71-GH70,IF(A71&lt;'Données projet'!$A$244,$FW$205^A71,IF(A71='Données projet'!$A$244,'Données projet'!$B$244,FZ70+FY71-GH70)))</f>
        <v>124.79999999999995</v>
      </c>
      <c r="GA71" s="18">
        <f>FZ71*VLOOKUP('Données projet'!$B$17,Paramètres!$A$1:$I$89,3,0)*VLOOKUP('Données projet'!$B$17,Paramètres!$A$1:$I$89,5,0)</f>
        <v>120.70655999999997</v>
      </c>
      <c r="GB71" s="14">
        <f t="shared" si="103"/>
        <v>31.839736462736809</v>
      </c>
      <c r="GC71" s="22">
        <f t="shared" si="79"/>
        <v>265.68479967259987</v>
      </c>
      <c r="GD71" s="62">
        <f t="shared" si="80"/>
        <v>559.01813300593312</v>
      </c>
      <c r="GE71" s="62">
        <f ca="1">AVERAGE(OFFSET($GD$3,0,0,'Données projet'!$E$17+1,1))-AVERAGE(OFFSET($H$3,0,0,'Données projet'!$E$17+1,1))</f>
        <v>181.39066880931728</v>
      </c>
      <c r="GF71" s="62">
        <f t="shared" si="104"/>
        <v>116.06078566855524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2.2000000000000002</v>
      </c>
      <c r="GU71" s="13">
        <f>IF('Données projet'!$A$270&gt;35,GU70+GT71-HC70,IF(A71&lt;'Données projet'!$A$270,$GR$205^A71,IF(A71='Données projet'!$A$270,'Données projet'!$B$270,GU70+GT71-HC70)))</f>
        <v>152.59999999999985</v>
      </c>
      <c r="GV71" s="18">
        <f>GU71*VLOOKUP('Données projet'!$B$18,Paramètres!$A$1:$I$89,3,0)*VLOOKUP('Données projet'!$B$18,Paramètres!$A$1:$I$89,5,0)</f>
        <v>133.31135999999989</v>
      </c>
      <c r="GW71" s="14">
        <f t="shared" si="105"/>
        <v>34.760393689821598</v>
      </c>
      <c r="GX71" s="22">
        <f t="shared" si="82"/>
        <v>292.72497100977245</v>
      </c>
      <c r="GY71" s="62">
        <f t="shared" si="83"/>
        <v>586.05830434310576</v>
      </c>
      <c r="GZ71" s="62">
        <f ca="1">AVERAGE(OFFSET($GY$3,0,0,'Données projet'!$E$18+1,1))-AVERAGE(OFFSET($H$3,0,0,'Données projet'!$E$18+1,1))</f>
        <v>152.84277478695606</v>
      </c>
      <c r="HA71" s="62">
        <f t="shared" si="106"/>
        <v>179.22995976651015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9">
        <f t="shared" si="56"/>
        <v>342.10239604249472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259.78679999999997</v>
      </c>
      <c r="P72" s="14">
        <f t="shared" si="87"/>
        <v>62.676930162260739</v>
      </c>
      <c r="Q72" s="22">
        <f t="shared" si="54"/>
        <v>561.62433003260401</v>
      </c>
      <c r="R72" s="62">
        <f t="shared" si="55"/>
        <v>854.95766336593738</v>
      </c>
      <c r="S72" s="62">
        <f ca="1">AVERAGE(OFFSET($R$3,0,0,'Données projet'!$E$9+1,1))-AVERAGE(OFFSET($H$3,0,0,'Données projet'!$E$9+1,1))</f>
        <v>383.26814640166805</v>
      </c>
      <c r="T72" s="62">
        <f t="shared" si="88"/>
        <v>233.71216103405249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3.6</v>
      </c>
      <c r="AI72" s="14">
        <f>IF('Données projet'!$A$62&gt;35,AI71+AH72-AQ71,IF(A72&lt;'Données projet'!$A$62,$AF$205^A72,IF(A72='Données projet'!$A$62,'Données projet'!$B$62,AI71+AH72-AQ71)))</f>
        <v>128.39999999999995</v>
      </c>
      <c r="AJ72" s="14">
        <f>AI72*VLOOKUP('Données projet'!$B$10,Paramètres!$A$1:$I$89,3,0)*VLOOKUP('Données projet'!$B$10,Paramètres!$A$1:$I$89,5,0)</f>
        <v>138.20975999999993</v>
      </c>
      <c r="AK72" s="14">
        <f t="shared" si="89"/>
        <v>35.886579965971777</v>
      </c>
      <c r="AL72" s="22">
        <f t="shared" si="58"/>
        <v>303.21779210740073</v>
      </c>
      <c r="AM72" s="62">
        <f t="shared" si="59"/>
        <v>596.55112544073404</v>
      </c>
      <c r="AN72" s="62">
        <f ca="1">AVERAGE(OFFSET($AM$3,0,0,'Données projet'!$E$10+1,1))-AVERAGE(OFFSET($H$3,0,0,'Données projet'!$E$10+1,1))</f>
        <v>205.99910063756408</v>
      </c>
      <c r="AO72" s="62">
        <f t="shared" si="90"/>
        <v>128.95330275493671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6.7984728957526396E-14</v>
      </c>
      <c r="BF72" s="14">
        <f t="shared" si="91"/>
        <v>1.0682447123141398E-12</v>
      </c>
      <c r="BG72" s="22">
        <f t="shared" si="61"/>
        <v>1.978932943548152E-12</v>
      </c>
      <c r="BH72" s="62">
        <f t="shared" si="62"/>
        <v>293.3333333333353</v>
      </c>
      <c r="BI72" s="62">
        <f ca="1">AVERAGE(OFFSET($BH$3,0,0,'Données projet'!$E$11+1,1))-AVERAGE(OFFSET($H$3,0,0,'Données projet'!$E$11+1,1))</f>
        <v>222.20580087523689</v>
      </c>
      <c r="BJ72" s="62">
        <f t="shared" si="92"/>
        <v>232.08940427392253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4.6230339270607148</v>
      </c>
      <c r="BQ72" s="23">
        <f>EXP(-LN(2)/25)*BQ71+(1-EXP(-LN(2)/25))/(LN(2)/25)*Calculateur!BL72*Calculateur!BN72*VLOOKUP('Données projet'!$B$11,Paramètres!$A$1:$I$89,3,0)*0.475*44/12</f>
        <v>5.5742998807287254</v>
      </c>
      <c r="BR72" s="23">
        <f>EXP(-LN(2)/2)*BR71+(1-EXP(-LN(2)/2))/(LN(2)/2)*BL72*BO72*VLOOKUP('Données projet'!$B$11,Paramètres!$A$1:$I$89,3,0)*0.475*44/12</f>
        <v>8.5506999536907734E-6</v>
      </c>
      <c r="BS72" s="24">
        <f t="shared" si="63"/>
        <v>10.197342358489395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9.8224358974358967</v>
      </c>
      <c r="BY72" s="13">
        <f>IF('Données projet'!$A$114&gt;35,BY71+BX72-CG71,IF(A72&lt;'Données projet'!$A$114,$BV$205^A72,IF(A72='Données projet'!$A$114,'Données projet'!$B$114,BY71+BX72-CG71)))</f>
        <v>301.54230769230799</v>
      </c>
      <c r="BZ72" s="14">
        <f>BY72*VLOOKUP('Données projet'!$B$12,Paramètres!$A$1:$I$89,3,0)*VLOOKUP('Données projet'!$B$12,Paramètres!$A$1:$I$89,5,0)</f>
        <v>141.12180000000015</v>
      </c>
      <c r="CA72" s="14">
        <f t="shared" si="93"/>
        <v>36.553874631825011</v>
      </c>
      <c r="CB72" s="22">
        <f t="shared" si="64"/>
        <v>309.4517999837621</v>
      </c>
      <c r="CC72" s="62">
        <f t="shared" si="65"/>
        <v>602.78513331709541</v>
      </c>
      <c r="CD72" s="62">
        <f ca="1">AVERAGE(OFFSET($CC$3,0,0,'Données projet'!$E$12+1,1))-AVERAGE(OFFSET($H$3,0,0,'Données projet'!$E$12+1,1))</f>
        <v>179.14256291235466</v>
      </c>
      <c r="CE72" s="62">
        <f t="shared" si="94"/>
        <v>107.5256983607585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9.1830769230769249</v>
      </c>
      <c r="CT72" s="13">
        <f>IF('Données projet'!$A$140&gt;35,CT71+CS72-DB71,IF(A72&lt;'Données projet'!$A$140,$CQ$205^A72,IF(A72='Données projet'!$A$140,'Données projet'!$B$140,CT71+CS72-DB71)))</f>
        <v>370.80923076923057</v>
      </c>
      <c r="CU72" s="18">
        <f>CT72*VLOOKUP('Données projet'!$B$13,Paramètres!$A$1:$I$89,3,0)*VLOOKUP('Données projet'!$B$13,Paramètres!$A$1:$I$89,5,0)</f>
        <v>221.74391999999989</v>
      </c>
      <c r="CV72" s="14">
        <f t="shared" si="95"/>
        <v>54.493743764780973</v>
      </c>
      <c r="CW72" s="22">
        <f t="shared" si="67"/>
        <v>481.11393105699329</v>
      </c>
      <c r="CX72" s="62">
        <f t="shared" si="68"/>
        <v>774.44726439032661</v>
      </c>
      <c r="CY72" s="62">
        <f ca="1">AVERAGE(OFFSET($CX$3,0,0,'Données projet'!$E$13+1,1))-AVERAGE(OFFSET($H$3,0,0,'Données projet'!$E$13+1,1))</f>
        <v>237.03649693529445</v>
      </c>
      <c r="CZ72" s="62">
        <f t="shared" si="96"/>
        <v>191.04289411674887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7.0980274680123774E-6</v>
      </c>
      <c r="DI72" s="24">
        <f t="shared" si="69"/>
        <v>7.0980274680123774E-6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4.0200000000000014</v>
      </c>
      <c r="DO72" s="13">
        <f>IF('Données projet'!$A$166&gt;35,DO71+DN72-DW71,IF(A72&lt;'Données projet'!$A$166,$DL$205^A72,IF(A72='Données projet'!$A$166,'Données projet'!$B$166,DO71+DN72-DW71)))</f>
        <v>218.84999999999994</v>
      </c>
      <c r="DP72" s="18">
        <f>DO72*VLOOKUP('Données projet'!$B$14,Paramètres!$A$1:$I$89,3,0)*VLOOKUP('Données projet'!$B$14,Paramètres!$A$1:$I$89,5,0)</f>
        <v>252.1151999999999</v>
      </c>
      <c r="DQ72" s="14">
        <f t="shared" si="97"/>
        <v>61.038656761117771</v>
      </c>
      <c r="DR72" s="22">
        <f t="shared" si="70"/>
        <v>545.40963385894656</v>
      </c>
      <c r="DS72" s="62">
        <f t="shared" si="71"/>
        <v>838.74296719227982</v>
      </c>
      <c r="DT72" s="62">
        <f ca="1">AVERAGE(OFFSET($DS$3,0,0,'Données projet'!$E$14+1,1))-AVERAGE(OFFSET($H$3,0,0,'Données projet'!$E$14+1,1))</f>
        <v>431.38469096974364</v>
      </c>
      <c r="DU72" s="62">
        <f t="shared" si="98"/>
        <v>295.48627059086647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0.33220734886251602</v>
      </c>
      <c r="EC72" s="23">
        <f>EXP(-LN(2)/2)*EC71+(1-EXP(-LN(2)/2))/(LN(2)/2)*DW72*DZ72*VLOOKUP('Données projet'!$B$14,Paramètres!$A$1:$I$89,3,0)*0.475*44/12</f>
        <v>5.1768943012914987E-6</v>
      </c>
      <c r="ED72" s="24">
        <f t="shared" si="72"/>
        <v>0.33221252575681731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3.6</v>
      </c>
      <c r="EJ72" s="13">
        <f>IF('Données projet'!$A$192&gt;35,EJ71+EI72-ER71,IF(A72&lt;'Données projet'!$A$192,$EG$205^A72,IF(A72='Données projet'!$A$192,'Données projet'!$B$192,EJ71+EI72-ER71)))</f>
        <v>128.39999999999995</v>
      </c>
      <c r="EK72" s="18">
        <f>EJ72*VLOOKUP('Données projet'!$B$15,Paramètres!$A$1:$I$89,3,0)*VLOOKUP('Données projet'!$B$15,Paramètres!$A$1:$I$89,5,0)</f>
        <v>146.22191999999993</v>
      </c>
      <c r="EL72" s="14">
        <f t="shared" si="99"/>
        <v>37.718732835789773</v>
      </c>
      <c r="EM72" s="22">
        <f t="shared" si="73"/>
        <v>320.36330368900036</v>
      </c>
      <c r="EN72" s="62">
        <f t="shared" si="74"/>
        <v>613.69663702233368</v>
      </c>
      <c r="EO72" s="62">
        <f ca="1">AVERAGE(OFFSET($EN$3,0,0,'Données projet'!$E$15+1,1))-AVERAGE(OFFSET($H$3,0,0,'Données projet'!$E$15+1,1))</f>
        <v>220.03635832253951</v>
      </c>
      <c r="EP72" s="62">
        <f t="shared" si="100"/>
        <v>136.30639155882233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4</v>
      </c>
      <c r="FE72" s="13">
        <f>IF('Données projet'!$A$218&gt;35,FE71+FD72-FM71,IF(A72&lt;'Données projet'!$A$218,$FB$205^A72,IF(A72='Données projet'!$A$218,'Données projet'!$B$218,FE71+FD72-FM71)))</f>
        <v>381.00000000000028</v>
      </c>
      <c r="FF72" s="18">
        <f>FE72*VLOOKUP('Données projet'!$B$16,Paramètres!$A$1:$I$89,3,0)*VLOOKUP('Données projet'!$B$16,Paramètres!$A$1:$I$89,5,0)</f>
        <v>398.22120000000035</v>
      </c>
      <c r="FG72" s="14">
        <f t="shared" si="101"/>
        <v>91.415947329675191</v>
      </c>
      <c r="FH72" s="22">
        <f t="shared" si="76"/>
        <v>852.7846982658516</v>
      </c>
      <c r="FI72" s="62">
        <f t="shared" si="77"/>
        <v>1146.1180315991849</v>
      </c>
      <c r="FJ72" s="62">
        <f ca="1">AVERAGE(OFFSET($FI$3,0,0,'Données projet'!$E$16+1,1))-AVERAGE(OFFSET($H$3,0,0,'Données projet'!$E$16+1,1))</f>
        <v>641.62708445664862</v>
      </c>
      <c r="FK72" s="62">
        <f t="shared" si="102"/>
        <v>379.46845863546929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2.9261154658647261E-5</v>
      </c>
      <c r="FT72" s="24">
        <f t="shared" si="78"/>
        <v>2.9261154658647261E-5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3.6</v>
      </c>
      <c r="FZ72" s="13">
        <f>IF('Données projet'!$A$244&gt;35,FZ71+FY72-GH71,IF(A72&lt;'Données projet'!$A$244,$FW$205^A72,IF(A72='Données projet'!$A$244,'Données projet'!$B$244,FZ71+FY72-GH71)))</f>
        <v>128.39999999999995</v>
      </c>
      <c r="GA72" s="18">
        <f>FZ72*VLOOKUP('Données projet'!$B$17,Paramètres!$A$1:$I$89,3,0)*VLOOKUP('Données projet'!$B$17,Paramètres!$A$1:$I$89,5,0)</f>
        <v>124.18847999999994</v>
      </c>
      <c r="GB72" s="14">
        <f t="shared" si="103"/>
        <v>32.64993430645783</v>
      </c>
      <c r="GC72" s="22">
        <f t="shared" si="79"/>
        <v>273.16023825041395</v>
      </c>
      <c r="GD72" s="62">
        <f t="shared" si="80"/>
        <v>566.49357158374733</v>
      </c>
      <c r="GE72" s="62">
        <f ca="1">AVERAGE(OFFSET($GD$3,0,0,'Données projet'!$E$17+1,1))-AVERAGE(OFFSET($H$3,0,0,'Données projet'!$E$17+1,1))</f>
        <v>181.39066880931728</v>
      </c>
      <c r="GF72" s="62">
        <f t="shared" si="104"/>
        <v>116.06078566855524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2.2000000000000002</v>
      </c>
      <c r="GU72" s="13">
        <f>IF('Données projet'!$A$270&gt;35,GU71+GT72-HC71,IF(A72&lt;'Données projet'!$A$270,$GR$205^A72,IF(A72='Données projet'!$A$270,'Données projet'!$B$270,GU71+GT72-HC71)))</f>
        <v>154.79999999999984</v>
      </c>
      <c r="GV72" s="18">
        <f>GU72*VLOOKUP('Données projet'!$B$18,Paramètres!$A$1:$I$89,3,0)*VLOOKUP('Données projet'!$B$18,Paramètres!$A$1:$I$89,5,0)</f>
        <v>135.23327999999987</v>
      </c>
      <c r="GW72" s="14">
        <f t="shared" si="105"/>
        <v>35.202825080004409</v>
      </c>
      <c r="GX72" s="22">
        <f t="shared" si="82"/>
        <v>296.84288301434077</v>
      </c>
      <c r="GY72" s="62">
        <f t="shared" si="83"/>
        <v>590.17621634767409</v>
      </c>
      <c r="GZ72" s="62">
        <f ca="1">AVERAGE(OFFSET($GY$3,0,0,'Données projet'!$E$18+1,1))-AVERAGE(OFFSET($H$3,0,0,'Données projet'!$E$18+1,1))</f>
        <v>152.84277478695606</v>
      </c>
      <c r="HA72" s="62">
        <f t="shared" si="106"/>
        <v>179.22995976651015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9">
        <f t="shared" si="56"/>
        <v>343.30694629802451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266.68199999999996</v>
      </c>
      <c r="P73" s="14">
        <f t="shared" si="87"/>
        <v>64.144600001897771</v>
      </c>
      <c r="Q73" s="22">
        <f t="shared" si="54"/>
        <v>576.189661669972</v>
      </c>
      <c r="R73" s="62">
        <f t="shared" si="55"/>
        <v>869.52299500330537</v>
      </c>
      <c r="S73" s="62">
        <f ca="1">AVERAGE(OFFSET($R$3,0,0,'Données projet'!$E$9+1,1))-AVERAGE(OFFSET($H$3,0,0,'Données projet'!$E$9+1,1))</f>
        <v>383.26814640166805</v>
      </c>
      <c r="T73" s="62">
        <f t="shared" si="88"/>
        <v>233.71216103405249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132</v>
      </c>
      <c r="AG73" s="13">
        <f>VLOOKUP(A73,'Données projet'!$A$61:$I$81,9,0)</f>
        <v>3.6</v>
      </c>
      <c r="AH73" s="13">
        <f t="array" ref="AH73">INDEX(AG:AG,MIN(IF(ISNUMBER(AG73:AG269),ROW(AG73:AG269),"")))</f>
        <v>3.6</v>
      </c>
      <c r="AI73" s="14">
        <f>IF('Données projet'!$A$62&gt;35,AI72+AH73-AQ72,IF(A73&lt;'Données projet'!$A$62,$AF$205^A73,IF(A73='Données projet'!$A$62,'Données projet'!$B$62,AI72+AH73-AQ72)))</f>
        <v>131.99999999999994</v>
      </c>
      <c r="AJ73" s="14">
        <f>AI73*VLOOKUP('Données projet'!$B$10,Paramètres!$A$1:$I$89,3,0)*VLOOKUP('Données projet'!$B$10,Paramètres!$A$1:$I$89,5,0)</f>
        <v>142.08479999999994</v>
      </c>
      <c r="AK73" s="14">
        <f t="shared" si="89"/>
        <v>36.77419224965486</v>
      </c>
      <c r="AL73" s="22">
        <f t="shared" si="58"/>
        <v>311.51274483481546</v>
      </c>
      <c r="AM73" s="62">
        <f t="shared" si="59"/>
        <v>604.84607816814878</v>
      </c>
      <c r="AN73" s="62">
        <f ca="1">AVERAGE(OFFSET($AM$3,0,0,'Données projet'!$E$10+1,1))-AVERAGE(OFFSET($H$3,0,0,'Données projet'!$E$10+1,1))</f>
        <v>205.99910063756408</v>
      </c>
      <c r="AO73" s="62">
        <f t="shared" si="90"/>
        <v>128.95330275493671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6.7984728957526396E-14</v>
      </c>
      <c r="BF73" s="14">
        <f t="shared" si="91"/>
        <v>1.0682447123141398E-12</v>
      </c>
      <c r="BG73" s="22">
        <f t="shared" si="61"/>
        <v>1.978932943548152E-12</v>
      </c>
      <c r="BH73" s="62">
        <f t="shared" si="62"/>
        <v>293.3333333333353</v>
      </c>
      <c r="BI73" s="62">
        <f ca="1">AVERAGE(OFFSET($BH$3,0,0,'Données projet'!$E$11+1,1))-AVERAGE(OFFSET($H$3,0,0,'Données projet'!$E$11+1,1))</f>
        <v>222.20580087523689</v>
      </c>
      <c r="BJ73" s="62">
        <f t="shared" si="92"/>
        <v>232.08940427392253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4.5323790515233204</v>
      </c>
      <c r="BQ73" s="23">
        <f>EXP(-LN(2)/25)*BQ72+(1-EXP(-LN(2)/25))/(LN(2)/25)*Calculateur!BL73*Calculateur!BN73*VLOOKUP('Données projet'!$B$11,Paramètres!$A$1:$I$89,3,0)*0.475*44/12</f>
        <v>5.4218703573505076</v>
      </c>
      <c r="BR73" s="23">
        <f>EXP(-LN(2)/2)*BR72+(1-EXP(-LN(2)/2))/(LN(2)/2)*BL73*BO73*VLOOKUP('Données projet'!$B$11,Paramètres!$A$1:$I$89,3,0)*0.475*44/12</f>
        <v>6.0462579211462438E-6</v>
      </c>
      <c r="BS73" s="24">
        <f t="shared" si="63"/>
        <v>9.954255455131749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9.8224358974358967</v>
      </c>
      <c r="BY73" s="13">
        <f>IF('Données projet'!$A$114&gt;35,BY72+BX73-CG72,IF(A73&lt;'Données projet'!$A$114,$BV$205^A73,IF(A73='Données projet'!$A$114,'Données projet'!$B$114,BY72+BX73-CG72)))</f>
        <v>311.36474358974391</v>
      </c>
      <c r="BZ73" s="14">
        <f>BY73*VLOOKUP('Données projet'!$B$12,Paramètres!$A$1:$I$89,3,0)*VLOOKUP('Données projet'!$B$12,Paramètres!$A$1:$I$89,5,0)</f>
        <v>145.71870000000015</v>
      </c>
      <c r="CA73" s="14">
        <f t="shared" si="93"/>
        <v>37.604011207604955</v>
      </c>
      <c r="CB73" s="22">
        <f t="shared" si="64"/>
        <v>319.28705535324553</v>
      </c>
      <c r="CC73" s="62">
        <f t="shared" si="65"/>
        <v>612.62038868657885</v>
      </c>
      <c r="CD73" s="62">
        <f ca="1">AVERAGE(OFFSET($CC$3,0,0,'Données projet'!$E$12+1,1))-AVERAGE(OFFSET($H$3,0,0,'Données projet'!$E$12+1,1))</f>
        <v>179.14256291235466</v>
      </c>
      <c r="CE73" s="62">
        <f t="shared" si="94"/>
        <v>107.5256983607585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379.99230769230769</v>
      </c>
      <c r="CR73" s="13">
        <f>VLOOKUP(A73,'Données projet'!$A$139:$I$159,9,0)</f>
        <v>9.1830769230769249</v>
      </c>
      <c r="CS73" s="13">
        <f t="array" ref="CS73">INDEX(CR:CR,MIN(IF(ISNUMBER(CR73:CR269),ROW(CR73:CR269),"")))</f>
        <v>9.1830769230769249</v>
      </c>
      <c r="CT73" s="13">
        <f>IF('Données projet'!$A$140&gt;35,CT72+CS73-DB72,IF(A73&lt;'Données projet'!$A$140,$CQ$205^A73,IF(A73='Données projet'!$A$140,'Données projet'!$B$140,CT72+CS73-DB72)))</f>
        <v>379.99230769230746</v>
      </c>
      <c r="CU73" s="18">
        <f>CT73*VLOOKUP('Données projet'!$B$13,Paramètres!$A$1:$I$89,3,0)*VLOOKUP('Données projet'!$B$13,Paramètres!$A$1:$I$89,5,0)</f>
        <v>227.23539999999988</v>
      </c>
      <c r="CV73" s="14">
        <f t="shared" si="95"/>
        <v>55.684490313081348</v>
      </c>
      <c r="CW73" s="22">
        <f t="shared" si="67"/>
        <v>492.75214229528314</v>
      </c>
      <c r="CX73" s="62">
        <f t="shared" si="68"/>
        <v>786.08547562861645</v>
      </c>
      <c r="CY73" s="62">
        <f ca="1">AVERAGE(OFFSET($CX$3,0,0,'Données projet'!$E$13+1,1))-AVERAGE(OFFSET($H$3,0,0,'Données projet'!$E$13+1,1))</f>
        <v>237.03649693529445</v>
      </c>
      <c r="CZ73" s="62">
        <f t="shared" si="96"/>
        <v>191.04289411674887</v>
      </c>
      <c r="DA73" s="16">
        <f>IF(ISNA(VLOOKUP(A73,'Données projet'!$A$139:$I$159,3,0)),0,VLOOKUP(A73,'Données projet'!$A$139:$I$159,3,0))</f>
        <v>7</v>
      </c>
      <c r="DB73" s="16">
        <f>IF(ISNA(VLOOKUP(A73,'Données projet'!$A$139:$I$159,4,0)),0,VLOOKUP(A73,'Données projet'!$A$139:$I$159,4,0))</f>
        <v>52.669230769230765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5.0190633556799321E-6</v>
      </c>
      <c r="DI73" s="24">
        <f t="shared" si="69"/>
        <v>5.0190633556799321E-6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222.87</v>
      </c>
      <c r="DM73" s="13">
        <f>VLOOKUP(A73,'Données projet'!$A$165:$I$185,9,0)</f>
        <v>4.0200000000000014</v>
      </c>
      <c r="DN73" s="13">
        <f t="array" ref="DN73">INDEX(DM:DM,MIN(IF(ISNUMBER(DM73:DM269),ROW(DM73:DM269),"")))</f>
        <v>4.0200000000000014</v>
      </c>
      <c r="DO73" s="13">
        <f>IF('Données projet'!$A$166&gt;35,DO72+DN73-DW72,IF(A73&lt;'Données projet'!$A$166,$DL$205^A73,IF(A73='Données projet'!$A$166,'Données projet'!$B$166,DO72+DN73-DW72)))</f>
        <v>222.86999999999995</v>
      </c>
      <c r="DP73" s="18">
        <f>DO73*VLOOKUP('Données projet'!$B$14,Paramètres!$A$1:$I$89,3,0)*VLOOKUP('Données projet'!$B$14,Paramètres!$A$1:$I$89,5,0)</f>
        <v>256.74623999999989</v>
      </c>
      <c r="DQ73" s="14">
        <f t="shared" si="97"/>
        <v>62.028300287314693</v>
      </c>
      <c r="DR73" s="22">
        <f t="shared" si="70"/>
        <v>555.19899100040629</v>
      </c>
      <c r="DS73" s="62">
        <f t="shared" si="71"/>
        <v>848.53232433373955</v>
      </c>
      <c r="DT73" s="62">
        <f ca="1">AVERAGE(OFFSET($DS$3,0,0,'Données projet'!$E$14+1,1))-AVERAGE(OFFSET($H$3,0,0,'Données projet'!$E$14+1,1))</f>
        <v>431.38469096974364</v>
      </c>
      <c r="DU73" s="62">
        <f t="shared" si="98"/>
        <v>295.48627059086647</v>
      </c>
      <c r="DV73" s="16">
        <f>IF(ISNA(VLOOKUP(A73,'Données projet'!$A$165:$I$185,3,0)),0,VLOOKUP(A73,'Données projet'!$A$165:$I$185,3,0))</f>
        <v>7</v>
      </c>
      <c r="DW73" s="16">
        <f>IF(ISNA(VLOOKUP(A73,'Données projet'!$A$165:$I$185,4,0)),0,VLOOKUP(A73,'Données projet'!$A$165:$I$185,4,0))</f>
        <v>20.399999999999999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0.32312312143784533</v>
      </c>
      <c r="EC73" s="23">
        <f>EXP(-LN(2)/2)*EC72+(1-EXP(-LN(2)/2))/(LN(2)/2)*DW73*DZ73*VLOOKUP('Données projet'!$B$14,Paramètres!$A$1:$I$89,3,0)*0.475*44/12</f>
        <v>3.6606170659292126E-6</v>
      </c>
      <c r="ED73" s="24">
        <f t="shared" si="72"/>
        <v>0.32312678205491124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132</v>
      </c>
      <c r="EH73" s="13">
        <f>VLOOKUP(A73,'Données projet'!$A$191:$I$211,9,0)</f>
        <v>3.6</v>
      </c>
      <c r="EI73" s="13">
        <f t="array" ref="EI73">INDEX(EH:EH,MIN(IF(ISNUMBER(EH73:EH269),ROW(EH73:EH269),"")))</f>
        <v>3.6</v>
      </c>
      <c r="EJ73" s="13">
        <f>IF('Données projet'!$A$192&gt;35,EJ72+EI73-ER72,IF(A73&lt;'Données projet'!$A$192,$EG$205^A73,IF(A73='Données projet'!$A$192,'Données projet'!$B$192,EJ72+EI73-ER72)))</f>
        <v>131.99999999999994</v>
      </c>
      <c r="EK73" s="18">
        <f>EJ73*VLOOKUP('Données projet'!$B$15,Paramètres!$A$1:$I$89,3,0)*VLOOKUP('Données projet'!$B$15,Paramètres!$A$1:$I$89,5,0)</f>
        <v>150.32159999999993</v>
      </c>
      <c r="EL73" s="14">
        <f t="shared" si="99"/>
        <v>38.651661262565277</v>
      </c>
      <c r="EM73" s="22">
        <f t="shared" si="73"/>
        <v>329.12843003230108</v>
      </c>
      <c r="EN73" s="62">
        <f t="shared" si="74"/>
        <v>622.4617633656344</v>
      </c>
      <c r="EO73" s="62">
        <f ca="1">AVERAGE(OFFSET($EN$3,0,0,'Données projet'!$E$15+1,1))-AVERAGE(OFFSET($H$3,0,0,'Données projet'!$E$15+1,1))</f>
        <v>220.03635832253951</v>
      </c>
      <c r="EP73" s="62">
        <f t="shared" si="100"/>
        <v>136.30639155882233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385</v>
      </c>
      <c r="FC73" s="13">
        <f>VLOOKUP(A73,'Données projet'!$A$217:$I$237,9,0)</f>
        <v>4</v>
      </c>
      <c r="FD73" s="13">
        <f t="array" ref="FD73">INDEX(FC:FC,MIN(IF(ISNUMBER(FC73:FC269),ROW(FC73:FC269),"")))</f>
        <v>4</v>
      </c>
      <c r="FE73" s="13">
        <f>IF('Données projet'!$A$218&gt;35,FE72+FD73-FM72,IF(A73&lt;'Données projet'!$A$218,$FB$205^A73,IF(A73='Données projet'!$A$218,'Données projet'!$B$218,FE72+FD73-FM72)))</f>
        <v>385.00000000000028</v>
      </c>
      <c r="FF73" s="18">
        <f>FE73*VLOOKUP('Données projet'!$B$16,Paramètres!$A$1:$I$89,3,0)*VLOOKUP('Données projet'!$B$16,Paramètres!$A$1:$I$89,5,0)</f>
        <v>402.40200000000033</v>
      </c>
      <c r="FG73" s="14">
        <f t="shared" si="101"/>
        <v>92.263464046849066</v>
      </c>
      <c r="FH73" s="22">
        <f t="shared" si="76"/>
        <v>861.5423498815959</v>
      </c>
      <c r="FI73" s="62">
        <f t="shared" si="77"/>
        <v>1154.8756832149293</v>
      </c>
      <c r="FJ73" s="62">
        <f ca="1">AVERAGE(OFFSET($FI$3,0,0,'Données projet'!$E$16+1,1))-AVERAGE(OFFSET($H$3,0,0,'Données projet'!$E$16+1,1))</f>
        <v>641.62708445664862</v>
      </c>
      <c r="FK73" s="62">
        <f t="shared" si="102"/>
        <v>379.46845863546929</v>
      </c>
      <c r="FL73" s="16">
        <f>IF(ISNA(VLOOKUP(A73,'Données projet'!$A$217:$I$237,3,0)),0,VLOOKUP(A73,'Données projet'!$A$217:$I$237,3,0))</f>
        <v>5</v>
      </c>
      <c r="FM73" s="16">
        <f>IF(ISNA(VLOOKUP(A73,'Données projet'!$A$217:$I$237,4,0)),0,VLOOKUP(A73,'Données projet'!$A$217:$I$237,4,0))</f>
        <v>36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2.0690760884477817E-5</v>
      </c>
      <c r="FT73" s="24">
        <f t="shared" si="78"/>
        <v>2.0690760884477817E-5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132</v>
      </c>
      <c r="FX73" s="13">
        <f>VLOOKUP(A73,'Données projet'!$A$243:$I$263,9,0)</f>
        <v>3.6</v>
      </c>
      <c r="FY73" s="13">
        <f t="array" ref="FY73">INDEX(FX:FX,MIN(IF(ISNUMBER(FX73:FX269),ROW(FX73:FX269),"")))</f>
        <v>3.6</v>
      </c>
      <c r="FZ73" s="13">
        <f>IF('Données projet'!$A$244&gt;35,FZ72+FY73-GH72,IF(A73&lt;'Données projet'!$A$244,$FW$205^A73,IF(A73='Données projet'!$A$244,'Données projet'!$B$244,FZ72+FY73-GH72)))</f>
        <v>131.99999999999994</v>
      </c>
      <c r="GA73" s="18">
        <f>FZ73*VLOOKUP('Données projet'!$B$17,Paramètres!$A$1:$I$89,3,0)*VLOOKUP('Données projet'!$B$17,Paramètres!$A$1:$I$89,5,0)</f>
        <v>127.67039999999994</v>
      </c>
      <c r="GB73" s="14">
        <f t="shared" si="103"/>
        <v>33.457491972285482</v>
      </c>
      <c r="GC73" s="22">
        <f t="shared" si="79"/>
        <v>280.63107851839709</v>
      </c>
      <c r="GD73" s="62">
        <f t="shared" si="80"/>
        <v>573.96441185173035</v>
      </c>
      <c r="GE73" s="62">
        <f ca="1">AVERAGE(OFFSET($GD$3,0,0,'Données projet'!$E$17+1,1))-AVERAGE(OFFSET($H$3,0,0,'Données projet'!$E$17+1,1))</f>
        <v>181.39066880931728</v>
      </c>
      <c r="GF73" s="62">
        <f t="shared" si="104"/>
        <v>116.06078566855524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157</v>
      </c>
      <c r="GS73" s="13">
        <f>VLOOKUP(A73,'Données projet'!$A$269:$I$289,9,0)</f>
        <v>2.2000000000000002</v>
      </c>
      <c r="GT73" s="13">
        <f t="array" ref="GT73">INDEX(GS:GS,MIN(IF(ISNUMBER(GS73:GS269),ROW(GS73:GS269),"")))</f>
        <v>2.2000000000000002</v>
      </c>
      <c r="GU73" s="13">
        <f>IF('Données projet'!$A$270&gt;35,GU72+GT73-HC72,IF(A73&lt;'Données projet'!$A$270,$GR$205^A73,IF(A73='Données projet'!$A$270,'Données projet'!$B$270,GU72+GT73-HC72)))</f>
        <v>156.99999999999983</v>
      </c>
      <c r="GV73" s="18">
        <f>GU73*VLOOKUP('Données projet'!$B$18,Paramètres!$A$1:$I$89,3,0)*VLOOKUP('Données projet'!$B$18,Paramètres!$A$1:$I$89,5,0)</f>
        <v>137.15519999999987</v>
      </c>
      <c r="GW73" s="14">
        <f t="shared" si="105"/>
        <v>35.644525151069693</v>
      </c>
      <c r="GX73" s="22">
        <f t="shared" si="82"/>
        <v>300.95952130477946</v>
      </c>
      <c r="GY73" s="62">
        <f t="shared" si="83"/>
        <v>594.29285463811277</v>
      </c>
      <c r="GZ73" s="62">
        <f ca="1">AVERAGE(OFFSET($GY$3,0,0,'Données projet'!$E$18+1,1))-AVERAGE(OFFSET($H$3,0,0,'Données projet'!$E$18+1,1))</f>
        <v>152.84277478695606</v>
      </c>
      <c r="HA73" s="62">
        <f t="shared" si="106"/>
        <v>179.22995976651015</v>
      </c>
      <c r="HB73" s="16">
        <f>IF(ISNA(VLOOKUP(A73,'Données projet'!$A$269:$I$289,3,0)),0,VLOOKUP(A73,'Données projet'!$A$269:$I$289,3,0))</f>
        <v>5</v>
      </c>
      <c r="HC73" s="16">
        <f>IF(ISNA(VLOOKUP(A73,'Données projet'!$A$269:$I$289,4,0)),0,VLOOKUP(A73,'Données projet'!$A$269:$I$289,4,0))</f>
        <v>13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9">
        <f t="shared" si="56"/>
        <v>344.51107518782362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230.38079999999994</v>
      </c>
      <c r="P74" s="14">
        <f t="shared" si="87"/>
        <v>56.365011465139979</v>
      </c>
      <c r="Q74" s="22">
        <f t="shared" si="54"/>
        <v>499.41562163511867</v>
      </c>
      <c r="R74" s="62">
        <f t="shared" si="55"/>
        <v>792.74895496845193</v>
      </c>
      <c r="S74" s="62">
        <f ca="1">AVERAGE(OFFSET($R$3,0,0,'Données projet'!$E$9+1,1))-AVERAGE(OFFSET($H$3,0,0,'Données projet'!$E$9+1,1))</f>
        <v>383.26814640166805</v>
      </c>
      <c r="T74" s="62">
        <f t="shared" si="88"/>
        <v>233.71216103405249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</v>
      </c>
      <c r="AI74" s="14">
        <f>IF('Données projet'!$A$62&gt;35,AI73+AH74-AQ73,IF(A74&lt;'Données projet'!$A$62,$AF$205^A74,IF(A74='Données projet'!$A$62,'Données projet'!$B$62,AI73+AH74-AQ73)))</f>
        <v>135.39999999999995</v>
      </c>
      <c r="AJ74" s="14">
        <f>AI74*VLOOKUP('Données projet'!$B$10,Paramètres!$A$1:$I$89,3,0)*VLOOKUP('Données projet'!$B$10,Paramètres!$A$1:$I$89,5,0)</f>
        <v>145.74455999999995</v>
      </c>
      <c r="AK74" s="14">
        <f t="shared" si="89"/>
        <v>37.609907766324859</v>
      </c>
      <c r="AL74" s="22">
        <f t="shared" si="58"/>
        <v>319.34236469301567</v>
      </c>
      <c r="AM74" s="62">
        <f t="shared" si="59"/>
        <v>612.67569802634898</v>
      </c>
      <c r="AN74" s="62">
        <f ca="1">AVERAGE(OFFSET($AM$3,0,0,'Données projet'!$E$10+1,1))-AVERAGE(OFFSET($H$3,0,0,'Données projet'!$E$10+1,1))</f>
        <v>205.99910063756408</v>
      </c>
      <c r="AO74" s="62">
        <f t="shared" si="90"/>
        <v>128.95330275493671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6.7984728957526396E-14</v>
      </c>
      <c r="BF74" s="14">
        <f t="shared" si="91"/>
        <v>1.0682447123141398E-12</v>
      </c>
      <c r="BG74" s="22">
        <f t="shared" si="61"/>
        <v>1.978932943548152E-12</v>
      </c>
      <c r="BH74" s="62">
        <f t="shared" si="62"/>
        <v>293.3333333333353</v>
      </c>
      <c r="BI74" s="62">
        <f ca="1">AVERAGE(OFFSET($BH$3,0,0,'Données projet'!$E$11+1,1))-AVERAGE(OFFSET($H$3,0,0,'Données projet'!$E$11+1,1))</f>
        <v>222.20580087523689</v>
      </c>
      <c r="BJ74" s="62">
        <f t="shared" si="92"/>
        <v>232.08940427392253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4.4435018628011997</v>
      </c>
      <c r="BQ74" s="23">
        <f>EXP(-LN(2)/25)*BQ73+(1-EXP(-LN(2)/25))/(LN(2)/25)*Calculateur!BL74*Calculateur!BN74*VLOOKUP('Données projet'!$B$11,Paramètres!$A$1:$I$89,3,0)*0.475*44/12</f>
        <v>5.273609027304988</v>
      </c>
      <c r="BR74" s="23">
        <f>EXP(-LN(2)/2)*BR73+(1-EXP(-LN(2)/2))/(LN(2)/2)*BL74*BO74*VLOOKUP('Données projet'!$B$11,Paramètres!$A$1:$I$89,3,0)*0.475*44/12</f>
        <v>4.2753499768453867E-6</v>
      </c>
      <c r="BS74" s="24">
        <f t="shared" si="63"/>
        <v>9.717115165456164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9.8224358974358967</v>
      </c>
      <c r="BY74" s="13">
        <f>IF('Données projet'!$A$114&gt;35,BY73+BX74-CG73,IF(A74&lt;'Données projet'!$A$114,$BV$205^A74,IF(A74='Données projet'!$A$114,'Données projet'!$B$114,BY73+BX74-CG73)))</f>
        <v>321.18717948717983</v>
      </c>
      <c r="BZ74" s="14">
        <f>BY74*VLOOKUP('Données projet'!$B$12,Paramètres!$A$1:$I$89,3,0)*VLOOKUP('Données projet'!$B$12,Paramètres!$A$1:$I$89,5,0)</f>
        <v>150.31560000000016</v>
      </c>
      <c r="CA74" s="14">
        <f t="shared" si="93"/>
        <v>38.650298077744381</v>
      </c>
      <c r="CB74" s="22">
        <f t="shared" si="64"/>
        <v>329.1156058187384</v>
      </c>
      <c r="CC74" s="62">
        <f t="shared" si="65"/>
        <v>622.44893915207172</v>
      </c>
      <c r="CD74" s="62">
        <f ca="1">AVERAGE(OFFSET($CC$3,0,0,'Données projet'!$E$12+1,1))-AVERAGE(OFFSET($H$3,0,0,'Données projet'!$E$12+1,1))</f>
        <v>179.14256291235466</v>
      </c>
      <c r="CE74" s="62">
        <f t="shared" si="94"/>
        <v>107.5256983607585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7.5584615384615343</v>
      </c>
      <c r="CT74" s="13">
        <f>IF('Données projet'!$A$140&gt;35,CT73+CS74-DB73,IF(A74&lt;'Données projet'!$A$140,$CQ$205^A74,IF(A74='Données projet'!$A$140,'Données projet'!$B$140,CT73+CS74-DB73)))</f>
        <v>334.88153846153824</v>
      </c>
      <c r="CU74" s="18">
        <f>CT74*VLOOKUP('Données projet'!$B$13,Paramètres!$A$1:$I$89,3,0)*VLOOKUP('Données projet'!$B$13,Paramètres!$A$1:$I$89,5,0)</f>
        <v>200.25915999999989</v>
      </c>
      <c r="CV74" s="14">
        <f t="shared" si="95"/>
        <v>49.801118956127333</v>
      </c>
      <c r="CW74" s="22">
        <f t="shared" si="67"/>
        <v>435.52165251525486</v>
      </c>
      <c r="CX74" s="62">
        <f t="shared" si="68"/>
        <v>728.85498584858817</v>
      </c>
      <c r="CY74" s="62">
        <f ca="1">AVERAGE(OFFSET($CX$3,0,0,'Données projet'!$E$13+1,1))-AVERAGE(OFFSET($H$3,0,0,'Données projet'!$E$13+1,1))</f>
        <v>237.03649693529445</v>
      </c>
      <c r="CZ74" s="62">
        <f t="shared" si="96"/>
        <v>191.04289411674887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3.5490137340061887E-6</v>
      </c>
      <c r="DI74" s="24">
        <f t="shared" si="69"/>
        <v>3.5490137340061887E-6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3.7879999999999994</v>
      </c>
      <c r="DO74" s="13">
        <f>IF('Données projet'!$A$166&gt;35,DO73+DN74-DW73,IF(A74&lt;'Données projet'!$A$166,$DL$205^A74,IF(A74='Données projet'!$A$166,'Données projet'!$B$166,DO73+DN74-DW73)))</f>
        <v>206.25799999999995</v>
      </c>
      <c r="DP74" s="18">
        <f>DO74*VLOOKUP('Données projet'!$B$14,Paramètres!$A$1:$I$89,3,0)*VLOOKUP('Données projet'!$B$14,Paramètres!$A$1:$I$89,5,0)</f>
        <v>237.60921599999992</v>
      </c>
      <c r="DQ74" s="14">
        <f t="shared" si="97"/>
        <v>57.924842322074873</v>
      </c>
      <c r="DR74" s="22">
        <f t="shared" si="70"/>
        <v>514.72181824428014</v>
      </c>
      <c r="DS74" s="62">
        <f t="shared" si="71"/>
        <v>808.05515157761351</v>
      </c>
      <c r="DT74" s="62">
        <f ca="1">AVERAGE(OFFSET($DS$3,0,0,'Données projet'!$E$14+1,1))-AVERAGE(OFFSET($H$3,0,0,'Données projet'!$E$14+1,1))</f>
        <v>431.38469096974364</v>
      </c>
      <c r="DU74" s="62">
        <f t="shared" si="98"/>
        <v>295.48627059086647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0.31428730268982102</v>
      </c>
      <c r="EC74" s="23">
        <f>EXP(-LN(2)/2)*EC73+(1-EXP(-LN(2)/2))/(LN(2)/2)*DW74*DZ74*VLOOKUP('Données projet'!$B$14,Paramètres!$A$1:$I$89,3,0)*0.475*44/12</f>
        <v>2.5884471506457493E-6</v>
      </c>
      <c r="ED74" s="24">
        <f t="shared" si="72"/>
        <v>0.31428989113697164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3.4</v>
      </c>
      <c r="EJ74" s="13">
        <f>IF('Données projet'!$A$192&gt;35,EJ73+EI74-ER73,IF(A74&lt;'Données projet'!$A$192,$EG$205^A74,IF(A74='Données projet'!$A$192,'Données projet'!$B$192,EJ73+EI74-ER73)))</f>
        <v>135.39999999999995</v>
      </c>
      <c r="EK74" s="18">
        <f>EJ74*VLOOKUP('Données projet'!$B$15,Paramètres!$A$1:$I$89,3,0)*VLOOKUP('Données projet'!$B$15,Paramètres!$A$1:$I$89,5,0)</f>
        <v>154.19351999999995</v>
      </c>
      <c r="EL74" s="14">
        <f t="shared" si="99"/>
        <v>39.530043385628815</v>
      </c>
      <c r="EM74" s="22">
        <f t="shared" si="73"/>
        <v>337.4018728966368</v>
      </c>
      <c r="EN74" s="62">
        <f t="shared" si="74"/>
        <v>630.73520622997012</v>
      </c>
      <c r="EO74" s="62">
        <f ca="1">AVERAGE(OFFSET($EN$3,0,0,'Données projet'!$E$15+1,1))-AVERAGE(OFFSET($H$3,0,0,'Données projet'!$E$15+1,1))</f>
        <v>220.03635832253951</v>
      </c>
      <c r="EP74" s="62">
        <f t="shared" si="100"/>
        <v>136.30639155882233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10.6</v>
      </c>
      <c r="FE74" s="13">
        <f>IF('Données projet'!$A$218&gt;35,FE73+FD74-FM73,IF(A74&lt;'Données projet'!$A$218,$FB$205^A74,IF(A74='Données projet'!$A$218,'Données projet'!$B$218,FE73+FD74-FM73)))</f>
        <v>359.60000000000031</v>
      </c>
      <c r="FF74" s="18">
        <f>FE74*VLOOKUP('Données projet'!$B$16,Paramètres!$A$1:$I$89,3,0)*VLOOKUP('Données projet'!$B$16,Paramètres!$A$1:$I$89,5,0)</f>
        <v>375.85392000000036</v>
      </c>
      <c r="FG74" s="14">
        <f t="shared" si="101"/>
        <v>86.863820646300923</v>
      </c>
      <c r="FH74" s="22">
        <f t="shared" si="76"/>
        <v>805.90006495897467</v>
      </c>
      <c r="FI74" s="62">
        <f t="shared" si="77"/>
        <v>1099.233398292308</v>
      </c>
      <c r="FJ74" s="62">
        <f ca="1">AVERAGE(OFFSET($FI$3,0,0,'Données projet'!$E$16+1,1))-AVERAGE(OFFSET($H$3,0,0,'Données projet'!$E$16+1,1))</f>
        <v>641.62708445664862</v>
      </c>
      <c r="FK74" s="62">
        <f t="shared" si="102"/>
        <v>379.46845863546929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1.4630577329323632E-5</v>
      </c>
      <c r="FT74" s="24">
        <f t="shared" si="78"/>
        <v>1.4630577329323632E-5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3.4</v>
      </c>
      <c r="FZ74" s="13">
        <f>IF('Données projet'!$A$244&gt;35,FZ73+FY74-GH73,IF(A74&lt;'Données projet'!$A$244,$FW$205^A74,IF(A74='Données projet'!$A$244,'Données projet'!$B$244,FZ73+FY74-GH73)))</f>
        <v>135.39999999999995</v>
      </c>
      <c r="GA74" s="18">
        <f>FZ74*VLOOKUP('Données projet'!$B$17,Paramètres!$A$1:$I$89,3,0)*VLOOKUP('Données projet'!$B$17,Paramètres!$A$1:$I$89,5,0)</f>
        <v>130.95887999999994</v>
      </c>
      <c r="GB74" s="14">
        <f t="shared" si="103"/>
        <v>34.217833491149499</v>
      </c>
      <c r="GC74" s="22">
        <f t="shared" si="79"/>
        <v>287.68277599708523</v>
      </c>
      <c r="GD74" s="62">
        <f t="shared" si="80"/>
        <v>581.01610933041854</v>
      </c>
      <c r="GE74" s="62">
        <f ca="1">AVERAGE(OFFSET($GD$3,0,0,'Données projet'!$E$17+1,1))-AVERAGE(OFFSET($H$3,0,0,'Données projet'!$E$17+1,1))</f>
        <v>181.39066880931728</v>
      </c>
      <c r="GF74" s="62">
        <f t="shared" si="104"/>
        <v>116.06078566855524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2.2000000000000002</v>
      </c>
      <c r="GU74" s="13">
        <f>IF('Données projet'!$A$270&gt;35,GU73+GT74-HC73,IF(A74&lt;'Données projet'!$A$270,$GR$205^A74,IF(A74='Données projet'!$A$270,'Données projet'!$B$270,GU73+GT74-HC73)))</f>
        <v>146.19999999999982</v>
      </c>
      <c r="GV74" s="18">
        <f>GU74*VLOOKUP('Données projet'!$B$18,Paramètres!$A$1:$I$89,3,0)*VLOOKUP('Données projet'!$B$18,Paramètres!$A$1:$I$89,5,0)</f>
        <v>127.72031999999984</v>
      </c>
      <c r="GW74" s="14">
        <f t="shared" si="105"/>
        <v>33.469051060164404</v>
      </c>
      <c r="GX74" s="22">
        <f t="shared" si="82"/>
        <v>280.73815459645272</v>
      </c>
      <c r="GY74" s="62">
        <f t="shared" si="83"/>
        <v>574.07148792978603</v>
      </c>
      <c r="GZ74" s="62">
        <f ca="1">AVERAGE(OFFSET($GY$3,0,0,'Données projet'!$E$18+1,1))-AVERAGE(OFFSET($H$3,0,0,'Données projet'!$E$18+1,1))</f>
        <v>152.84277478695606</v>
      </c>
      <c r="HA74" s="62">
        <f t="shared" si="106"/>
        <v>179.22995976651015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9">
        <f t="shared" si="56"/>
        <v>345.71478933243532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236.66759999999994</v>
      </c>
      <c r="P75" s="14">
        <f t="shared" si="87"/>
        <v>57.721965974560838</v>
      </c>
      <c r="Q75" s="22">
        <f t="shared" si="54"/>
        <v>512.72849407235992</v>
      </c>
      <c r="R75" s="62">
        <f t="shared" si="55"/>
        <v>806.06182740569329</v>
      </c>
      <c r="S75" s="62">
        <f ca="1">AVERAGE(OFFSET($R$3,0,0,'Données projet'!$E$9+1,1))-AVERAGE(OFFSET($H$3,0,0,'Données projet'!$E$9+1,1))</f>
        <v>383.26814640166805</v>
      </c>
      <c r="T75" s="62">
        <f t="shared" si="88"/>
        <v>233.71216103405249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</v>
      </c>
      <c r="AI75" s="14">
        <f>IF('Données projet'!$A$62&gt;35,AI74+AH75-AQ74,IF(A75&lt;'Données projet'!$A$62,$AF$205^A75,IF(A75='Données projet'!$A$62,'Données projet'!$B$62,AI74+AH75-AQ74)))</f>
        <v>138.79999999999995</v>
      </c>
      <c r="AJ75" s="14">
        <f>AI75*VLOOKUP('Données projet'!$B$10,Paramètres!$A$1:$I$89,3,0)*VLOOKUP('Données projet'!$B$10,Paramètres!$A$1:$I$89,5,0)</f>
        <v>149.40431999999996</v>
      </c>
      <c r="AK75" s="14">
        <f t="shared" si="89"/>
        <v>38.443183869672019</v>
      </c>
      <c r="AL75" s="22">
        <f t="shared" si="58"/>
        <v>327.16773590634534</v>
      </c>
      <c r="AM75" s="62">
        <f t="shared" si="59"/>
        <v>620.5010692396786</v>
      </c>
      <c r="AN75" s="62">
        <f ca="1">AVERAGE(OFFSET($AM$3,0,0,'Données projet'!$E$10+1,1))-AVERAGE(OFFSET($H$3,0,0,'Données projet'!$E$10+1,1))</f>
        <v>205.99910063756408</v>
      </c>
      <c r="AO75" s="62">
        <f t="shared" si="90"/>
        <v>128.95330275493671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6.7984728957526396E-14</v>
      </c>
      <c r="BF75" s="14">
        <f t="shared" si="91"/>
        <v>1.0682447123141398E-12</v>
      </c>
      <c r="BG75" s="22">
        <f t="shared" si="61"/>
        <v>1.978932943548152E-12</v>
      </c>
      <c r="BH75" s="62">
        <f t="shared" si="62"/>
        <v>293.3333333333353</v>
      </c>
      <c r="BI75" s="62">
        <f ca="1">AVERAGE(OFFSET($BH$3,0,0,'Données projet'!$E$11+1,1))-AVERAGE(OFFSET($H$3,0,0,'Données projet'!$E$11+1,1))</f>
        <v>222.20580087523689</v>
      </c>
      <c r="BJ75" s="62">
        <f t="shared" si="92"/>
        <v>232.08940427392253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4.3563675015401877</v>
      </c>
      <c r="BQ75" s="23">
        <f>EXP(-LN(2)/25)*BQ74+(1-EXP(-LN(2)/25))/(LN(2)/25)*Calculateur!BL75*Calculateur!BN75*VLOOKUP('Données projet'!$B$11,Paramètres!$A$1:$I$89,3,0)*0.475*44/12</f>
        <v>5.129401911126287</v>
      </c>
      <c r="BR75" s="23">
        <f>EXP(-LN(2)/2)*BR74+(1-EXP(-LN(2)/2))/(LN(2)/2)*BL75*BO75*VLOOKUP('Données projet'!$B$11,Paramètres!$A$1:$I$89,3,0)*0.475*44/12</f>
        <v>3.0231289605731219E-6</v>
      </c>
      <c r="BS75" s="24">
        <f t="shared" si="63"/>
        <v>9.4857724357954361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9.8224358974358967</v>
      </c>
      <c r="BY75" s="13">
        <f>IF('Données projet'!$A$114&gt;35,BY74+BX75-CG74,IF(A75&lt;'Données projet'!$A$114,$BV$205^A75,IF(A75='Données projet'!$A$114,'Données projet'!$B$114,BY74+BX75-CG74)))</f>
        <v>331.00961538461576</v>
      </c>
      <c r="BZ75" s="14">
        <f>BY75*VLOOKUP('Données projet'!$B$12,Paramètres!$A$1:$I$89,3,0)*VLOOKUP('Données projet'!$B$12,Paramètres!$A$1:$I$89,5,0)</f>
        <v>154.91250000000016</v>
      </c>
      <c r="CA75" s="14">
        <f t="shared" si="93"/>
        <v>39.692866484273097</v>
      </c>
      <c r="CB75" s="22">
        <f t="shared" si="64"/>
        <v>338.93767996010916</v>
      </c>
      <c r="CC75" s="62">
        <f t="shared" si="65"/>
        <v>632.27101329344248</v>
      </c>
      <c r="CD75" s="62">
        <f ca="1">AVERAGE(OFFSET($CC$3,0,0,'Données projet'!$E$12+1,1))-AVERAGE(OFFSET($H$3,0,0,'Données projet'!$E$12+1,1))</f>
        <v>179.14256291235466</v>
      </c>
      <c r="CE75" s="62">
        <f t="shared" si="94"/>
        <v>107.5256983607585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7.5584615384615343</v>
      </c>
      <c r="CT75" s="13">
        <f>IF('Données projet'!$A$140&gt;35,CT74+CS75-DB74,IF(A75&lt;'Données projet'!$A$140,$CQ$205^A75,IF(A75='Données projet'!$A$140,'Données projet'!$B$140,CT74+CS75-DB74)))</f>
        <v>342.43999999999977</v>
      </c>
      <c r="CU75" s="18">
        <f>CT75*VLOOKUP('Données projet'!$B$13,Paramètres!$A$1:$I$89,3,0)*VLOOKUP('Données projet'!$B$13,Paramètres!$A$1:$I$89,5,0)</f>
        <v>204.77911999999986</v>
      </c>
      <c r="CV75" s="14">
        <f t="shared" si="95"/>
        <v>50.79302579334589</v>
      </c>
      <c r="CW75" s="22">
        <f t="shared" si="67"/>
        <v>445.12148725674388</v>
      </c>
      <c r="CX75" s="62">
        <f t="shared" si="68"/>
        <v>738.45482059007713</v>
      </c>
      <c r="CY75" s="62">
        <f ca="1">AVERAGE(OFFSET($CX$3,0,0,'Données projet'!$E$13+1,1))-AVERAGE(OFFSET($H$3,0,0,'Données projet'!$E$13+1,1))</f>
        <v>237.03649693529445</v>
      </c>
      <c r="CZ75" s="62">
        <f t="shared" si="96"/>
        <v>191.04289411674887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2.509531677839966E-6</v>
      </c>
      <c r="DI75" s="24">
        <f t="shared" si="69"/>
        <v>2.509531677839966E-6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3.7879999999999994</v>
      </c>
      <c r="DO75" s="13">
        <f>IF('Données projet'!$A$166&gt;35,DO74+DN75-DW74,IF(A75&lt;'Données projet'!$A$166,$DL$205^A75,IF(A75='Données projet'!$A$166,'Données projet'!$B$166,DO74+DN75-DW74)))</f>
        <v>210.04599999999996</v>
      </c>
      <c r="DP75" s="18">
        <f>DO75*VLOOKUP('Données projet'!$B$14,Paramètres!$A$1:$I$89,3,0)*VLOOKUP('Données projet'!$B$14,Paramètres!$A$1:$I$89,5,0)</f>
        <v>241.97299199999995</v>
      </c>
      <c r="DQ75" s="14">
        <f t="shared" si="97"/>
        <v>58.863826839171047</v>
      </c>
      <c r="DR75" s="22">
        <f t="shared" si="70"/>
        <v>523.95745947822275</v>
      </c>
      <c r="DS75" s="62">
        <f t="shared" si="71"/>
        <v>817.290792811556</v>
      </c>
      <c r="DT75" s="62">
        <f ca="1">AVERAGE(OFFSET($DS$3,0,0,'Données projet'!$E$14+1,1))-AVERAGE(OFFSET($H$3,0,0,'Données projet'!$E$14+1,1))</f>
        <v>431.38469096974364</v>
      </c>
      <c r="DU75" s="62">
        <f t="shared" si="98"/>
        <v>295.48627059086647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0.30569309987011695</v>
      </c>
      <c r="EC75" s="23">
        <f>EXP(-LN(2)/2)*EC74+(1-EXP(-LN(2)/2))/(LN(2)/2)*DW75*DZ75*VLOOKUP('Données projet'!$B$14,Paramètres!$A$1:$I$89,3,0)*0.475*44/12</f>
        <v>1.8303085329646063E-6</v>
      </c>
      <c r="ED75" s="24">
        <f t="shared" si="72"/>
        <v>0.3056949301786499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3.4</v>
      </c>
      <c r="EJ75" s="13">
        <f>IF('Données projet'!$A$192&gt;35,EJ74+EI75-ER74,IF(A75&lt;'Données projet'!$A$192,$EG$205^A75,IF(A75='Données projet'!$A$192,'Données projet'!$B$192,EJ74+EI75-ER74)))</f>
        <v>138.79999999999995</v>
      </c>
      <c r="EK75" s="18">
        <f>EJ75*VLOOKUP('Données projet'!$B$15,Paramètres!$A$1:$I$89,3,0)*VLOOKUP('Données projet'!$B$15,Paramètres!$A$1:$I$89,5,0)</f>
        <v>158.06543999999997</v>
      </c>
      <c r="EL75" s="14">
        <f t="shared" si="99"/>
        <v>40.405861553601447</v>
      </c>
      <c r="EM75" s="22">
        <f t="shared" si="73"/>
        <v>345.67085020585574</v>
      </c>
      <c r="EN75" s="62">
        <f t="shared" si="74"/>
        <v>639.00418353918906</v>
      </c>
      <c r="EO75" s="62">
        <f ca="1">AVERAGE(OFFSET($EN$3,0,0,'Données projet'!$E$15+1,1))-AVERAGE(OFFSET($H$3,0,0,'Données projet'!$E$15+1,1))</f>
        <v>220.03635832253951</v>
      </c>
      <c r="EP75" s="62">
        <f t="shared" si="100"/>
        <v>136.30639155882233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10.6</v>
      </c>
      <c r="FE75" s="13">
        <f>IF('Données projet'!$A$218&gt;35,FE74+FD75-FM74,IF(A75&lt;'Données projet'!$A$218,$FB$205^A75,IF(A75='Données projet'!$A$218,'Données projet'!$B$218,FE74+FD75-FM74)))</f>
        <v>370.20000000000033</v>
      </c>
      <c r="FF75" s="18">
        <f>FE75*VLOOKUP('Données projet'!$B$16,Paramètres!$A$1:$I$89,3,0)*VLOOKUP('Données projet'!$B$16,Paramètres!$A$1:$I$89,5,0)</f>
        <v>386.9330400000004</v>
      </c>
      <c r="FG75" s="14">
        <f t="shared" si="101"/>
        <v>89.122440674238391</v>
      </c>
      <c r="FH75" s="22">
        <f t="shared" si="76"/>
        <v>829.12996217429918</v>
      </c>
      <c r="FI75" s="62">
        <f t="shared" si="77"/>
        <v>1122.4632955076324</v>
      </c>
      <c r="FJ75" s="62">
        <f ca="1">AVERAGE(OFFSET($FI$3,0,0,'Données projet'!$E$16+1,1))-AVERAGE(OFFSET($H$3,0,0,'Données projet'!$E$16+1,1))</f>
        <v>641.62708445664862</v>
      </c>
      <c r="FK75" s="62">
        <f t="shared" si="102"/>
        <v>379.46845863546929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1.034538044223891E-5</v>
      </c>
      <c r="FT75" s="24">
        <f t="shared" si="78"/>
        <v>1.034538044223891E-5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3.4</v>
      </c>
      <c r="FZ75" s="13">
        <f>IF('Données projet'!$A$244&gt;35,FZ74+FY75-GH74,IF(A75&lt;'Données projet'!$A$244,$FW$205^A75,IF(A75='Données projet'!$A$244,'Données projet'!$B$244,FZ74+FY75-GH74)))</f>
        <v>138.79999999999995</v>
      </c>
      <c r="GA75" s="18">
        <f>FZ75*VLOOKUP('Données projet'!$B$17,Paramètres!$A$1:$I$89,3,0)*VLOOKUP('Données projet'!$B$17,Paramètres!$A$1:$I$89,5,0)</f>
        <v>134.24735999999996</v>
      </c>
      <c r="GB75" s="14">
        <f t="shared" si="103"/>
        <v>34.975955609758309</v>
      </c>
      <c r="GC75" s="22">
        <f t="shared" si="79"/>
        <v>294.73060802032893</v>
      </c>
      <c r="GD75" s="62">
        <f t="shared" si="80"/>
        <v>588.06394135366224</v>
      </c>
      <c r="GE75" s="62">
        <f ca="1">AVERAGE(OFFSET($GD$3,0,0,'Données projet'!$E$17+1,1))-AVERAGE(OFFSET($H$3,0,0,'Données projet'!$E$17+1,1))</f>
        <v>181.39066880931728</v>
      </c>
      <c r="GF75" s="62">
        <f t="shared" si="104"/>
        <v>116.06078566855524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2.2000000000000002</v>
      </c>
      <c r="GU75" s="13">
        <f>IF('Données projet'!$A$270&gt;35,GU74+GT75-HC74,IF(A75&lt;'Données projet'!$A$270,$GR$205^A75,IF(A75='Données projet'!$A$270,'Données projet'!$B$270,GU74+GT75-HC74)))</f>
        <v>148.39999999999981</v>
      </c>
      <c r="GV75" s="18">
        <f>GU75*VLOOKUP('Données projet'!$B$18,Paramètres!$A$1:$I$89,3,0)*VLOOKUP('Données projet'!$B$18,Paramètres!$A$1:$I$89,5,0)</f>
        <v>129.64223999999984</v>
      </c>
      <c r="GW75" s="14">
        <f t="shared" si="105"/>
        <v>33.913678246253156</v>
      </c>
      <c r="GX75" s="22">
        <f t="shared" si="82"/>
        <v>284.85989094555725</v>
      </c>
      <c r="GY75" s="62">
        <f t="shared" si="83"/>
        <v>578.19322427889051</v>
      </c>
      <c r="GZ75" s="62">
        <f ca="1">AVERAGE(OFFSET($GY$3,0,0,'Données projet'!$E$18+1,1))-AVERAGE(OFFSET($H$3,0,0,'Données projet'!$E$18+1,1))</f>
        <v>152.84277478695606</v>
      </c>
      <c r="HA75" s="62">
        <f t="shared" si="106"/>
        <v>179.22995976651015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9">
        <f t="shared" si="56"/>
        <v>346.9180951579346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242.95439999999994</v>
      </c>
      <c r="P76" s="14">
        <f t="shared" si="87"/>
        <v>59.074730698078945</v>
      </c>
      <c r="Q76" s="22">
        <f t="shared" si="54"/>
        <v>526.034069299154</v>
      </c>
      <c r="R76" s="62">
        <f t="shared" si="55"/>
        <v>819.36740263248726</v>
      </c>
      <c r="S76" s="62">
        <f ca="1">AVERAGE(OFFSET($R$3,0,0,'Données projet'!$E$9+1,1))-AVERAGE(OFFSET($H$3,0,0,'Données projet'!$E$9+1,1))</f>
        <v>383.26814640166805</v>
      </c>
      <c r="T76" s="62">
        <f t="shared" si="88"/>
        <v>233.71216103405249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</v>
      </c>
      <c r="AI76" s="14">
        <f>IF('Données projet'!$A$62&gt;35,AI75+AH76-AQ75,IF(A76&lt;'Données projet'!$A$62,$AF$205^A76,IF(A76='Données projet'!$A$62,'Données projet'!$B$62,AI75+AH76-AQ75)))</f>
        <v>142.19999999999996</v>
      </c>
      <c r="AJ76" s="14">
        <f>AI76*VLOOKUP('Données projet'!$B$10,Paramètres!$A$1:$I$89,3,0)*VLOOKUP('Données projet'!$B$10,Paramètres!$A$1:$I$89,5,0)</f>
        <v>153.06407999999996</v>
      </c>
      <c r="AK76" s="14">
        <f t="shared" si="89"/>
        <v>39.27408718873059</v>
      </c>
      <c r="AL76" s="22">
        <f t="shared" si="58"/>
        <v>334.98897452037232</v>
      </c>
      <c r="AM76" s="62">
        <f t="shared" si="59"/>
        <v>628.32230785370564</v>
      </c>
      <c r="AN76" s="62">
        <f ca="1">AVERAGE(OFFSET($AM$3,0,0,'Données projet'!$E$10+1,1))-AVERAGE(OFFSET($H$3,0,0,'Données projet'!$E$10+1,1))</f>
        <v>205.99910063756408</v>
      </c>
      <c r="AO76" s="62">
        <f t="shared" si="90"/>
        <v>128.95330275493671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6.7984728957526396E-14</v>
      </c>
      <c r="BF76" s="14">
        <f t="shared" si="91"/>
        <v>1.0682447123141398E-12</v>
      </c>
      <c r="BG76" s="22">
        <f t="shared" si="61"/>
        <v>1.978932943548152E-12</v>
      </c>
      <c r="BH76" s="62">
        <f t="shared" si="62"/>
        <v>293.3333333333353</v>
      </c>
      <c r="BI76" s="62">
        <f ca="1">AVERAGE(OFFSET($BH$3,0,0,'Données projet'!$E$11+1,1))-AVERAGE(OFFSET($H$3,0,0,'Données projet'!$E$11+1,1))</f>
        <v>222.20580087523689</v>
      </c>
      <c r="BJ76" s="62">
        <f t="shared" si="92"/>
        <v>232.08940427392253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4.2709417919567914</v>
      </c>
      <c r="BQ76" s="23">
        <f>EXP(-LN(2)/25)*BQ75+(1-EXP(-LN(2)/25))/(LN(2)/25)*Calculateur!BL76*Calculateur!BN76*VLOOKUP('Données projet'!$B$11,Paramètres!$A$1:$I$89,3,0)*0.475*44/12</f>
        <v>4.9891381461230155</v>
      </c>
      <c r="BR76" s="23">
        <f>EXP(-LN(2)/2)*BR75+(1-EXP(-LN(2)/2))/(LN(2)/2)*BL76*BO76*VLOOKUP('Données projet'!$B$11,Paramètres!$A$1:$I$89,3,0)*0.475*44/12</f>
        <v>2.1376749884226934E-6</v>
      </c>
      <c r="BS76" s="24">
        <f t="shared" si="63"/>
        <v>9.260082075754795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9.8224358974358967</v>
      </c>
      <c r="BY76" s="13">
        <f>IF('Données projet'!$A$114&gt;35,BY75+BX76-CG75,IF(A76&lt;'Données projet'!$A$114,$BV$205^A76,IF(A76='Données projet'!$A$114,'Données projet'!$B$114,BY75+BX76-CG75)))</f>
        <v>340.83205128205168</v>
      </c>
      <c r="BZ76" s="14">
        <f>BY76*VLOOKUP('Données projet'!$B$12,Paramètres!$A$1:$I$89,3,0)*VLOOKUP('Données projet'!$B$12,Paramètres!$A$1:$I$89,5,0)</f>
        <v>159.50940000000017</v>
      </c>
      <c r="CA76" s="14">
        <f t="shared" si="93"/>
        <v>40.7318394374633</v>
      </c>
      <c r="CB76" s="22">
        <f t="shared" si="64"/>
        <v>348.75349202024881</v>
      </c>
      <c r="CC76" s="62">
        <f t="shared" si="65"/>
        <v>642.08682535358207</v>
      </c>
      <c r="CD76" s="62">
        <f ca="1">AVERAGE(OFFSET($CC$3,0,0,'Données projet'!$E$12+1,1))-AVERAGE(OFFSET($H$3,0,0,'Données projet'!$E$12+1,1))</f>
        <v>179.14256291235466</v>
      </c>
      <c r="CE76" s="62">
        <f t="shared" si="94"/>
        <v>107.5256983607585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7.5584615384615343</v>
      </c>
      <c r="CT76" s="13">
        <f>IF('Données projet'!$A$140&gt;35,CT75+CS76-DB75,IF(A76&lt;'Données projet'!$A$140,$CQ$205^A76,IF(A76='Données projet'!$A$140,'Données projet'!$B$140,CT75+CS76-DB75)))</f>
        <v>349.9984615384613</v>
      </c>
      <c r="CU76" s="18">
        <f>CT76*VLOOKUP('Données projet'!$B$13,Paramètres!$A$1:$I$89,3,0)*VLOOKUP('Données projet'!$B$13,Paramètres!$A$1:$I$89,5,0)</f>
        <v>209.29907999999986</v>
      </c>
      <c r="CV76" s="14">
        <f t="shared" si="95"/>
        <v>51.782387252616175</v>
      </c>
      <c r="CW76" s="22">
        <f t="shared" si="67"/>
        <v>454.71688879830623</v>
      </c>
      <c r="CX76" s="62">
        <f t="shared" si="68"/>
        <v>748.05022213163954</v>
      </c>
      <c r="CY76" s="62">
        <f ca="1">AVERAGE(OFFSET($CX$3,0,0,'Données projet'!$E$13+1,1))-AVERAGE(OFFSET($H$3,0,0,'Données projet'!$E$13+1,1))</f>
        <v>237.03649693529445</v>
      </c>
      <c r="CZ76" s="62">
        <f t="shared" si="96"/>
        <v>191.04289411674887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1.7745068670030944E-6</v>
      </c>
      <c r="DI76" s="24">
        <f t="shared" si="69"/>
        <v>1.7745068670030944E-6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3.7879999999999994</v>
      </c>
      <c r="DO76" s="13">
        <f>IF('Données projet'!$A$166&gt;35,DO75+DN76-DW75,IF(A76&lt;'Données projet'!$A$166,$DL$205^A76,IF(A76='Données projet'!$A$166,'Données projet'!$B$166,DO75+DN76-DW75)))</f>
        <v>213.83399999999997</v>
      </c>
      <c r="DP76" s="18">
        <f>DO76*VLOOKUP('Données projet'!$B$14,Paramètres!$A$1:$I$89,3,0)*VLOOKUP('Données projet'!$B$14,Paramètres!$A$1:$I$89,5,0)</f>
        <v>246.33676799999995</v>
      </c>
      <c r="DQ76" s="14">
        <f t="shared" si="97"/>
        <v>59.800842218491226</v>
      </c>
      <c r="DR76" s="22">
        <f t="shared" si="70"/>
        <v>533.18967113053884</v>
      </c>
      <c r="DS76" s="62">
        <f t="shared" si="71"/>
        <v>826.52300446387221</v>
      </c>
      <c r="DT76" s="62">
        <f ca="1">AVERAGE(OFFSET($DS$3,0,0,'Données projet'!$E$14+1,1))-AVERAGE(OFFSET($H$3,0,0,'Données projet'!$E$14+1,1))</f>
        <v>431.38469096974364</v>
      </c>
      <c r="DU76" s="62">
        <f t="shared" si="98"/>
        <v>295.48627059086647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0.29733390597846715</v>
      </c>
      <c r="EC76" s="23">
        <f>EXP(-LN(2)/2)*EC75+(1-EXP(-LN(2)/2))/(LN(2)/2)*DW76*DZ76*VLOOKUP('Données projet'!$B$14,Paramètres!$A$1:$I$89,3,0)*0.475*44/12</f>
        <v>1.2942235753228747E-6</v>
      </c>
      <c r="ED76" s="24">
        <f t="shared" si="72"/>
        <v>0.29733520020204246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3.4</v>
      </c>
      <c r="EJ76" s="13">
        <f>IF('Données projet'!$A$192&gt;35,EJ75+EI76-ER75,IF(A76&lt;'Données projet'!$A$192,$EG$205^A76,IF(A76='Données projet'!$A$192,'Données projet'!$B$192,EJ75+EI76-ER75)))</f>
        <v>142.19999999999996</v>
      </c>
      <c r="EK76" s="18">
        <f>EJ76*VLOOKUP('Données projet'!$B$15,Paramètres!$A$1:$I$89,3,0)*VLOOKUP('Données projet'!$B$15,Paramètres!$A$1:$I$89,5,0)</f>
        <v>161.93735999999996</v>
      </c>
      <c r="EL76" s="14">
        <f t="shared" si="99"/>
        <v>41.279185797194913</v>
      </c>
      <c r="EM76" s="22">
        <f t="shared" si="73"/>
        <v>353.93548393011434</v>
      </c>
      <c r="EN76" s="62">
        <f t="shared" si="74"/>
        <v>647.26881726344766</v>
      </c>
      <c r="EO76" s="62">
        <f ca="1">AVERAGE(OFFSET($EN$3,0,0,'Données projet'!$E$15+1,1))-AVERAGE(OFFSET($H$3,0,0,'Données projet'!$E$15+1,1))</f>
        <v>220.03635832253951</v>
      </c>
      <c r="EP76" s="62">
        <f t="shared" si="100"/>
        <v>136.30639155882233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10.6</v>
      </c>
      <c r="FE76" s="13">
        <f>IF('Données projet'!$A$218&gt;35,FE75+FD76-FM75,IF(A76&lt;'Données projet'!$A$218,$FB$205^A76,IF(A76='Données projet'!$A$218,'Données projet'!$B$218,FE75+FD76-FM75)))</f>
        <v>380.80000000000035</v>
      </c>
      <c r="FF76" s="18">
        <f>FE76*VLOOKUP('Données projet'!$B$16,Paramètres!$A$1:$I$89,3,0)*VLOOKUP('Données projet'!$B$16,Paramètres!$A$1:$I$89,5,0)</f>
        <v>398.01216000000039</v>
      </c>
      <c r="FG76" s="14">
        <f t="shared" si="101"/>
        <v>91.373544390400497</v>
      </c>
      <c r="FH76" s="22">
        <f t="shared" si="76"/>
        <v>852.34676847994808</v>
      </c>
      <c r="FI76" s="62">
        <f t="shared" si="77"/>
        <v>1145.6801018132815</v>
      </c>
      <c r="FJ76" s="62">
        <f ca="1">AVERAGE(OFFSET($FI$3,0,0,'Données projet'!$E$16+1,1))-AVERAGE(OFFSET($H$3,0,0,'Données projet'!$E$16+1,1))</f>
        <v>641.62708445664862</v>
      </c>
      <c r="FK76" s="62">
        <f t="shared" si="102"/>
        <v>379.46845863546929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7.3152886646618178E-6</v>
      </c>
      <c r="FT76" s="24">
        <f t="shared" si="78"/>
        <v>7.3152886646618178E-6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3.4</v>
      </c>
      <c r="FZ76" s="13">
        <f>IF('Données projet'!$A$244&gt;35,FZ75+FY76-GH75,IF(A76&lt;'Données projet'!$A$244,$FW$205^A76,IF(A76='Données projet'!$A$244,'Données projet'!$B$244,FZ75+FY76-GH75)))</f>
        <v>142.19999999999996</v>
      </c>
      <c r="GA76" s="18">
        <f>FZ76*VLOOKUP('Données projet'!$B$17,Paramètres!$A$1:$I$89,3,0)*VLOOKUP('Données projet'!$B$17,Paramètres!$A$1:$I$89,5,0)</f>
        <v>137.53583999999995</v>
      </c>
      <c r="GB76" s="14">
        <f t="shared" si="103"/>
        <v>35.731918947808438</v>
      </c>
      <c r="GC76" s="22">
        <f t="shared" si="79"/>
        <v>301.7746801674329</v>
      </c>
      <c r="GD76" s="62">
        <f t="shared" si="80"/>
        <v>595.10801350076622</v>
      </c>
      <c r="GE76" s="62">
        <f ca="1">AVERAGE(OFFSET($GD$3,0,0,'Données projet'!$E$17+1,1))-AVERAGE(OFFSET($H$3,0,0,'Données projet'!$E$17+1,1))</f>
        <v>181.39066880931728</v>
      </c>
      <c r="GF76" s="62">
        <f t="shared" si="104"/>
        <v>116.06078566855524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2.2000000000000002</v>
      </c>
      <c r="GU76" s="13">
        <f>IF('Données projet'!$A$270&gt;35,GU75+GT76-HC75,IF(A76&lt;'Données projet'!$A$270,$GR$205^A76,IF(A76='Données projet'!$A$270,'Données projet'!$B$270,GU75+GT76-HC75)))</f>
        <v>150.5999999999998</v>
      </c>
      <c r="GV76" s="18">
        <f>GU76*VLOOKUP('Données projet'!$B$18,Paramètres!$A$1:$I$89,3,0)*VLOOKUP('Données projet'!$B$18,Paramètres!$A$1:$I$89,5,0)</f>
        <v>131.56415999999984</v>
      </c>
      <c r="GW76" s="14">
        <f t="shared" si="105"/>
        <v>34.357538812709031</v>
      </c>
      <c r="GX76" s="22">
        <f t="shared" si="82"/>
        <v>288.98029209880133</v>
      </c>
      <c r="GY76" s="62">
        <f t="shared" si="83"/>
        <v>582.31362543213459</v>
      </c>
      <c r="GZ76" s="62">
        <f ca="1">AVERAGE(OFFSET($GY$3,0,0,'Données projet'!$E$18+1,1))-AVERAGE(OFFSET($H$3,0,0,'Données projet'!$E$18+1,1))</f>
        <v>152.84277478695606</v>
      </c>
      <c r="HA76" s="62">
        <f t="shared" si="106"/>
        <v>179.22995976651015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9">
        <f t="shared" si="56"/>
        <v>348.12099890422405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249.24119999999988</v>
      </c>
      <c r="P77" s="14">
        <f t="shared" si="87"/>
        <v>60.42342651744687</v>
      </c>
      <c r="Q77" s="22">
        <f t="shared" si="54"/>
        <v>539.3325578512198</v>
      </c>
      <c r="R77" s="62">
        <f t="shared" si="55"/>
        <v>832.66589118455317</v>
      </c>
      <c r="S77" s="62">
        <f ca="1">AVERAGE(OFFSET($R$3,0,0,'Données projet'!$E$9+1,1))-AVERAGE(OFFSET($H$3,0,0,'Données projet'!$E$9+1,1))</f>
        <v>383.26814640166805</v>
      </c>
      <c r="T77" s="62">
        <f t="shared" si="88"/>
        <v>233.71216103405249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</v>
      </c>
      <c r="AI77" s="14">
        <f>IF('Données projet'!$A$62&gt;35,AI76+AH77-AQ76,IF(A77&lt;'Données projet'!$A$62,$AF$205^A77,IF(A77='Données projet'!$A$62,'Données projet'!$B$62,AI76+AH77-AQ76)))</f>
        <v>145.59999999999997</v>
      </c>
      <c r="AJ77" s="14">
        <f>AI77*VLOOKUP('Données projet'!$B$10,Paramètres!$A$1:$I$89,3,0)*VLOOKUP('Données projet'!$B$10,Paramètres!$A$1:$I$89,5,0)</f>
        <v>156.72383999999997</v>
      </c>
      <c r="AK77" s="14">
        <f t="shared" si="89"/>
        <v>40.102680984620484</v>
      </c>
      <c r="AL77" s="22">
        <f t="shared" si="58"/>
        <v>342.80619071488059</v>
      </c>
      <c r="AM77" s="62">
        <f t="shared" si="59"/>
        <v>636.13952404821384</v>
      </c>
      <c r="AN77" s="62">
        <f ca="1">AVERAGE(OFFSET($AM$3,0,0,'Données projet'!$E$10+1,1))-AVERAGE(OFFSET($H$3,0,0,'Données projet'!$E$10+1,1))</f>
        <v>205.99910063756408</v>
      </c>
      <c r="AO77" s="62">
        <f t="shared" si="90"/>
        <v>128.95330275493671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6.7984728957526396E-14</v>
      </c>
      <c r="BF77" s="14">
        <f t="shared" si="91"/>
        <v>1.0682447123141398E-12</v>
      </c>
      <c r="BG77" s="22">
        <f t="shared" si="61"/>
        <v>1.978932943548152E-12</v>
      </c>
      <c r="BH77" s="62">
        <f t="shared" si="62"/>
        <v>293.3333333333353</v>
      </c>
      <c r="BI77" s="62">
        <f ca="1">AVERAGE(OFFSET($BH$3,0,0,'Données projet'!$E$11+1,1))-AVERAGE(OFFSET($H$3,0,0,'Données projet'!$E$11+1,1))</f>
        <v>222.20580087523689</v>
      </c>
      <c r="BJ77" s="62">
        <f t="shared" si="92"/>
        <v>232.08940427392253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4.1871912284337878</v>
      </c>
      <c r="BQ77" s="23">
        <f>EXP(-LN(2)/25)*BQ76+(1-EXP(-LN(2)/25))/(LN(2)/25)*Calculateur!BL77*Calculateur!BN77*VLOOKUP('Données projet'!$B$11,Paramètres!$A$1:$I$89,3,0)*0.475*44/12</f>
        <v>4.8527099011499093</v>
      </c>
      <c r="BR77" s="23">
        <f>EXP(-LN(2)/2)*BR76+(1-EXP(-LN(2)/2))/(LN(2)/2)*BL77*BO77*VLOOKUP('Données projet'!$B$11,Paramètres!$A$1:$I$89,3,0)*0.475*44/12</f>
        <v>1.5115644802865609E-6</v>
      </c>
      <c r="BS77" s="24">
        <f t="shared" si="63"/>
        <v>9.0399026411481778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9.8224358974358967</v>
      </c>
      <c r="BY77" s="13">
        <f>IF('Données projet'!$A$114&gt;35,BY76+BX77-CG76,IF(A77&lt;'Données projet'!$A$114,$BV$205^A77,IF(A77='Données projet'!$A$114,'Données projet'!$B$114,BY76+BX77-CG76)))</f>
        <v>350.6544871794876</v>
      </c>
      <c r="BZ77" s="14">
        <f>BY77*VLOOKUP('Données projet'!$B$12,Paramètres!$A$1:$I$89,3,0)*VLOOKUP('Données projet'!$B$12,Paramètres!$A$1:$I$89,5,0)</f>
        <v>164.1063000000002</v>
      </c>
      <c r="CA77" s="14">
        <f t="shared" si="93"/>
        <v>41.767332454312395</v>
      </c>
      <c r="CB77" s="22">
        <f t="shared" si="64"/>
        <v>358.56324319126111</v>
      </c>
      <c r="CC77" s="62">
        <f t="shared" si="65"/>
        <v>651.89657652459437</v>
      </c>
      <c r="CD77" s="62">
        <f ca="1">AVERAGE(OFFSET($CC$3,0,0,'Données projet'!$E$12+1,1))-AVERAGE(OFFSET($H$3,0,0,'Données projet'!$E$12+1,1))</f>
        <v>179.14256291235466</v>
      </c>
      <c r="CE77" s="62">
        <f t="shared" si="94"/>
        <v>107.5256983607585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7.5584615384615343</v>
      </c>
      <c r="CT77" s="13">
        <f>IF('Données projet'!$A$140&gt;35,CT76+CS77-DB76,IF(A77&lt;'Données projet'!$A$140,$CQ$205^A77,IF(A77='Données projet'!$A$140,'Données projet'!$B$140,CT76+CS77-DB76)))</f>
        <v>357.55692307692283</v>
      </c>
      <c r="CU77" s="18">
        <f>CT77*VLOOKUP('Données projet'!$B$13,Paramètres!$A$1:$I$89,3,0)*VLOOKUP('Données projet'!$B$13,Paramètres!$A$1:$I$89,5,0)</f>
        <v>213.81903999999986</v>
      </c>
      <c r="CV77" s="14">
        <f t="shared" si="95"/>
        <v>52.769264634128973</v>
      </c>
      <c r="CW77" s="22">
        <f t="shared" si="67"/>
        <v>464.30796390444101</v>
      </c>
      <c r="CX77" s="62">
        <f t="shared" si="68"/>
        <v>757.64129723777432</v>
      </c>
      <c r="CY77" s="62">
        <f ca="1">AVERAGE(OFFSET($CX$3,0,0,'Données projet'!$E$13+1,1))-AVERAGE(OFFSET($H$3,0,0,'Données projet'!$E$13+1,1))</f>
        <v>237.03649693529445</v>
      </c>
      <c r="CZ77" s="62">
        <f t="shared" si="96"/>
        <v>191.04289411674887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1.254765838919983E-6</v>
      </c>
      <c r="DI77" s="24">
        <f t="shared" si="69"/>
        <v>1.254765838919983E-6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3.7879999999999994</v>
      </c>
      <c r="DO77" s="13">
        <f>IF('Données projet'!$A$166&gt;35,DO76+DN77-DW76,IF(A77&lt;'Données projet'!$A$166,$DL$205^A77,IF(A77='Données projet'!$A$166,'Données projet'!$B$166,DO76+DN77-DW76)))</f>
        <v>217.62199999999999</v>
      </c>
      <c r="DP77" s="18">
        <f>DO77*VLOOKUP('Données projet'!$B$14,Paramètres!$A$1:$I$89,3,0)*VLOOKUP('Données projet'!$B$14,Paramètres!$A$1:$I$89,5,0)</f>
        <v>250.70054399999998</v>
      </c>
      <c r="DQ77" s="14">
        <f t="shared" si="97"/>
        <v>60.735927366991959</v>
      </c>
      <c r="DR77" s="22">
        <f t="shared" si="70"/>
        <v>542.41852096417767</v>
      </c>
      <c r="DS77" s="62">
        <f t="shared" si="71"/>
        <v>835.75185429751104</v>
      </c>
      <c r="DT77" s="62">
        <f ca="1">AVERAGE(OFFSET($DS$3,0,0,'Données projet'!$E$14+1,1))-AVERAGE(OFFSET($H$3,0,0,'Données projet'!$E$14+1,1))</f>
        <v>431.38469096974364</v>
      </c>
      <c r="DU77" s="62">
        <f t="shared" si="98"/>
        <v>295.48627059086647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0.28920329468337541</v>
      </c>
      <c r="EC77" s="23">
        <f>EXP(-LN(2)/2)*EC76+(1-EXP(-LN(2)/2))/(LN(2)/2)*DW77*DZ77*VLOOKUP('Données projet'!$B$14,Paramètres!$A$1:$I$89,3,0)*0.475*44/12</f>
        <v>9.1515426648230316E-7</v>
      </c>
      <c r="ED77" s="24">
        <f t="shared" si="72"/>
        <v>0.28920420983764189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3.4</v>
      </c>
      <c r="EJ77" s="13">
        <f>IF('Données projet'!$A$192&gt;35,EJ76+EI77-ER76,IF(A77&lt;'Données projet'!$A$192,$EG$205^A77,IF(A77='Données projet'!$A$192,'Données projet'!$B$192,EJ76+EI77-ER76)))</f>
        <v>145.59999999999997</v>
      </c>
      <c r="EK77" s="18">
        <f>EJ77*VLOOKUP('Données projet'!$B$15,Paramètres!$A$1:$I$89,3,0)*VLOOKUP('Données projet'!$B$15,Paramètres!$A$1:$I$89,5,0)</f>
        <v>165.80927999999994</v>
      </c>
      <c r="EL77" s="14">
        <f t="shared" si="99"/>
        <v>42.150082607261517</v>
      </c>
      <c r="EM77" s="22">
        <f t="shared" si="73"/>
        <v>362.19588987431371</v>
      </c>
      <c r="EN77" s="62">
        <f t="shared" si="74"/>
        <v>655.52922320764696</v>
      </c>
      <c r="EO77" s="62">
        <f ca="1">AVERAGE(OFFSET($EN$3,0,0,'Données projet'!$E$15+1,1))-AVERAGE(OFFSET($H$3,0,0,'Données projet'!$E$15+1,1))</f>
        <v>220.03635832253951</v>
      </c>
      <c r="EP77" s="62">
        <f t="shared" si="100"/>
        <v>136.30639155882233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10.6</v>
      </c>
      <c r="FE77" s="13">
        <f>IF('Données projet'!$A$218&gt;35,FE76+FD77-FM76,IF(A77&lt;'Données projet'!$A$218,$FB$205^A77,IF(A77='Données projet'!$A$218,'Données projet'!$B$218,FE76+FD77-FM76)))</f>
        <v>391.40000000000038</v>
      </c>
      <c r="FF77" s="18">
        <f>FE77*VLOOKUP('Données projet'!$B$16,Paramètres!$A$1:$I$89,3,0)*VLOOKUP('Données projet'!$B$16,Paramètres!$A$1:$I$89,5,0)</f>
        <v>409.09128000000044</v>
      </c>
      <c r="FG77" s="14">
        <f t="shared" si="101"/>
        <v>93.617365056669769</v>
      </c>
      <c r="FH77" s="22">
        <f t="shared" si="76"/>
        <v>875.5508901403673</v>
      </c>
      <c r="FI77" s="62">
        <f t="shared" si="77"/>
        <v>1168.8842234737006</v>
      </c>
      <c r="FJ77" s="62">
        <f ca="1">AVERAGE(OFFSET($FI$3,0,0,'Données projet'!$E$16+1,1))-AVERAGE(OFFSET($H$3,0,0,'Données projet'!$E$16+1,1))</f>
        <v>641.62708445664862</v>
      </c>
      <c r="FK77" s="62">
        <f t="shared" si="102"/>
        <v>379.46845863546929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5.1726902211194558E-6</v>
      </c>
      <c r="FT77" s="24">
        <f t="shared" si="78"/>
        <v>5.1726902211194558E-6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3.4</v>
      </c>
      <c r="FZ77" s="13">
        <f>IF('Données projet'!$A$244&gt;35,FZ76+FY77-GH76,IF(A77&lt;'Données projet'!$A$244,$FW$205^A77,IF(A77='Données projet'!$A$244,'Données projet'!$B$244,FZ76+FY77-GH76)))</f>
        <v>145.59999999999997</v>
      </c>
      <c r="GA77" s="18">
        <f>FZ77*VLOOKUP('Données projet'!$B$17,Paramètres!$A$1:$I$89,3,0)*VLOOKUP('Données projet'!$B$17,Paramètres!$A$1:$I$89,5,0)</f>
        <v>140.82431999999997</v>
      </c>
      <c r="GB77" s="14">
        <f t="shared" si="103"/>
        <v>36.485781060837802</v>
      </c>
      <c r="GC77" s="22">
        <f t="shared" si="79"/>
        <v>308.81509268095914</v>
      </c>
      <c r="GD77" s="62">
        <f t="shared" si="80"/>
        <v>602.14842601429245</v>
      </c>
      <c r="GE77" s="62">
        <f ca="1">AVERAGE(OFFSET($GD$3,0,0,'Données projet'!$E$17+1,1))-AVERAGE(OFFSET($H$3,0,0,'Données projet'!$E$17+1,1))</f>
        <v>181.39066880931728</v>
      </c>
      <c r="GF77" s="62">
        <f t="shared" si="104"/>
        <v>116.06078566855524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2.2000000000000002</v>
      </c>
      <c r="GU77" s="13">
        <f>IF('Données projet'!$A$270&gt;35,GU76+GT77-HC76,IF(A77&lt;'Données projet'!$A$270,$GR$205^A77,IF(A77='Données projet'!$A$270,'Données projet'!$B$270,GU76+GT77-HC76)))</f>
        <v>152.79999999999978</v>
      </c>
      <c r="GV77" s="18">
        <f>GU77*VLOOKUP('Données projet'!$B$18,Paramètres!$A$1:$I$89,3,0)*VLOOKUP('Données projet'!$B$18,Paramètres!$A$1:$I$89,5,0)</f>
        <v>133.48607999999982</v>
      </c>
      <c r="GW77" s="14">
        <f t="shared" si="105"/>
        <v>34.800645252320457</v>
      </c>
      <c r="GX77" s="22">
        <f t="shared" si="82"/>
        <v>293.09937981445779</v>
      </c>
      <c r="GY77" s="62">
        <f t="shared" si="83"/>
        <v>586.43271314779111</v>
      </c>
      <c r="GZ77" s="62">
        <f ca="1">AVERAGE(OFFSET($GY$3,0,0,'Données projet'!$E$18+1,1))-AVERAGE(OFFSET($H$3,0,0,'Données projet'!$E$18+1,1))</f>
        <v>152.84277478695606</v>
      </c>
      <c r="HA77" s="62">
        <f t="shared" si="106"/>
        <v>179.22995976651015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9">
        <f t="shared" si="56"/>
        <v>349.32350663286911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255.52799999999991</v>
      </c>
      <c r="P78" s="14">
        <f t="shared" si="87"/>
        <v>61.768167868721477</v>
      </c>
      <c r="Q78" s="22">
        <f t="shared" si="54"/>
        <v>552.62415903802309</v>
      </c>
      <c r="R78" s="62">
        <f t="shared" si="55"/>
        <v>845.95749237135647</v>
      </c>
      <c r="S78" s="62">
        <f ca="1">AVERAGE(OFFSET($R$3,0,0,'Données projet'!$E$9+1,1))-AVERAGE(OFFSET($H$3,0,0,'Données projet'!$E$9+1,1))</f>
        <v>383.26814640166805</v>
      </c>
      <c r="T78" s="62">
        <f t="shared" si="88"/>
        <v>233.71216103405249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149</v>
      </c>
      <c r="AG78" s="13">
        <f>VLOOKUP(A78,'Données projet'!$A$61:$I$81,9,0)</f>
        <v>3.4</v>
      </c>
      <c r="AH78" s="13">
        <f t="array" ref="AH78">INDEX(AG:AG,MIN(IF(ISNUMBER(AG78:AG274),ROW(AG78:AG274),"")))</f>
        <v>3.4</v>
      </c>
      <c r="AI78" s="14">
        <f>IF('Données projet'!$A$62&gt;35,AI77+AH78-AQ77,IF(A78&lt;'Données projet'!$A$62,$AF$205^A78,IF(A78='Données projet'!$A$62,'Données projet'!$B$62,AI77+AH78-AQ77)))</f>
        <v>148.99999999999997</v>
      </c>
      <c r="AJ78" s="14">
        <f>AI78*VLOOKUP('Données projet'!$B$10,Paramètres!$A$1:$I$89,3,0)*VLOOKUP('Données projet'!$B$10,Paramètres!$A$1:$I$89,5,0)</f>
        <v>160.38359999999997</v>
      </c>
      <c r="AK78" s="14">
        <f t="shared" si="89"/>
        <v>40.929025395397851</v>
      </c>
      <c r="AL78" s="22">
        <f t="shared" si="58"/>
        <v>350.61948923031787</v>
      </c>
      <c r="AM78" s="62">
        <f t="shared" si="59"/>
        <v>643.95282256365113</v>
      </c>
      <c r="AN78" s="62">
        <f ca="1">AVERAGE(OFFSET($AM$3,0,0,'Données projet'!$E$10+1,1))-AVERAGE(OFFSET($H$3,0,0,'Données projet'!$E$10+1,1))</f>
        <v>205.99910063756408</v>
      </c>
      <c r="AO78" s="62">
        <f t="shared" si="90"/>
        <v>128.95330275493671</v>
      </c>
      <c r="AP78" s="16">
        <f>IF(ISNA(VLOOKUP(A78,'Données projet'!$A$61:$I$81,3,0)),0,VLOOKUP(A78,'Données projet'!$A$61:$I$81,3,0))</f>
        <v>5</v>
      </c>
      <c r="AQ78" s="16">
        <f>IF(ISNA(VLOOKUP(A78,'Données projet'!$A$61:$I$81,4,0)),0,VLOOKUP(A78,'Données projet'!$A$61:$I$81,4,0))</f>
        <v>20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6.7984728957526396E-14</v>
      </c>
      <c r="BF78" s="14">
        <f t="shared" si="91"/>
        <v>1.0682447123141398E-12</v>
      </c>
      <c r="BG78" s="22">
        <f t="shared" si="61"/>
        <v>1.978932943548152E-12</v>
      </c>
      <c r="BH78" s="62">
        <f t="shared" si="62"/>
        <v>293.3333333333353</v>
      </c>
      <c r="BI78" s="62">
        <f ca="1">AVERAGE(OFFSET($BH$3,0,0,'Données projet'!$E$11+1,1))-AVERAGE(OFFSET($H$3,0,0,'Données projet'!$E$11+1,1))</f>
        <v>222.20580087523689</v>
      </c>
      <c r="BJ78" s="62">
        <f t="shared" si="92"/>
        <v>232.08940427392253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4.1050829623786704</v>
      </c>
      <c r="BQ78" s="23">
        <f>EXP(-LN(2)/25)*BQ77+(1-EXP(-LN(2)/25))/(LN(2)/25)*Calculateur!BL78*Calculateur!BN78*VLOOKUP('Données projet'!$B$11,Paramètres!$A$1:$I$89,3,0)*0.475*44/12</f>
        <v>4.7200122937100426</v>
      </c>
      <c r="BR78" s="23">
        <f>EXP(-LN(2)/2)*BR77+(1-EXP(-LN(2)/2))/(LN(2)/2)*BL78*BO78*VLOOKUP('Données projet'!$B$11,Paramètres!$A$1:$I$89,3,0)*0.475*44/12</f>
        <v>1.0688374942113467E-6</v>
      </c>
      <c r="BS78" s="24">
        <f t="shared" si="63"/>
        <v>8.8250963249262071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360.47692307692307</v>
      </c>
      <c r="BW78" s="13">
        <f>VLOOKUP(A78,'Données projet'!$A$113:$I$133,9,0)</f>
        <v>9.8224358974358967</v>
      </c>
      <c r="BX78" s="13">
        <f t="array" ref="BX78">INDEX(BW:BW,MIN(IF(ISNUMBER(BW78:BW274),ROW(BW78:BW274),"")))</f>
        <v>9.8224358974358967</v>
      </c>
      <c r="BY78" s="13">
        <f>IF('Données projet'!$A$114&gt;35,BY77+BX78-CG77,IF(A78&lt;'Données projet'!$A$114,$BV$205^A78,IF(A78='Données projet'!$A$114,'Données projet'!$B$114,BY77+BX78-CG77)))</f>
        <v>360.47692307692353</v>
      </c>
      <c r="BZ78" s="14">
        <f>BY78*VLOOKUP('Données projet'!$B$12,Paramètres!$A$1:$I$89,3,0)*VLOOKUP('Données projet'!$B$12,Paramètres!$A$1:$I$89,5,0)</f>
        <v>168.70320000000021</v>
      </c>
      <c r="CA78" s="14">
        <f t="shared" si="93"/>
        <v>42.799454211954647</v>
      </c>
      <c r="CB78" s="22">
        <f t="shared" si="64"/>
        <v>368.367122752488</v>
      </c>
      <c r="CC78" s="62">
        <f t="shared" si="65"/>
        <v>661.70045608582132</v>
      </c>
      <c r="CD78" s="62">
        <f ca="1">AVERAGE(OFFSET($CC$3,0,0,'Données projet'!$E$12+1,1))-AVERAGE(OFFSET($H$3,0,0,'Données projet'!$E$12+1,1))</f>
        <v>179.14256291235466</v>
      </c>
      <c r="CE78" s="62">
        <f t="shared" si="94"/>
        <v>107.5256983607585</v>
      </c>
      <c r="CF78" s="16">
        <f>IF(ISNA(VLOOKUP(A78,'Données projet'!$A$113:$I$133,3,0)),0,VLOOKUP(A78,'Données projet'!$A$113:$I$133,3,0))</f>
        <v>3</v>
      </c>
      <c r="CG78" s="16">
        <f>IF(ISNA(VLOOKUP(A78,'Données projet'!$A$113:$I$133,4,0)),0,VLOOKUP(A78,'Données projet'!$A$113:$I$133,4,0))</f>
        <v>85.361538461538458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7.5584615384615343</v>
      </c>
      <c r="CT78" s="13">
        <f>IF('Données projet'!$A$140&gt;35,CT77+CS78-DB77,IF(A78&lt;'Données projet'!$A$140,$CQ$205^A78,IF(A78='Données projet'!$A$140,'Données projet'!$B$140,CT77+CS78-DB77)))</f>
        <v>365.11538461538436</v>
      </c>
      <c r="CU78" s="18">
        <f>CT78*VLOOKUP('Données projet'!$B$13,Paramètres!$A$1:$I$89,3,0)*VLOOKUP('Données projet'!$B$13,Paramètres!$A$1:$I$89,5,0)</f>
        <v>218.33899999999988</v>
      </c>
      <c r="CV78" s="14">
        <f t="shared" si="95"/>
        <v>53.753716498326504</v>
      </c>
      <c r="CW78" s="22">
        <f t="shared" si="67"/>
        <v>473.8948145679185</v>
      </c>
      <c r="CX78" s="62">
        <f t="shared" si="68"/>
        <v>767.22814790125176</v>
      </c>
      <c r="CY78" s="62">
        <f ca="1">AVERAGE(OFFSET($CX$3,0,0,'Données projet'!$E$13+1,1))-AVERAGE(OFFSET($H$3,0,0,'Données projet'!$E$13+1,1))</f>
        <v>237.03649693529445</v>
      </c>
      <c r="CZ78" s="62">
        <f t="shared" si="96"/>
        <v>191.04289411674887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8.8725343350154718E-7</v>
      </c>
      <c r="DI78" s="24">
        <f t="shared" si="69"/>
        <v>8.8725343350154718E-7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3.7879999999999994</v>
      </c>
      <c r="DO78" s="13">
        <f>IF('Données projet'!$A$166&gt;35,DO77+DN78-DW77,IF(A78&lt;'Données projet'!$A$166,$DL$205^A78,IF(A78='Données projet'!$A$166,'Données projet'!$B$166,DO77+DN78-DW77)))</f>
        <v>221.41</v>
      </c>
      <c r="DP78" s="18">
        <f>DO78*VLOOKUP('Données projet'!$B$14,Paramètres!$A$1:$I$89,3,0)*VLOOKUP('Données projet'!$B$14,Paramètres!$A$1:$I$89,5,0)</f>
        <v>255.06431999999998</v>
      </c>
      <c r="DQ78" s="14">
        <f t="shared" si="97"/>
        <v>61.669119759580745</v>
      </c>
      <c r="DR78" s="22">
        <f t="shared" si="70"/>
        <v>551.64407424793637</v>
      </c>
      <c r="DS78" s="62">
        <f t="shared" si="71"/>
        <v>844.97740758126974</v>
      </c>
      <c r="DT78" s="62">
        <f ca="1">AVERAGE(OFFSET($DS$3,0,0,'Données projet'!$E$14+1,1))-AVERAGE(OFFSET($H$3,0,0,'Données projet'!$E$14+1,1))</f>
        <v>431.38469096974364</v>
      </c>
      <c r="DU78" s="62">
        <f t="shared" si="98"/>
        <v>295.48627059086647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0.28129501538171825</v>
      </c>
      <c r="EC78" s="23">
        <f>EXP(-LN(2)/2)*EC77+(1-EXP(-LN(2)/2))/(LN(2)/2)*DW78*DZ78*VLOOKUP('Données projet'!$B$14,Paramètres!$A$1:$I$89,3,0)*0.475*44/12</f>
        <v>6.4711178766143733E-7</v>
      </c>
      <c r="ED78" s="24">
        <f t="shared" si="72"/>
        <v>0.2812956624935059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149</v>
      </c>
      <c r="EH78" s="13">
        <f>VLOOKUP(A78,'Données projet'!$A$191:$I$211,9,0)</f>
        <v>3.4</v>
      </c>
      <c r="EI78" s="13">
        <f t="array" ref="EI78">INDEX(EH:EH,MIN(IF(ISNUMBER(EH78:EH274),ROW(EH78:EH274),"")))</f>
        <v>3.4</v>
      </c>
      <c r="EJ78" s="13">
        <f>IF('Données projet'!$A$192&gt;35,EJ77+EI78-ER77,IF(A78&lt;'Données projet'!$A$192,$EG$205^A78,IF(A78='Données projet'!$A$192,'Données projet'!$B$192,EJ77+EI78-ER77)))</f>
        <v>148.99999999999997</v>
      </c>
      <c r="EK78" s="18">
        <f>EJ78*VLOOKUP('Données projet'!$B$15,Paramètres!$A$1:$I$89,3,0)*VLOOKUP('Données projet'!$B$15,Paramètres!$A$1:$I$89,5,0)</f>
        <v>169.68119999999999</v>
      </c>
      <c r="EL78" s="14">
        <f t="shared" si="99"/>
        <v>43.018615192144622</v>
      </c>
      <c r="EM78" s="22">
        <f t="shared" si="73"/>
        <v>370.45217812631859</v>
      </c>
      <c r="EN78" s="62">
        <f t="shared" si="74"/>
        <v>663.78551145965184</v>
      </c>
      <c r="EO78" s="62">
        <f ca="1">AVERAGE(OFFSET($EN$3,0,0,'Données projet'!$E$15+1,1))-AVERAGE(OFFSET($H$3,0,0,'Données projet'!$E$15+1,1))</f>
        <v>220.03635832253951</v>
      </c>
      <c r="EP78" s="62">
        <f t="shared" si="100"/>
        <v>136.30639155882233</v>
      </c>
      <c r="EQ78" s="16">
        <f>IF(ISNA(VLOOKUP(A78,'Données projet'!$A$191:$I$211,3,0)),0,VLOOKUP(A78,'Données projet'!$A$191:$I$211,3,0))</f>
        <v>5</v>
      </c>
      <c r="ER78" s="16">
        <f>IF(ISNA(VLOOKUP(A78,'Données projet'!$A$191:$I$211,4,0)),0,VLOOKUP(A78,'Données projet'!$A$191:$I$211,4,0))</f>
        <v>20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402</v>
      </c>
      <c r="FC78" s="13">
        <f>VLOOKUP(A78,'Données projet'!$A$217:$I$237,9,0)</f>
        <v>10.6</v>
      </c>
      <c r="FD78" s="13">
        <f t="array" ref="FD78">INDEX(FC:FC,MIN(IF(ISNUMBER(FC78:FC274),ROW(FC78:FC274),"")))</f>
        <v>10.6</v>
      </c>
      <c r="FE78" s="13">
        <f>IF('Données projet'!$A$218&gt;35,FE77+FD78-FM77,IF(A78&lt;'Données projet'!$A$218,$FB$205^A78,IF(A78='Données projet'!$A$218,'Données projet'!$B$218,FE77+FD78-FM77)))</f>
        <v>402.0000000000004</v>
      </c>
      <c r="FF78" s="18">
        <f>FE78*VLOOKUP('Données projet'!$B$16,Paramètres!$A$1:$I$89,3,0)*VLOOKUP('Données projet'!$B$16,Paramètres!$A$1:$I$89,5,0)</f>
        <v>420.17040000000043</v>
      </c>
      <c r="FG78" s="14">
        <f t="shared" si="101"/>
        <v>95.854122581196847</v>
      </c>
      <c r="FH78" s="22">
        <f t="shared" si="76"/>
        <v>898.74271016225191</v>
      </c>
      <c r="FI78" s="62">
        <f t="shared" si="77"/>
        <v>1192.0760434955853</v>
      </c>
      <c r="FJ78" s="62">
        <f ca="1">AVERAGE(OFFSET($FI$3,0,0,'Données projet'!$E$16+1,1))-AVERAGE(OFFSET($H$3,0,0,'Données projet'!$E$16+1,1))</f>
        <v>641.62708445664862</v>
      </c>
      <c r="FK78" s="62">
        <f t="shared" si="102"/>
        <v>379.46845863546929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3.6576443323309093E-6</v>
      </c>
      <c r="FT78" s="24">
        <f t="shared" si="78"/>
        <v>3.6576443323309093E-6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149</v>
      </c>
      <c r="FX78" s="13">
        <f>VLOOKUP(A78,'Données projet'!$A$243:$I$263,9,0)</f>
        <v>3.4</v>
      </c>
      <c r="FY78" s="13">
        <f t="array" ref="FY78">INDEX(FX:FX,MIN(IF(ISNUMBER(FX78:FX274),ROW(FX78:FX274),"")))</f>
        <v>3.4</v>
      </c>
      <c r="FZ78" s="13">
        <f>IF('Données projet'!$A$244&gt;35,FZ77+FY78-GH77,IF(A78&lt;'Données projet'!$A$244,$FW$205^A78,IF(A78='Données projet'!$A$244,'Données projet'!$B$244,FZ77+FY78-GH77)))</f>
        <v>148.99999999999997</v>
      </c>
      <c r="GA78" s="18">
        <f>FZ78*VLOOKUP('Données projet'!$B$17,Paramètres!$A$1:$I$89,3,0)*VLOOKUP('Données projet'!$B$17,Paramètres!$A$1:$I$89,5,0)</f>
        <v>144.11279999999996</v>
      </c>
      <c r="GB78" s="14">
        <f t="shared" si="103"/>
        <v>37.237596662992466</v>
      </c>
      <c r="GC78" s="22">
        <f t="shared" si="79"/>
        <v>315.85194085471181</v>
      </c>
      <c r="GD78" s="62">
        <f t="shared" si="80"/>
        <v>609.18527418804513</v>
      </c>
      <c r="GE78" s="62">
        <f ca="1">AVERAGE(OFFSET($GD$3,0,0,'Données projet'!$E$17+1,1))-AVERAGE(OFFSET($H$3,0,0,'Données projet'!$E$17+1,1))</f>
        <v>181.39066880931728</v>
      </c>
      <c r="GF78" s="62">
        <f t="shared" si="104"/>
        <v>116.06078566855524</v>
      </c>
      <c r="GG78" s="16">
        <f>IF(ISNA(VLOOKUP(A78,'Données projet'!$A$243:$I$263,3,0)),0,VLOOKUP(A78,'Données projet'!$A$243:$I$263,3,0))</f>
        <v>5</v>
      </c>
      <c r="GH78" s="16">
        <f>IF(ISNA(VLOOKUP(A78,'Données projet'!$A$243:$I$263,4,0)),0,VLOOKUP(A78,'Données projet'!$A$243:$I$263,4,0))</f>
        <v>20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155</v>
      </c>
      <c r="GS78" s="13">
        <f>VLOOKUP(A78,'Données projet'!$A$269:$I$289,9,0)</f>
        <v>2.2000000000000002</v>
      </c>
      <c r="GT78" s="13">
        <f t="array" ref="GT78">INDEX(GS:GS,MIN(IF(ISNUMBER(GS78:GS274),ROW(GS78:GS274),"")))</f>
        <v>2.2000000000000002</v>
      </c>
      <c r="GU78" s="13">
        <f>IF('Données projet'!$A$270&gt;35,GU77+GT78-HC77,IF(A78&lt;'Données projet'!$A$270,$GR$205^A78,IF(A78='Données projet'!$A$270,'Données projet'!$B$270,GU77+GT78-HC77)))</f>
        <v>154.99999999999977</v>
      </c>
      <c r="GV78" s="18">
        <f>GU78*VLOOKUP('Données projet'!$B$18,Paramètres!$A$1:$I$89,3,0)*VLOOKUP('Données projet'!$B$18,Paramètres!$A$1:$I$89,5,0)</f>
        <v>135.40799999999982</v>
      </c>
      <c r="GW78" s="14">
        <f t="shared" si="105"/>
        <v>35.243009677478696</v>
      </c>
      <c r="GX78" s="22">
        <f t="shared" si="82"/>
        <v>297.21717518827501</v>
      </c>
      <c r="GY78" s="62">
        <f t="shared" si="83"/>
        <v>590.55050852160832</v>
      </c>
      <c r="GZ78" s="62">
        <f ca="1">AVERAGE(OFFSET($GY$3,0,0,'Données projet'!$E$18+1,1))-AVERAGE(OFFSET($H$3,0,0,'Données projet'!$E$18+1,1))</f>
        <v>152.84277478695606</v>
      </c>
      <c r="HA78" s="62">
        <f t="shared" si="106"/>
        <v>179.22995976651015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9">
        <f t="shared" si="56"/>
        <v>350.5256242345036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261.61199999999991</v>
      </c>
      <c r="P79" s="14">
        <f t="shared" si="87"/>
        <v>63.065867509496442</v>
      </c>
      <c r="Q79" s="22">
        <f t="shared" si="54"/>
        <v>565.48061924570618</v>
      </c>
      <c r="R79" s="62">
        <f t="shared" si="55"/>
        <v>858.81395257903955</v>
      </c>
      <c r="S79" s="62">
        <f ca="1">AVERAGE(OFFSET($R$3,0,0,'Données projet'!$E$9+1,1))-AVERAGE(OFFSET($H$3,0,0,'Données projet'!$E$9+1,1))</f>
        <v>383.26814640166805</v>
      </c>
      <c r="T79" s="62">
        <f t="shared" si="88"/>
        <v>233.71216103405249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3.4</v>
      </c>
      <c r="AI79" s="14">
        <f>IF('Données projet'!$A$62&gt;35,AI78+AH79-AQ78,IF(A79&lt;'Données projet'!$A$62,$AF$205^A79,IF(A79='Données projet'!$A$62,'Données projet'!$B$62,AI78+AH79-AQ78)))</f>
        <v>132.39999999999998</v>
      </c>
      <c r="AJ79" s="14">
        <f>AI79*VLOOKUP('Données projet'!$B$10,Paramètres!$A$1:$I$89,3,0)*VLOOKUP('Données projet'!$B$10,Paramètres!$A$1:$I$89,5,0)</f>
        <v>142.51535999999999</v>
      </c>
      <c r="AK79" s="14">
        <f t="shared" si="89"/>
        <v>36.87264058911223</v>
      </c>
      <c r="AL79" s="22">
        <f t="shared" si="58"/>
        <v>312.43410102603713</v>
      </c>
      <c r="AM79" s="62">
        <f t="shared" si="59"/>
        <v>605.76743435937044</v>
      </c>
      <c r="AN79" s="62">
        <f ca="1">AVERAGE(OFFSET($AM$3,0,0,'Données projet'!$E$10+1,1))-AVERAGE(OFFSET($H$3,0,0,'Données projet'!$E$10+1,1))</f>
        <v>205.99910063756408</v>
      </c>
      <c r="AO79" s="62">
        <f t="shared" si="90"/>
        <v>128.95330275493671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6.7984728957526396E-14</v>
      </c>
      <c r="BF79" s="14">
        <f t="shared" si="91"/>
        <v>1.0682447123141398E-12</v>
      </c>
      <c r="BG79" s="22">
        <f t="shared" si="61"/>
        <v>1.978932943548152E-12</v>
      </c>
      <c r="BH79" s="62">
        <f t="shared" si="62"/>
        <v>293.3333333333353</v>
      </c>
      <c r="BI79" s="62">
        <f ca="1">AVERAGE(OFFSET($BH$3,0,0,'Données projet'!$E$11+1,1))-AVERAGE(OFFSET($H$3,0,0,'Données projet'!$E$11+1,1))</f>
        <v>222.20580087523689</v>
      </c>
      <c r="BJ79" s="62">
        <f t="shared" si="92"/>
        <v>232.08940427392253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4.024584789339797</v>
      </c>
      <c r="BQ79" s="23">
        <f>EXP(-LN(2)/25)*BQ78+(1-EXP(-LN(2)/25))/(LN(2)/25)*Calculateur!BL79*Calculateur!BN79*VLOOKUP('Données projet'!$B$11,Paramètres!$A$1:$I$89,3,0)*0.475*44/12</f>
        <v>4.5909433093238823</v>
      </c>
      <c r="BR79" s="23">
        <f>EXP(-LN(2)/2)*BR78+(1-EXP(-LN(2)/2))/(LN(2)/2)*BL79*BO79*VLOOKUP('Données projet'!$B$11,Paramètres!$A$1:$I$89,3,0)*0.475*44/12</f>
        <v>7.5578224014328047E-7</v>
      </c>
      <c r="BS79" s="24">
        <f t="shared" si="63"/>
        <v>8.6155288544459196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9.001923076923072</v>
      </c>
      <c r="BY79" s="13">
        <f>IF('Données projet'!$A$114&gt;35,BY78+BX79-CG78,IF(A79&lt;'Données projet'!$A$114,$BV$205^A79,IF(A79='Données projet'!$A$114,'Données projet'!$B$114,BY78+BX79-CG78)))</f>
        <v>284.11730769230815</v>
      </c>
      <c r="BZ79" s="14">
        <f>BY79*VLOOKUP('Données projet'!$B$12,Paramètres!$A$1:$I$89,3,0)*VLOOKUP('Données projet'!$B$12,Paramètres!$A$1:$I$89,5,0)</f>
        <v>132.96690000000021</v>
      </c>
      <c r="CA79" s="14">
        <f t="shared" si="93"/>
        <v>34.681019848273998</v>
      </c>
      <c r="CB79" s="22">
        <f t="shared" si="64"/>
        <v>291.98679373574424</v>
      </c>
      <c r="CC79" s="62">
        <f t="shared" si="65"/>
        <v>585.32012706907756</v>
      </c>
      <c r="CD79" s="62">
        <f ca="1">AVERAGE(OFFSET($CC$3,0,0,'Données projet'!$E$12+1,1))-AVERAGE(OFFSET($H$3,0,0,'Données projet'!$E$12+1,1))</f>
        <v>179.14256291235466</v>
      </c>
      <c r="CE79" s="62">
        <f t="shared" si="94"/>
        <v>107.5256983607585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7.5584615384615343</v>
      </c>
      <c r="CT79" s="13">
        <f>IF('Données projet'!$A$140&gt;35,CT78+CS79-DB78,IF(A79&lt;'Données projet'!$A$140,$CQ$205^A79,IF(A79='Données projet'!$A$140,'Données projet'!$B$140,CT78+CS79-DB78)))</f>
        <v>372.67384615384589</v>
      </c>
      <c r="CU79" s="18">
        <f>CT79*VLOOKUP('Données projet'!$B$13,Paramètres!$A$1:$I$89,3,0)*VLOOKUP('Données projet'!$B$13,Paramètres!$A$1:$I$89,5,0)</f>
        <v>222.85895999999985</v>
      </c>
      <c r="CV79" s="14">
        <f t="shared" si="95"/>
        <v>54.735798842493168</v>
      </c>
      <c r="CW79" s="22">
        <f t="shared" si="67"/>
        <v>483.47753831734195</v>
      </c>
      <c r="CX79" s="62">
        <f t="shared" si="68"/>
        <v>776.81087165067527</v>
      </c>
      <c r="CY79" s="62">
        <f ca="1">AVERAGE(OFFSET($CX$3,0,0,'Données projet'!$E$13+1,1))-AVERAGE(OFFSET($H$3,0,0,'Données projet'!$E$13+1,1))</f>
        <v>237.03649693529445</v>
      </c>
      <c r="CZ79" s="62">
        <f t="shared" si="96"/>
        <v>191.04289411674887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6.2738291945999151E-7</v>
      </c>
      <c r="DI79" s="24">
        <f t="shared" si="69"/>
        <v>6.2738291945999151E-7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3.7879999999999994</v>
      </c>
      <c r="DO79" s="13">
        <f>IF('Données projet'!$A$166&gt;35,DO78+DN79-DW78,IF(A79&lt;'Données projet'!$A$166,$DL$205^A79,IF(A79='Données projet'!$A$166,'Données projet'!$B$166,DO78+DN79-DW78)))</f>
        <v>225.19800000000001</v>
      </c>
      <c r="DP79" s="18">
        <f>DO79*VLOOKUP('Données projet'!$B$14,Paramètres!$A$1:$I$89,3,0)*VLOOKUP('Données projet'!$B$14,Paramètres!$A$1:$I$89,5,0)</f>
        <v>259.42809599999998</v>
      </c>
      <c r="DQ79" s="14">
        <f t="shared" si="97"/>
        <v>62.600455515407411</v>
      </c>
      <c r="DR79" s="22">
        <f t="shared" si="70"/>
        <v>560.86639388933452</v>
      </c>
      <c r="DS79" s="62">
        <f t="shared" si="71"/>
        <v>854.19972722266789</v>
      </c>
      <c r="DT79" s="62">
        <f ca="1">AVERAGE(OFFSET($DS$3,0,0,'Données projet'!$E$14+1,1))-AVERAGE(OFFSET($H$3,0,0,'Données projet'!$E$14+1,1))</f>
        <v>431.38469096974364</v>
      </c>
      <c r="DU79" s="62">
        <f t="shared" si="98"/>
        <v>295.48627059086647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0.27360298839344321</v>
      </c>
      <c r="EC79" s="23">
        <f>EXP(-LN(2)/2)*EC78+(1-EXP(-LN(2)/2))/(LN(2)/2)*DW79*DZ79*VLOOKUP('Données projet'!$B$14,Paramètres!$A$1:$I$89,3,0)*0.475*44/12</f>
        <v>4.5757713324115158E-7</v>
      </c>
      <c r="ED79" s="24">
        <f t="shared" si="72"/>
        <v>0.27360344597057645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3.4</v>
      </c>
      <c r="EJ79" s="13">
        <f>IF('Données projet'!$A$192&gt;35,EJ78+EI79-ER78,IF(A79&lt;'Données projet'!$A$192,$EG$205^A79,IF(A79='Données projet'!$A$192,'Données projet'!$B$192,EJ78+EI79-ER78)))</f>
        <v>132.39999999999998</v>
      </c>
      <c r="EK79" s="18">
        <f>EJ79*VLOOKUP('Données projet'!$B$15,Paramètres!$A$1:$I$89,3,0)*VLOOKUP('Données projet'!$B$15,Paramètres!$A$1:$I$89,5,0)</f>
        <v>150.77712</v>
      </c>
      <c r="EL79" s="14">
        <f t="shared" si="99"/>
        <v>38.755135781943856</v>
      </c>
      <c r="EM79" s="22">
        <f t="shared" si="73"/>
        <v>330.10201215355221</v>
      </c>
      <c r="EN79" s="62">
        <f t="shared" si="74"/>
        <v>623.43534548688558</v>
      </c>
      <c r="EO79" s="62">
        <f ca="1">AVERAGE(OFFSET($EN$3,0,0,'Données projet'!$E$15+1,1))-AVERAGE(OFFSET($H$3,0,0,'Données projet'!$E$15+1,1))</f>
        <v>220.03635832253951</v>
      </c>
      <c r="EP79" s="62">
        <f t="shared" si="100"/>
        <v>136.30639155882233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3.2</v>
      </c>
      <c r="FE79" s="13">
        <f>IF('Données projet'!$A$218&gt;35,FE78+FD79-FM78,IF(A79&lt;'Données projet'!$A$218,$FB$205^A79,IF(A79='Données projet'!$A$218,'Données projet'!$B$218,FE78+FD79-FM78)))</f>
        <v>405.20000000000039</v>
      </c>
      <c r="FF79" s="18">
        <f>FE79*VLOOKUP('Données projet'!$B$16,Paramètres!$A$1:$I$89,3,0)*VLOOKUP('Données projet'!$B$16,Paramètres!$A$1:$I$89,5,0)</f>
        <v>423.51504000000045</v>
      </c>
      <c r="FG79" s="14">
        <f t="shared" si="101"/>
        <v>96.528013764229897</v>
      </c>
      <c r="FH79" s="22">
        <f t="shared" si="76"/>
        <v>905.74165197270111</v>
      </c>
      <c r="FI79" s="62">
        <f t="shared" si="77"/>
        <v>1199.0749853060345</v>
      </c>
      <c r="FJ79" s="62">
        <f ca="1">AVERAGE(OFFSET($FI$3,0,0,'Données projet'!$E$16+1,1))-AVERAGE(OFFSET($H$3,0,0,'Données projet'!$E$16+1,1))</f>
        <v>641.62708445664862</v>
      </c>
      <c r="FK79" s="62">
        <f t="shared" si="102"/>
        <v>379.46845863546929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2.5863451105597283E-6</v>
      </c>
      <c r="FT79" s="24">
        <f t="shared" si="78"/>
        <v>2.5863451105597283E-6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3.4</v>
      </c>
      <c r="FZ79" s="13">
        <f>IF('Données projet'!$A$244&gt;35,FZ78+FY79-GH78,IF(A79&lt;'Données projet'!$A$244,$FW$205^A79,IF(A79='Données projet'!$A$244,'Données projet'!$B$244,FZ78+FY79-GH78)))</f>
        <v>132.39999999999998</v>
      </c>
      <c r="GA79" s="18">
        <f>FZ79*VLOOKUP('Données projet'!$B$17,Paramètres!$A$1:$I$89,3,0)*VLOOKUP('Données projet'!$B$17,Paramètres!$A$1:$I$89,5,0)</f>
        <v>128.05727999999996</v>
      </c>
      <c r="GB79" s="14">
        <f t="shared" si="103"/>
        <v>33.54706115995706</v>
      </c>
      <c r="GC79" s="22">
        <f t="shared" si="79"/>
        <v>281.46089418692515</v>
      </c>
      <c r="GD79" s="62">
        <f t="shared" si="80"/>
        <v>574.79422752025846</v>
      </c>
      <c r="GE79" s="62">
        <f ca="1">AVERAGE(OFFSET($GD$3,0,0,'Données projet'!$E$17+1,1))-AVERAGE(OFFSET($H$3,0,0,'Données projet'!$E$17+1,1))</f>
        <v>181.39066880931728</v>
      </c>
      <c r="GF79" s="62">
        <f t="shared" si="104"/>
        <v>116.06078566855524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1.8</v>
      </c>
      <c r="GU79" s="13">
        <f>IF('Données projet'!$A$270&gt;35,GU78+GT79-HC78,IF(A79&lt;'Données projet'!$A$270,$GR$205^A79,IF(A79='Données projet'!$A$270,'Données projet'!$B$270,GU78+GT79-HC78)))</f>
        <v>156.79999999999978</v>
      </c>
      <c r="GV79" s="18">
        <f>GU79*VLOOKUP('Données projet'!$B$18,Paramètres!$A$1:$I$89,3,0)*VLOOKUP('Données projet'!$B$18,Paramètres!$A$1:$I$89,5,0)</f>
        <v>136.98047999999983</v>
      </c>
      <c r="GW79" s="14">
        <f t="shared" si="105"/>
        <v>35.604400515895449</v>
      </c>
      <c r="GX79" s="22">
        <f t="shared" si="82"/>
        <v>300.58533356518427</v>
      </c>
      <c r="GY79" s="62">
        <f t="shared" si="83"/>
        <v>593.91866689851759</v>
      </c>
      <c r="GZ79" s="62">
        <f ca="1">AVERAGE(OFFSET($GY$3,0,0,'Données projet'!$E$18+1,1))-AVERAGE(OFFSET($H$3,0,0,'Données projet'!$E$18+1,1))</f>
        <v>152.84277478695606</v>
      </c>
      <c r="HA79" s="62">
        <f t="shared" si="106"/>
        <v>179.22995976651015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9">
        <f t="shared" si="56"/>
        <v>351.72735743583411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267.69599999999991</v>
      </c>
      <c r="P80" s="14">
        <f t="shared" si="87"/>
        <v>64.360058723585439</v>
      </c>
      <c r="Q80" s="22">
        <f t="shared" si="54"/>
        <v>578.33096894357777</v>
      </c>
      <c r="R80" s="62">
        <f t="shared" si="55"/>
        <v>871.66430227691103</v>
      </c>
      <c r="S80" s="62">
        <f ca="1">AVERAGE(OFFSET($R$3,0,0,'Données projet'!$E$9+1,1))-AVERAGE(OFFSET($H$3,0,0,'Données projet'!$E$9+1,1))</f>
        <v>383.26814640166805</v>
      </c>
      <c r="T80" s="62">
        <f t="shared" si="88"/>
        <v>233.71216103405249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3.4</v>
      </c>
      <c r="AI80" s="14">
        <f>IF('Données projet'!$A$62&gt;35,AI79+AH80-AQ79,IF(A80&lt;'Données projet'!$A$62,$AF$205^A80,IF(A80='Données projet'!$A$62,'Données projet'!$B$62,AI79+AH80-AQ79)))</f>
        <v>135.79999999999998</v>
      </c>
      <c r="AJ80" s="14">
        <f>AI80*VLOOKUP('Données projet'!$B$10,Paramètres!$A$1:$I$89,3,0)*VLOOKUP('Données projet'!$B$10,Paramètres!$A$1:$I$89,5,0)</f>
        <v>146.17511999999999</v>
      </c>
      <c r="AK80" s="14">
        <f t="shared" si="89"/>
        <v>37.708065541834948</v>
      </c>
      <c r="AL80" s="22">
        <f t="shared" si="58"/>
        <v>320.26321481869581</v>
      </c>
      <c r="AM80" s="62">
        <f t="shared" si="59"/>
        <v>613.59654815202907</v>
      </c>
      <c r="AN80" s="62">
        <f ca="1">AVERAGE(OFFSET($AM$3,0,0,'Données projet'!$E$10+1,1))-AVERAGE(OFFSET($H$3,0,0,'Données projet'!$E$10+1,1))</f>
        <v>205.99910063756408</v>
      </c>
      <c r="AO80" s="62">
        <f t="shared" si="90"/>
        <v>128.95330275493671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6.7984728957526396E-14</v>
      </c>
      <c r="BF80" s="14">
        <f t="shared" si="91"/>
        <v>1.0682447123141398E-12</v>
      </c>
      <c r="BG80" s="22">
        <f t="shared" si="61"/>
        <v>1.978932943548152E-12</v>
      </c>
      <c r="BH80" s="62">
        <f t="shared" si="62"/>
        <v>293.3333333333353</v>
      </c>
      <c r="BI80" s="62">
        <f ca="1">AVERAGE(OFFSET($BH$3,0,0,'Données projet'!$E$11+1,1))-AVERAGE(OFFSET($H$3,0,0,'Données projet'!$E$11+1,1))</f>
        <v>222.20580087523689</v>
      </c>
      <c r="BJ80" s="62">
        <f t="shared" si="92"/>
        <v>232.08940427392253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3.9456651363751782</v>
      </c>
      <c r="BQ80" s="23">
        <f>EXP(-LN(2)/25)*BQ79+(1-EXP(-LN(2)/25))/(LN(2)/25)*Calculateur!BL80*Calculateur!BN80*VLOOKUP('Données projet'!$B$11,Paramètres!$A$1:$I$89,3,0)*0.475*44/12</f>
        <v>4.4654037231032051</v>
      </c>
      <c r="BR80" s="23">
        <f>EXP(-LN(2)/2)*BR79+(1-EXP(-LN(2)/2))/(LN(2)/2)*BL80*BO80*VLOOKUP('Données projet'!$B$11,Paramètres!$A$1:$I$89,3,0)*0.475*44/12</f>
        <v>5.3441874710567334E-7</v>
      </c>
      <c r="BS80" s="24">
        <f t="shared" si="63"/>
        <v>8.4110693938971313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9.001923076923072</v>
      </c>
      <c r="BY80" s="13">
        <f>IF('Données projet'!$A$114&gt;35,BY79+BX80-CG79,IF(A80&lt;'Données projet'!$A$114,$BV$205^A80,IF(A80='Données projet'!$A$114,'Données projet'!$B$114,BY79+BX80-CG79)))</f>
        <v>293.11923076923119</v>
      </c>
      <c r="BZ80" s="14">
        <f>BY80*VLOOKUP('Données projet'!$B$12,Paramètres!$A$1:$I$89,3,0)*VLOOKUP('Données projet'!$B$12,Paramètres!$A$1:$I$89,5,0)</f>
        <v>137.1798000000002</v>
      </c>
      <c r="CA80" s="14">
        <f t="shared" si="93"/>
        <v>35.65017408944302</v>
      </c>
      <c r="CB80" s="22">
        <f t="shared" si="64"/>
        <v>301.01220487244694</v>
      </c>
      <c r="CC80" s="62">
        <f t="shared" si="65"/>
        <v>594.34553820578026</v>
      </c>
      <c r="CD80" s="62">
        <f ca="1">AVERAGE(OFFSET($CC$3,0,0,'Données projet'!$E$12+1,1))-AVERAGE(OFFSET($H$3,0,0,'Données projet'!$E$12+1,1))</f>
        <v>179.14256291235466</v>
      </c>
      <c r="CE80" s="62">
        <f t="shared" si="94"/>
        <v>107.5256983607585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7.5584615384615343</v>
      </c>
      <c r="CT80" s="13">
        <f>IF('Données projet'!$A$140&gt;35,CT79+CS80-DB79,IF(A80&lt;'Données projet'!$A$140,$CQ$205^A80,IF(A80='Données projet'!$A$140,'Données projet'!$B$140,CT79+CS80-DB79)))</f>
        <v>380.23230769230742</v>
      </c>
      <c r="CU80" s="18">
        <f>CT80*VLOOKUP('Données projet'!$B$13,Paramètres!$A$1:$I$89,3,0)*VLOOKUP('Données projet'!$B$13,Paramètres!$A$1:$I$89,5,0)</f>
        <v>227.37891999999985</v>
      </c>
      <c r="CV80" s="14">
        <f t="shared" si="95"/>
        <v>55.715565262615499</v>
      </c>
      <c r="CW80" s="22">
        <f t="shared" si="67"/>
        <v>493.05622849905507</v>
      </c>
      <c r="CX80" s="62">
        <f t="shared" si="68"/>
        <v>786.38956183238838</v>
      </c>
      <c r="CY80" s="62">
        <f ca="1">AVERAGE(OFFSET($CX$3,0,0,'Données projet'!$E$13+1,1))-AVERAGE(OFFSET($H$3,0,0,'Données projet'!$E$13+1,1))</f>
        <v>237.03649693529445</v>
      </c>
      <c r="CZ80" s="62">
        <f t="shared" si="96"/>
        <v>191.04289411674887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4.4362671675077359E-7</v>
      </c>
      <c r="DI80" s="24">
        <f t="shared" si="69"/>
        <v>4.4362671675077359E-7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3.7879999999999994</v>
      </c>
      <c r="DO80" s="13">
        <f>IF('Données projet'!$A$166&gt;35,DO79+DN80-DW79,IF(A80&lt;'Données projet'!$A$166,$DL$205^A80,IF(A80='Données projet'!$A$166,'Données projet'!$B$166,DO79+DN80-DW79)))</f>
        <v>228.98600000000002</v>
      </c>
      <c r="DP80" s="18">
        <f>DO80*VLOOKUP('Données projet'!$B$14,Paramètres!$A$1:$I$89,3,0)*VLOOKUP('Données projet'!$B$14,Paramètres!$A$1:$I$89,5,0)</f>
        <v>263.79187200000001</v>
      </c>
      <c r="DQ80" s="14">
        <f t="shared" si="97"/>
        <v>63.529969468876949</v>
      </c>
      <c r="DR80" s="22">
        <f t="shared" si="70"/>
        <v>570.08554055829416</v>
      </c>
      <c r="DS80" s="62">
        <f t="shared" si="71"/>
        <v>863.41887389162753</v>
      </c>
      <c r="DT80" s="62">
        <f ca="1">AVERAGE(OFFSET($DS$3,0,0,'Données projet'!$E$14+1,1))-AVERAGE(OFFSET($H$3,0,0,'Données projet'!$E$14+1,1))</f>
        <v>431.38469096974364</v>
      </c>
      <c r="DU80" s="62">
        <f t="shared" si="98"/>
        <v>295.48627059086647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0.26612130028766867</v>
      </c>
      <c r="EC80" s="23">
        <f>EXP(-LN(2)/2)*EC79+(1-EXP(-LN(2)/2))/(LN(2)/2)*DW80*DZ80*VLOOKUP('Données projet'!$B$14,Paramètres!$A$1:$I$89,3,0)*0.475*44/12</f>
        <v>3.2355589383071867E-7</v>
      </c>
      <c r="ED80" s="24">
        <f t="shared" si="72"/>
        <v>0.26612162384356253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3.4</v>
      </c>
      <c r="EJ80" s="13">
        <f>IF('Données projet'!$A$192&gt;35,EJ79+EI80-ER79,IF(A80&lt;'Données projet'!$A$192,$EG$205^A80,IF(A80='Données projet'!$A$192,'Données projet'!$B$192,EJ79+EI80-ER79)))</f>
        <v>135.79999999999998</v>
      </c>
      <c r="EK80" s="18">
        <f>EJ80*VLOOKUP('Données projet'!$B$15,Paramètres!$A$1:$I$89,3,0)*VLOOKUP('Données projet'!$B$15,Paramètres!$A$1:$I$89,5,0)</f>
        <v>154.64903999999999</v>
      </c>
      <c r="EL80" s="14">
        <f t="shared" si="99"/>
        <v>39.633212506613035</v>
      </c>
      <c r="EM80" s="22">
        <f t="shared" si="73"/>
        <v>338.37492311568434</v>
      </c>
      <c r="EN80" s="62">
        <f t="shared" si="74"/>
        <v>631.70825644901765</v>
      </c>
      <c r="EO80" s="62">
        <f ca="1">AVERAGE(OFFSET($EN$3,0,0,'Données projet'!$E$15+1,1))-AVERAGE(OFFSET($H$3,0,0,'Données projet'!$E$15+1,1))</f>
        <v>220.03635832253951</v>
      </c>
      <c r="EP80" s="62">
        <f t="shared" si="100"/>
        <v>136.30639155882233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3.2</v>
      </c>
      <c r="FE80" s="13">
        <f>IF('Données projet'!$A$218&gt;35,FE79+FD80-FM79,IF(A80&lt;'Données projet'!$A$218,$FB$205^A80,IF(A80='Données projet'!$A$218,'Données projet'!$B$218,FE79+FD80-FM79)))</f>
        <v>408.40000000000038</v>
      </c>
      <c r="FF80" s="18">
        <f>FE80*VLOOKUP('Données projet'!$B$16,Paramètres!$A$1:$I$89,3,0)*VLOOKUP('Données projet'!$B$16,Paramètres!$A$1:$I$89,5,0)</f>
        <v>426.85968000000042</v>
      </c>
      <c r="FG80" s="14">
        <f t="shared" si="101"/>
        <v>97.20128575078985</v>
      </c>
      <c r="FH80" s="22">
        <f t="shared" si="76"/>
        <v>912.73951534929301</v>
      </c>
      <c r="FI80" s="62">
        <f t="shared" si="77"/>
        <v>1206.0728486826263</v>
      </c>
      <c r="FJ80" s="62">
        <f ca="1">AVERAGE(OFFSET($FI$3,0,0,'Données projet'!$E$16+1,1))-AVERAGE(OFFSET($H$3,0,0,'Données projet'!$E$16+1,1))</f>
        <v>641.62708445664862</v>
      </c>
      <c r="FK80" s="62">
        <f t="shared" si="102"/>
        <v>379.46845863546929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1.8288221661654551E-6</v>
      </c>
      <c r="FT80" s="24">
        <f t="shared" si="78"/>
        <v>1.8288221661654551E-6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3.4</v>
      </c>
      <c r="FZ80" s="13">
        <f>IF('Données projet'!$A$244&gt;35,FZ79+FY80-GH79,IF(A80&lt;'Données projet'!$A$244,$FW$205^A80,IF(A80='Données projet'!$A$244,'Données projet'!$B$244,FZ79+FY80-GH79)))</f>
        <v>135.79999999999998</v>
      </c>
      <c r="GA80" s="18">
        <f>FZ80*VLOOKUP('Données projet'!$B$17,Paramètres!$A$1:$I$89,3,0)*VLOOKUP('Données projet'!$B$17,Paramètres!$A$1:$I$89,5,0)</f>
        <v>131.34575999999998</v>
      </c>
      <c r="GB80" s="14">
        <f t="shared" si="103"/>
        <v>34.30713832111968</v>
      </c>
      <c r="GC80" s="22">
        <f t="shared" si="79"/>
        <v>288.5121312426167</v>
      </c>
      <c r="GD80" s="62">
        <f t="shared" si="80"/>
        <v>581.84546457595002</v>
      </c>
      <c r="GE80" s="62">
        <f ca="1">AVERAGE(OFFSET($GD$3,0,0,'Données projet'!$E$17+1,1))-AVERAGE(OFFSET($H$3,0,0,'Données projet'!$E$17+1,1))</f>
        <v>181.39066880931728</v>
      </c>
      <c r="GF80" s="62">
        <f t="shared" si="104"/>
        <v>116.06078566855524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1.8</v>
      </c>
      <c r="GU80" s="13">
        <f>IF('Données projet'!$A$270&gt;35,GU79+GT80-HC79,IF(A80&lt;'Données projet'!$A$270,$GR$205^A80,IF(A80='Données projet'!$A$270,'Données projet'!$B$270,GU79+GT80-HC79)))</f>
        <v>158.5999999999998</v>
      </c>
      <c r="GV80" s="18">
        <f>GU80*VLOOKUP('Données projet'!$B$18,Paramètres!$A$1:$I$89,3,0)*VLOOKUP('Données projet'!$B$18,Paramètres!$A$1:$I$89,5,0)</f>
        <v>138.55295999999984</v>
      </c>
      <c r="GW80" s="14">
        <f t="shared" si="105"/>
        <v>35.965308766301767</v>
      </c>
      <c r="GX80" s="22">
        <f t="shared" si="82"/>
        <v>303.95265143464201</v>
      </c>
      <c r="GY80" s="62">
        <f t="shared" si="83"/>
        <v>597.28598476797538</v>
      </c>
      <c r="GZ80" s="62">
        <f ca="1">AVERAGE(OFFSET($GY$3,0,0,'Données projet'!$E$18+1,1))-AVERAGE(OFFSET($H$3,0,0,'Données projet'!$E$18+1,1))</f>
        <v>152.84277478695606</v>
      </c>
      <c r="HA80" s="62">
        <f t="shared" si="106"/>
        <v>179.22995976651015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9">
        <f t="shared" si="56"/>
        <v>352.92871180627031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273.77999999999992</v>
      </c>
      <c r="P81" s="14">
        <f t="shared" si="87"/>
        <v>65.650830427167435</v>
      </c>
      <c r="Q81" s="22">
        <f t="shared" si="54"/>
        <v>591.17536299398307</v>
      </c>
      <c r="R81" s="62">
        <f t="shared" si="55"/>
        <v>884.50869632731633</v>
      </c>
      <c r="S81" s="62">
        <f ca="1">AVERAGE(OFFSET($R$3,0,0,'Données projet'!$E$9+1,1))-AVERAGE(OFFSET($H$3,0,0,'Données projet'!$E$9+1,1))</f>
        <v>383.26814640166805</v>
      </c>
      <c r="T81" s="62">
        <f t="shared" si="88"/>
        <v>233.71216103405249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3.4</v>
      </c>
      <c r="AI81" s="14">
        <f>IF('Données projet'!$A$62&gt;35,AI80+AH81-AQ80,IF(A81&lt;'Données projet'!$A$62,$AF$205^A81,IF(A81='Données projet'!$A$62,'Données projet'!$B$62,AI80+AH81-AQ80)))</f>
        <v>139.19999999999999</v>
      </c>
      <c r="AJ81" s="14">
        <f>AI81*VLOOKUP('Données projet'!$B$10,Paramètres!$A$1:$I$89,3,0)*VLOOKUP('Données projet'!$B$10,Paramètres!$A$1:$I$89,5,0)</f>
        <v>149.83488</v>
      </c>
      <c r="AK81" s="14">
        <f t="shared" si="89"/>
        <v>38.541059103316854</v>
      </c>
      <c r="AL81" s="22">
        <f t="shared" si="58"/>
        <v>328.08809393827681</v>
      </c>
      <c r="AM81" s="62">
        <f t="shared" si="59"/>
        <v>621.42142727161013</v>
      </c>
      <c r="AN81" s="62">
        <f ca="1">AVERAGE(OFFSET($AM$3,0,0,'Données projet'!$E$10+1,1))-AVERAGE(OFFSET($H$3,0,0,'Données projet'!$E$10+1,1))</f>
        <v>205.99910063756408</v>
      </c>
      <c r="AO81" s="62">
        <f t="shared" si="90"/>
        <v>128.95330275493671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6.7984728957526396E-14</v>
      </c>
      <c r="BF81" s="14">
        <f t="shared" si="91"/>
        <v>1.0682447123141398E-12</v>
      </c>
      <c r="BG81" s="22">
        <f t="shared" si="61"/>
        <v>1.978932943548152E-12</v>
      </c>
      <c r="BH81" s="62">
        <f t="shared" si="62"/>
        <v>293.3333333333353</v>
      </c>
      <c r="BI81" s="62">
        <f ca="1">AVERAGE(OFFSET($BH$3,0,0,'Données projet'!$E$11+1,1))-AVERAGE(OFFSET($H$3,0,0,'Données projet'!$E$11+1,1))</f>
        <v>222.20580087523689</v>
      </c>
      <c r="BJ81" s="62">
        <f t="shared" si="92"/>
        <v>232.08940427392253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3.8682930496689605</v>
      </c>
      <c r="BQ81" s="23">
        <f>EXP(-LN(2)/25)*BQ80+(1-EXP(-LN(2)/25))/(LN(2)/25)*Calculateur!BL81*Calculateur!BN81*VLOOKUP('Données projet'!$B$11,Paramètres!$A$1:$I$89,3,0)*0.475*44/12</f>
        <v>4.3432970234695718</v>
      </c>
      <c r="BR81" s="23">
        <f>EXP(-LN(2)/2)*BR80+(1-EXP(-LN(2)/2))/(LN(2)/2)*BL81*BO81*VLOOKUP('Données projet'!$B$11,Paramètres!$A$1:$I$89,3,0)*0.475*44/12</f>
        <v>3.7789112007164024E-7</v>
      </c>
      <c r="BS81" s="24">
        <f t="shared" si="63"/>
        <v>8.211590451029652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9.001923076923072</v>
      </c>
      <c r="BY81" s="13">
        <f>IF('Données projet'!$A$114&gt;35,BY80+BX81-CG80,IF(A81&lt;'Données projet'!$A$114,$BV$205^A81,IF(A81='Données projet'!$A$114,'Données projet'!$B$114,BY80+BX81-CG80)))</f>
        <v>302.12115384615424</v>
      </c>
      <c r="BZ81" s="14">
        <f>BY81*VLOOKUP('Données projet'!$B$12,Paramètres!$A$1:$I$89,3,0)*VLOOKUP('Données projet'!$B$12,Paramètres!$A$1:$I$89,5,0)</f>
        <v>141.39270000000019</v>
      </c>
      <c r="CA81" s="14">
        <f t="shared" si="93"/>
        <v>36.615869470582794</v>
      </c>
      <c r="CB81" s="22">
        <f t="shared" si="64"/>
        <v>310.031591827932</v>
      </c>
      <c r="CC81" s="62">
        <f t="shared" si="65"/>
        <v>603.36492516126532</v>
      </c>
      <c r="CD81" s="62">
        <f ca="1">AVERAGE(OFFSET($CC$3,0,0,'Données projet'!$E$12+1,1))-AVERAGE(OFFSET($H$3,0,0,'Données projet'!$E$12+1,1))</f>
        <v>179.14256291235466</v>
      </c>
      <c r="CE81" s="62">
        <f t="shared" si="94"/>
        <v>107.5256983607585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7.5584615384615343</v>
      </c>
      <c r="CT81" s="13">
        <f>IF('Données projet'!$A$140&gt;35,CT80+CS81-DB80,IF(A81&lt;'Données projet'!$A$140,$CQ$205^A81,IF(A81='Données projet'!$A$140,'Données projet'!$B$140,CT80+CS81-DB80)))</f>
        <v>387.79076923076894</v>
      </c>
      <c r="CU81" s="18">
        <f>CT81*VLOOKUP('Données projet'!$B$13,Paramètres!$A$1:$I$89,3,0)*VLOOKUP('Données projet'!$B$13,Paramètres!$A$1:$I$89,5,0)</f>
        <v>231.89887999999985</v>
      </c>
      <c r="CV81" s="14">
        <f t="shared" si="95"/>
        <v>56.693067102008712</v>
      </c>
      <c r="CW81" s="22">
        <f t="shared" si="67"/>
        <v>502.63097453599829</v>
      </c>
      <c r="CX81" s="62">
        <f t="shared" si="68"/>
        <v>795.96430786933161</v>
      </c>
      <c r="CY81" s="62">
        <f ca="1">AVERAGE(OFFSET($CX$3,0,0,'Données projet'!$E$13+1,1))-AVERAGE(OFFSET($H$3,0,0,'Données projet'!$E$13+1,1))</f>
        <v>237.03649693529445</v>
      </c>
      <c r="CZ81" s="62">
        <f t="shared" si="96"/>
        <v>191.04289411674887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3.1369145972999576E-7</v>
      </c>
      <c r="DI81" s="24">
        <f t="shared" si="69"/>
        <v>3.1369145972999576E-7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3.7879999999999994</v>
      </c>
      <c r="DO81" s="13">
        <f>IF('Données projet'!$A$166&gt;35,DO80+DN81-DW80,IF(A81&lt;'Données projet'!$A$166,$DL$205^A81,IF(A81='Données projet'!$A$166,'Données projet'!$B$166,DO80+DN81-DW80)))</f>
        <v>232.77400000000003</v>
      </c>
      <c r="DP81" s="18">
        <f>DO81*VLOOKUP('Données projet'!$B$14,Paramètres!$A$1:$I$89,3,0)*VLOOKUP('Données projet'!$B$14,Paramètres!$A$1:$I$89,5,0)</f>
        <v>268.15564799999999</v>
      </c>
      <c r="DQ81" s="14">
        <f t="shared" si="97"/>
        <v>64.457695235830428</v>
      </c>
      <c r="DR81" s="22">
        <f t="shared" si="70"/>
        <v>579.30157280240462</v>
      </c>
      <c r="DS81" s="62">
        <f t="shared" si="71"/>
        <v>872.63490613573799</v>
      </c>
      <c r="DT81" s="62">
        <f ca="1">AVERAGE(OFFSET($DS$3,0,0,'Données projet'!$E$14+1,1))-AVERAGE(OFFSET($H$3,0,0,'Données projet'!$E$14+1,1))</f>
        <v>431.38469096974364</v>
      </c>
      <c r="DU81" s="62">
        <f t="shared" si="98"/>
        <v>295.48627059086647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0.25884419933659142</v>
      </c>
      <c r="EC81" s="23">
        <f>EXP(-LN(2)/2)*EC80+(1-EXP(-LN(2)/2))/(LN(2)/2)*DW81*DZ81*VLOOKUP('Données projet'!$B$14,Paramètres!$A$1:$I$89,3,0)*0.475*44/12</f>
        <v>2.2878856662057579E-7</v>
      </c>
      <c r="ED81" s="24">
        <f t="shared" si="72"/>
        <v>0.25884442812515807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3.4</v>
      </c>
      <c r="EJ81" s="13">
        <f>IF('Données projet'!$A$192&gt;35,EJ80+EI81-ER80,IF(A81&lt;'Données projet'!$A$192,$EG$205^A81,IF(A81='Données projet'!$A$192,'Données projet'!$B$192,EJ80+EI81-ER80)))</f>
        <v>139.19999999999999</v>
      </c>
      <c r="EK81" s="18">
        <f>EJ81*VLOOKUP('Données projet'!$B$15,Paramètres!$A$1:$I$89,3,0)*VLOOKUP('Données projet'!$B$15,Paramètres!$A$1:$I$89,5,0)</f>
        <v>158.52095999999997</v>
      </c>
      <c r="EL81" s="14">
        <f t="shared" si="99"/>
        <v>40.508733707832626</v>
      </c>
      <c r="EM81" s="22">
        <f t="shared" si="73"/>
        <v>346.64338320780843</v>
      </c>
      <c r="EN81" s="62">
        <f t="shared" si="74"/>
        <v>639.97671654114174</v>
      </c>
      <c r="EO81" s="62">
        <f ca="1">AVERAGE(OFFSET($EN$3,0,0,'Données projet'!$E$15+1,1))-AVERAGE(OFFSET($H$3,0,0,'Données projet'!$E$15+1,1))</f>
        <v>220.03635832253951</v>
      </c>
      <c r="EP81" s="62">
        <f t="shared" si="100"/>
        <v>136.30639155882233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3.2</v>
      </c>
      <c r="FE81" s="13">
        <f>IF('Données projet'!$A$218&gt;35,FE80+FD81-FM80,IF(A81&lt;'Données projet'!$A$218,$FB$205^A81,IF(A81='Données projet'!$A$218,'Données projet'!$B$218,FE80+FD81-FM80)))</f>
        <v>411.60000000000036</v>
      </c>
      <c r="FF81" s="18">
        <f>FE81*VLOOKUP('Données projet'!$B$16,Paramètres!$A$1:$I$89,3,0)*VLOOKUP('Données projet'!$B$16,Paramètres!$A$1:$I$89,5,0)</f>
        <v>430.20432000000045</v>
      </c>
      <c r="FG81" s="14">
        <f t="shared" si="101"/>
        <v>97.873943954941311</v>
      </c>
      <c r="FH81" s="22">
        <f t="shared" si="76"/>
        <v>919.73630972152353</v>
      </c>
      <c r="FI81" s="62">
        <f t="shared" si="77"/>
        <v>1213.0696430548569</v>
      </c>
      <c r="FJ81" s="62">
        <f ca="1">AVERAGE(OFFSET($FI$3,0,0,'Données projet'!$E$16+1,1))-AVERAGE(OFFSET($H$3,0,0,'Données projet'!$E$16+1,1))</f>
        <v>641.62708445664862</v>
      </c>
      <c r="FK81" s="62">
        <f t="shared" si="102"/>
        <v>379.46845863546929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1.2931725552798644E-6</v>
      </c>
      <c r="FT81" s="24">
        <f t="shared" si="78"/>
        <v>1.2931725552798644E-6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3.4</v>
      </c>
      <c r="FZ81" s="13">
        <f>IF('Données projet'!$A$244&gt;35,FZ80+FY81-GH80,IF(A81&lt;'Données projet'!$A$244,$FW$205^A81,IF(A81='Données projet'!$A$244,'Données projet'!$B$244,FZ80+FY81-GH80)))</f>
        <v>139.19999999999999</v>
      </c>
      <c r="GA81" s="18">
        <f>FZ81*VLOOKUP('Données projet'!$B$17,Paramètres!$A$1:$I$89,3,0)*VLOOKUP('Données projet'!$B$17,Paramètres!$A$1:$I$89,5,0)</f>
        <v>134.63423999999998</v>
      </c>
      <c r="GB81" s="14">
        <f t="shared" si="103"/>
        <v>35.065003380589694</v>
      </c>
      <c r="GC81" s="22">
        <f t="shared" si="79"/>
        <v>295.55951555452697</v>
      </c>
      <c r="GD81" s="62">
        <f t="shared" si="80"/>
        <v>588.89284888786028</v>
      </c>
      <c r="GE81" s="62">
        <f ca="1">AVERAGE(OFFSET($GD$3,0,0,'Données projet'!$E$17+1,1))-AVERAGE(OFFSET($H$3,0,0,'Données projet'!$E$17+1,1))</f>
        <v>181.39066880931728</v>
      </c>
      <c r="GF81" s="62">
        <f t="shared" si="104"/>
        <v>116.06078566855524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1.8</v>
      </c>
      <c r="GU81" s="13">
        <f>IF('Données projet'!$A$270&gt;35,GU80+GT81-HC80,IF(A81&lt;'Données projet'!$A$270,$GR$205^A81,IF(A81='Données projet'!$A$270,'Données projet'!$B$270,GU80+GT81-HC80)))</f>
        <v>160.39999999999981</v>
      </c>
      <c r="GV81" s="18">
        <f>GU81*VLOOKUP('Données projet'!$B$18,Paramètres!$A$1:$I$89,3,0)*VLOOKUP('Données projet'!$B$18,Paramètres!$A$1:$I$89,5,0)</f>
        <v>140.12543999999986</v>
      </c>
      <c r="GW81" s="14">
        <f t="shared" si="105"/>
        <v>36.325740539490781</v>
      </c>
      <c r="GX81" s="22">
        <f t="shared" si="82"/>
        <v>307.3191394396128</v>
      </c>
      <c r="GY81" s="62">
        <f t="shared" si="83"/>
        <v>600.65247277294611</v>
      </c>
      <c r="GZ81" s="62">
        <f ca="1">AVERAGE(OFFSET($GY$3,0,0,'Données projet'!$E$18+1,1))-AVERAGE(OFFSET($H$3,0,0,'Données projet'!$E$18+1,1))</f>
        <v>152.84277478695606</v>
      </c>
      <c r="HA81" s="62">
        <f t="shared" si="106"/>
        <v>179.22995976651015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9">
        <f t="shared" si="56"/>
        <v>354.12969276420569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279.86399999999986</v>
      </c>
      <c r="P82" s="14">
        <f t="shared" si="87"/>
        <v>66.938267358965007</v>
      </c>
      <c r="Q82" s="22">
        <f t="shared" si="54"/>
        <v>604.01394898353044</v>
      </c>
      <c r="R82" s="62">
        <f t="shared" si="55"/>
        <v>897.34728231686381</v>
      </c>
      <c r="S82" s="62">
        <f ca="1">AVERAGE(OFFSET($R$3,0,0,'Données projet'!$E$9+1,1))-AVERAGE(OFFSET($H$3,0,0,'Données projet'!$E$9+1,1))</f>
        <v>383.26814640166805</v>
      </c>
      <c r="T82" s="62">
        <f t="shared" si="88"/>
        <v>233.71216103405249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3.4</v>
      </c>
      <c r="AI82" s="14">
        <f>IF('Données projet'!$A$62&gt;35,AI81+AH82-AQ81,IF(A82&lt;'Données projet'!$A$62,$AF$205^A82,IF(A82='Données projet'!$A$62,'Données projet'!$B$62,AI81+AH82-AQ81)))</f>
        <v>142.6</v>
      </c>
      <c r="AJ82" s="14">
        <f>AI82*VLOOKUP('Données projet'!$B$10,Paramètres!$A$1:$I$89,3,0)*VLOOKUP('Données projet'!$B$10,Paramètres!$A$1:$I$89,5,0)</f>
        <v>153.49464</v>
      </c>
      <c r="AK82" s="14">
        <f t="shared" si="89"/>
        <v>39.371687492841382</v>
      </c>
      <c r="AL82" s="22">
        <f t="shared" si="58"/>
        <v>335.90885371669873</v>
      </c>
      <c r="AM82" s="62">
        <f t="shared" si="59"/>
        <v>629.24218705003204</v>
      </c>
      <c r="AN82" s="62">
        <f ca="1">AVERAGE(OFFSET($AM$3,0,0,'Données projet'!$E$10+1,1))-AVERAGE(OFFSET($H$3,0,0,'Données projet'!$E$10+1,1))</f>
        <v>205.99910063756408</v>
      </c>
      <c r="AO82" s="62">
        <f t="shared" si="90"/>
        <v>128.95330275493671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6.7984728957526396E-14</v>
      </c>
      <c r="BF82" s="14">
        <f t="shared" si="91"/>
        <v>1.0682447123141398E-12</v>
      </c>
      <c r="BG82" s="22">
        <f t="shared" si="61"/>
        <v>1.978932943548152E-12</v>
      </c>
      <c r="BH82" s="62">
        <f t="shared" si="62"/>
        <v>293.3333333333353</v>
      </c>
      <c r="BI82" s="62">
        <f ca="1">AVERAGE(OFFSET($BH$3,0,0,'Données projet'!$E$11+1,1))-AVERAGE(OFFSET($H$3,0,0,'Données projet'!$E$11+1,1))</f>
        <v>222.20580087523689</v>
      </c>
      <c r="BJ82" s="62">
        <f t="shared" si="92"/>
        <v>232.08940427392253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3.7924381823907387</v>
      </c>
      <c r="BQ82" s="23">
        <f>EXP(-LN(2)/25)*BQ81+(1-EXP(-LN(2)/25))/(LN(2)/25)*Calculateur!BL82*Calculateur!BN82*VLOOKUP('Données projet'!$B$11,Paramètres!$A$1:$I$89,3,0)*0.475*44/12</f>
        <v>4.2245293379587325</v>
      </c>
      <c r="BR82" s="23">
        <f>EXP(-LN(2)/2)*BR81+(1-EXP(-LN(2)/2))/(LN(2)/2)*BL82*BO82*VLOOKUP('Données projet'!$B$11,Paramètres!$A$1:$I$89,3,0)*0.475*44/12</f>
        <v>2.6720937355283667E-7</v>
      </c>
      <c r="BS82" s="24">
        <f t="shared" si="63"/>
        <v>8.0169677875588441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9.001923076923072</v>
      </c>
      <c r="BY82" s="13">
        <f>IF('Données projet'!$A$114&gt;35,BY81+BX82-CG81,IF(A82&lt;'Données projet'!$A$114,$BV$205^A82,IF(A82='Données projet'!$A$114,'Données projet'!$B$114,BY81+BX82-CG81)))</f>
        <v>311.12307692307729</v>
      </c>
      <c r="BZ82" s="14">
        <f>BY82*VLOOKUP('Données projet'!$B$12,Paramètres!$A$1:$I$89,3,0)*VLOOKUP('Données projet'!$B$12,Paramètres!$A$1:$I$89,5,0)</f>
        <v>145.60560000000018</v>
      </c>
      <c r="CA82" s="14">
        <f t="shared" si="93"/>
        <v>37.578220882267132</v>
      </c>
      <c r="CB82" s="22">
        <f t="shared" si="64"/>
        <v>319.04515470328221</v>
      </c>
      <c r="CC82" s="62">
        <f t="shared" si="65"/>
        <v>612.37848803661552</v>
      </c>
      <c r="CD82" s="62">
        <f ca="1">AVERAGE(OFFSET($CC$3,0,0,'Données projet'!$E$12+1,1))-AVERAGE(OFFSET($H$3,0,0,'Données projet'!$E$12+1,1))</f>
        <v>179.14256291235466</v>
      </c>
      <c r="CE82" s="62">
        <f t="shared" si="94"/>
        <v>107.5256983607585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7.5584615384615343</v>
      </c>
      <c r="CT82" s="13">
        <f>IF('Données projet'!$A$140&gt;35,CT81+CS82-DB81,IF(A82&lt;'Données projet'!$A$140,$CQ$205^A82,IF(A82='Données projet'!$A$140,'Données projet'!$B$140,CT81+CS82-DB81)))</f>
        <v>395.34923076923047</v>
      </c>
      <c r="CU82" s="18">
        <f>CT82*VLOOKUP('Données projet'!$B$13,Paramètres!$A$1:$I$89,3,0)*VLOOKUP('Données projet'!$B$13,Paramètres!$A$1:$I$89,5,0)</f>
        <v>236.41883999999985</v>
      </c>
      <c r="CV82" s="14">
        <f t="shared" si="95"/>
        <v>57.668353588027863</v>
      </c>
      <c r="CW82" s="22">
        <f t="shared" si="67"/>
        <v>512.20186216581487</v>
      </c>
      <c r="CX82" s="62">
        <f t="shared" si="68"/>
        <v>805.53519549914813</v>
      </c>
      <c r="CY82" s="62">
        <f ca="1">AVERAGE(OFFSET($CX$3,0,0,'Données projet'!$E$13+1,1))-AVERAGE(OFFSET($H$3,0,0,'Données projet'!$E$13+1,1))</f>
        <v>237.03649693529445</v>
      </c>
      <c r="CZ82" s="62">
        <f t="shared" si="96"/>
        <v>191.04289411674887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2.218133583753868E-7</v>
      </c>
      <c r="DI82" s="24">
        <f t="shared" si="69"/>
        <v>2.218133583753868E-7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3.7879999999999994</v>
      </c>
      <c r="DO82" s="13">
        <f>IF('Données projet'!$A$166&gt;35,DO81+DN82-DW81,IF(A82&lt;'Données projet'!$A$166,$DL$205^A82,IF(A82='Données projet'!$A$166,'Données projet'!$B$166,DO81+DN82-DW81)))</f>
        <v>236.56200000000004</v>
      </c>
      <c r="DP82" s="18">
        <f>DO82*VLOOKUP('Données projet'!$B$14,Paramètres!$A$1:$I$89,3,0)*VLOOKUP('Données projet'!$B$14,Paramètres!$A$1:$I$89,5,0)</f>
        <v>272.51942400000001</v>
      </c>
      <c r="DQ82" s="14">
        <f t="shared" si="97"/>
        <v>65.383665275295641</v>
      </c>
      <c r="DR82" s="22">
        <f t="shared" si="70"/>
        <v>588.51454715447323</v>
      </c>
      <c r="DS82" s="62">
        <f t="shared" si="71"/>
        <v>881.84788048780661</v>
      </c>
      <c r="DT82" s="62">
        <f ca="1">AVERAGE(OFFSET($DS$3,0,0,'Données projet'!$E$14+1,1))-AVERAGE(OFFSET($H$3,0,0,'Données projet'!$E$14+1,1))</f>
        <v>431.38469096974364</v>
      </c>
      <c r="DU82" s="62">
        <f t="shared" si="98"/>
        <v>295.48627059086647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0.25176609109370746</v>
      </c>
      <c r="EC82" s="23">
        <f>EXP(-LN(2)/2)*EC81+(1-EXP(-LN(2)/2))/(LN(2)/2)*DW82*DZ82*VLOOKUP('Données projet'!$B$14,Paramètres!$A$1:$I$89,3,0)*0.475*44/12</f>
        <v>1.6177794691535933E-7</v>
      </c>
      <c r="ED82" s="24">
        <f t="shared" si="72"/>
        <v>0.25176625287165438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3.4</v>
      </c>
      <c r="EJ82" s="13">
        <f>IF('Données projet'!$A$192&gt;35,EJ81+EI82-ER81,IF(A82&lt;'Données projet'!$A$192,$EG$205^A82,IF(A82='Données projet'!$A$192,'Données projet'!$B$192,EJ81+EI82-ER81)))</f>
        <v>142.6</v>
      </c>
      <c r="EK82" s="18">
        <f>EJ82*VLOOKUP('Données projet'!$B$15,Paramètres!$A$1:$I$89,3,0)*VLOOKUP('Données projet'!$B$15,Paramètres!$A$1:$I$89,5,0)</f>
        <v>162.39287999999999</v>
      </c>
      <c r="EL82" s="14">
        <f t="shared" si="99"/>
        <v>41.381768985644122</v>
      </c>
      <c r="EM82" s="22">
        <f t="shared" si="73"/>
        <v>354.90751364999682</v>
      </c>
      <c r="EN82" s="62">
        <f t="shared" si="74"/>
        <v>648.24084698333013</v>
      </c>
      <c r="EO82" s="62">
        <f ca="1">AVERAGE(OFFSET($EN$3,0,0,'Données projet'!$E$15+1,1))-AVERAGE(OFFSET($H$3,0,0,'Données projet'!$E$15+1,1))</f>
        <v>220.03635832253951</v>
      </c>
      <c r="EP82" s="62">
        <f t="shared" si="100"/>
        <v>136.30639155882233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3.2</v>
      </c>
      <c r="FE82" s="13">
        <f>IF('Données projet'!$A$218&gt;35,FE81+FD82-FM81,IF(A82&lt;'Données projet'!$A$218,$FB$205^A82,IF(A82='Données projet'!$A$218,'Données projet'!$B$218,FE81+FD82-FM81)))</f>
        <v>414.80000000000035</v>
      </c>
      <c r="FF82" s="18">
        <f>FE82*VLOOKUP('Données projet'!$B$16,Paramètres!$A$1:$I$89,3,0)*VLOOKUP('Données projet'!$B$16,Paramètres!$A$1:$I$89,5,0)</f>
        <v>433.54896000000048</v>
      </c>
      <c r="FG82" s="14">
        <f t="shared" si="101"/>
        <v>98.545993701703424</v>
      </c>
      <c r="FH82" s="22">
        <f t="shared" si="76"/>
        <v>926.73204436380081</v>
      </c>
      <c r="FI82" s="62">
        <f t="shared" si="77"/>
        <v>1220.0653776971342</v>
      </c>
      <c r="FJ82" s="62">
        <f ca="1">AVERAGE(OFFSET($FI$3,0,0,'Données projet'!$E$16+1,1))-AVERAGE(OFFSET($H$3,0,0,'Données projet'!$E$16+1,1))</f>
        <v>641.62708445664862</v>
      </c>
      <c r="FK82" s="62">
        <f t="shared" si="102"/>
        <v>379.46845863546929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9.1441108308272765E-7</v>
      </c>
      <c r="FT82" s="24">
        <f t="shared" si="78"/>
        <v>9.1441108308272765E-7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3.4</v>
      </c>
      <c r="FZ82" s="13">
        <f>IF('Données projet'!$A$244&gt;35,FZ81+FY82-GH81,IF(A82&lt;'Données projet'!$A$244,$FW$205^A82,IF(A82='Données projet'!$A$244,'Données projet'!$B$244,FZ81+FY82-GH81)))</f>
        <v>142.6</v>
      </c>
      <c r="GA82" s="18">
        <f>FZ82*VLOOKUP('Données projet'!$B$17,Paramètres!$A$1:$I$89,3,0)*VLOOKUP('Données projet'!$B$17,Paramètres!$A$1:$I$89,5,0)</f>
        <v>137.92272</v>
      </c>
      <c r="GB82" s="14">
        <f t="shared" si="103"/>
        <v>35.82071658526872</v>
      </c>
      <c r="GC82" s="22">
        <f t="shared" si="79"/>
        <v>302.60315205267631</v>
      </c>
      <c r="GD82" s="62">
        <f t="shared" si="80"/>
        <v>595.93648538600962</v>
      </c>
      <c r="GE82" s="62">
        <f ca="1">AVERAGE(OFFSET($GD$3,0,0,'Données projet'!$E$17+1,1))-AVERAGE(OFFSET($H$3,0,0,'Données projet'!$E$17+1,1))</f>
        <v>181.39066880931728</v>
      </c>
      <c r="GF82" s="62">
        <f t="shared" si="104"/>
        <v>116.06078566855524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1.8</v>
      </c>
      <c r="GU82" s="13">
        <f>IF('Données projet'!$A$270&gt;35,GU81+GT82-HC81,IF(A82&lt;'Données projet'!$A$270,$GR$205^A82,IF(A82='Données projet'!$A$270,'Données projet'!$B$270,GU81+GT82-HC81)))</f>
        <v>162.19999999999982</v>
      </c>
      <c r="GV82" s="18">
        <f>GU82*VLOOKUP('Données projet'!$B$18,Paramètres!$A$1:$I$89,3,0)*VLOOKUP('Données projet'!$B$18,Paramètres!$A$1:$I$89,5,0)</f>
        <v>141.69791999999987</v>
      </c>
      <c r="GW82" s="14">
        <f t="shared" si="105"/>
        <v>36.685701801209326</v>
      </c>
      <c r="GX82" s="22">
        <f t="shared" si="82"/>
        <v>310.68480797043929</v>
      </c>
      <c r="GY82" s="62">
        <f t="shared" si="83"/>
        <v>604.01814130377261</v>
      </c>
      <c r="GZ82" s="62">
        <f ca="1">AVERAGE(OFFSET($GY$3,0,0,'Données projet'!$E$18+1,1))-AVERAGE(OFFSET($H$3,0,0,'Données projet'!$E$18+1,1))</f>
        <v>152.84277478695606</v>
      </c>
      <c r="HA82" s="62">
        <f t="shared" si="106"/>
        <v>179.22995976651015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9">
        <f t="shared" si="56"/>
        <v>355.33030558297088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285.94799999999992</v>
      </c>
      <c r="P83" s="14">
        <f t="shared" si="87"/>
        <v>68.222450362989363</v>
      </c>
      <c r="Q83" s="22">
        <f t="shared" si="54"/>
        <v>616.84686771553959</v>
      </c>
      <c r="R83" s="62">
        <f t="shared" si="55"/>
        <v>910.18020104887296</v>
      </c>
      <c r="S83" s="62">
        <f ca="1">AVERAGE(OFFSET($R$3,0,0,'Données projet'!$E$9+1,1))-AVERAGE(OFFSET($H$3,0,0,'Données projet'!$E$9+1,1))</f>
        <v>383.26814640166805</v>
      </c>
      <c r="T83" s="62">
        <f t="shared" si="88"/>
        <v>233.71216103405249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146</v>
      </c>
      <c r="AG83" s="13">
        <f>VLOOKUP(A83,'Données projet'!$A$61:$I$81,9,0)</f>
        <v>3.4</v>
      </c>
      <c r="AH83" s="13">
        <f t="array" ref="AH83">INDEX(AG:AG,MIN(IF(ISNUMBER(AG83:AG279),ROW(AG83:AG279),"")))</f>
        <v>3.4</v>
      </c>
      <c r="AI83" s="14">
        <f>IF('Données projet'!$A$62&gt;35,AI82+AH83-AQ82,IF(A83&lt;'Données projet'!$A$62,$AF$205^A83,IF(A83='Données projet'!$A$62,'Données projet'!$B$62,AI82+AH83-AQ82)))</f>
        <v>146</v>
      </c>
      <c r="AJ83" s="14">
        <f>AI83*VLOOKUP('Données projet'!$B$10,Paramètres!$A$1:$I$89,3,0)*VLOOKUP('Données projet'!$B$10,Paramètres!$A$1:$I$89,5,0)</f>
        <v>157.15440000000001</v>
      </c>
      <c r="AK83" s="14">
        <f t="shared" si="89"/>
        <v>40.200013591870956</v>
      </c>
      <c r="AL83" s="22">
        <f t="shared" si="58"/>
        <v>343.72560367250861</v>
      </c>
      <c r="AM83" s="62">
        <f t="shared" si="59"/>
        <v>637.05893700584193</v>
      </c>
      <c r="AN83" s="62">
        <f ca="1">AVERAGE(OFFSET($AM$3,0,0,'Données projet'!$E$10+1,1))-AVERAGE(OFFSET($H$3,0,0,'Données projet'!$E$10+1,1))</f>
        <v>205.99910063756408</v>
      </c>
      <c r="AO83" s="62">
        <f t="shared" si="90"/>
        <v>128.95330275493671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6.7984728957526396E-14</v>
      </c>
      <c r="BF83" s="14">
        <f t="shared" si="91"/>
        <v>1.0682447123141398E-12</v>
      </c>
      <c r="BG83" s="22">
        <f t="shared" si="61"/>
        <v>1.978932943548152E-12</v>
      </c>
      <c r="BH83" s="62">
        <f t="shared" si="62"/>
        <v>293.3333333333353</v>
      </c>
      <c r="BI83" s="62">
        <f ca="1">AVERAGE(OFFSET($BH$3,0,0,'Données projet'!$E$11+1,1))-AVERAGE(OFFSET($H$3,0,0,'Données projet'!$E$11+1,1))</f>
        <v>222.20580087523689</v>
      </c>
      <c r="BJ83" s="62">
        <f t="shared" si="92"/>
        <v>232.08940427392253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3.718070782792942</v>
      </c>
      <c r="BQ83" s="23">
        <f>EXP(-LN(2)/25)*BQ82+(1-EXP(-LN(2)/25))/(LN(2)/25)*Calculateur!BL83*Calculateur!BN83*VLOOKUP('Données projet'!$B$11,Paramètres!$A$1:$I$89,3,0)*0.475*44/12</f>
        <v>4.109009361053908</v>
      </c>
      <c r="BR83" s="23">
        <f>EXP(-LN(2)/2)*BR82+(1-EXP(-LN(2)/2))/(LN(2)/2)*BL83*BO83*VLOOKUP('Données projet'!$B$11,Paramètres!$A$1:$I$89,3,0)*0.475*44/12</f>
        <v>1.8894556003582012E-7</v>
      </c>
      <c r="BS83" s="24">
        <f t="shared" si="63"/>
        <v>7.8270803327924092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9.001923076923072</v>
      </c>
      <c r="BY83" s="13">
        <f>IF('Données projet'!$A$114&gt;35,BY82+BX83-CG82,IF(A83&lt;'Données projet'!$A$114,$BV$205^A83,IF(A83='Données projet'!$A$114,'Données projet'!$B$114,BY82+BX83-CG82)))</f>
        <v>320.12500000000034</v>
      </c>
      <c r="BZ83" s="14">
        <f>BY83*VLOOKUP('Données projet'!$B$12,Paramètres!$A$1:$I$89,3,0)*VLOOKUP('Données projet'!$B$12,Paramètres!$A$1:$I$89,5,0)</f>
        <v>149.81850000000017</v>
      </c>
      <c r="CA83" s="14">
        <f t="shared" si="93"/>
        <v>38.537336188594026</v>
      </c>
      <c r="CB83" s="22">
        <f t="shared" si="64"/>
        <v>328.0530813618015</v>
      </c>
      <c r="CC83" s="62">
        <f t="shared" si="65"/>
        <v>621.38641469513482</v>
      </c>
      <c r="CD83" s="62">
        <f ca="1">AVERAGE(OFFSET($CC$3,0,0,'Données projet'!$E$12+1,1))-AVERAGE(OFFSET($H$3,0,0,'Données projet'!$E$12+1,1))</f>
        <v>179.14256291235466</v>
      </c>
      <c r="CE83" s="62">
        <f t="shared" si="94"/>
        <v>107.5256983607585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402.90769230769229</v>
      </c>
      <c r="CR83" s="13">
        <f>VLOOKUP(A83,'Données projet'!$A$139:$I$159,9,0)</f>
        <v>7.5584615384615343</v>
      </c>
      <c r="CS83" s="13">
        <f t="array" ref="CS83">INDEX(CR:CR,MIN(IF(ISNUMBER(CR83:CR279),ROW(CR83:CR279),"")))</f>
        <v>7.5584615384615343</v>
      </c>
      <c r="CT83" s="13">
        <f>IF('Données projet'!$A$140&gt;35,CT82+CS83-DB82,IF(A83&lt;'Données projet'!$A$140,$CQ$205^A83,IF(A83='Données projet'!$A$140,'Données projet'!$B$140,CT82+CS83-DB82)))</f>
        <v>402.907692307692</v>
      </c>
      <c r="CU83" s="18">
        <f>CT83*VLOOKUP('Données projet'!$B$13,Paramètres!$A$1:$I$89,3,0)*VLOOKUP('Données projet'!$B$13,Paramètres!$A$1:$I$89,5,0)</f>
        <v>240.93879999999982</v>
      </c>
      <c r="CV83" s="14">
        <f t="shared" si="95"/>
        <v>58.64147195802866</v>
      </c>
      <c r="CW83" s="22">
        <f t="shared" si="67"/>
        <v>521.76897366023286</v>
      </c>
      <c r="CX83" s="62">
        <f t="shared" si="68"/>
        <v>815.10230699356612</v>
      </c>
      <c r="CY83" s="62">
        <f ca="1">AVERAGE(OFFSET($CX$3,0,0,'Données projet'!$E$13+1,1))-AVERAGE(OFFSET($H$3,0,0,'Données projet'!$E$13+1,1))</f>
        <v>237.03649693529445</v>
      </c>
      <c r="CZ83" s="62">
        <f t="shared" si="96"/>
        <v>191.04289411674887</v>
      </c>
      <c r="DA83" s="16">
        <f>IF(ISNA(VLOOKUP(A83,'Données projet'!$A$139:$I$159,3,0)),0,VLOOKUP(A83,'Données projet'!$A$139:$I$159,3,0))</f>
        <v>8</v>
      </c>
      <c r="DB83" s="16">
        <f>IF(ISNA(VLOOKUP(A83,'Données projet'!$A$139:$I$159,4,0)),0,VLOOKUP(A83,'Données projet'!$A$139:$I$159,4,0))</f>
        <v>402.90769230769229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1.5684572986499788E-7</v>
      </c>
      <c r="DI83" s="24">
        <f t="shared" si="69"/>
        <v>1.5684572986499788E-7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240.35</v>
      </c>
      <c r="DM83" s="13">
        <f>VLOOKUP(A83,'Données projet'!$A$165:$I$185,9,0)</f>
        <v>3.7879999999999994</v>
      </c>
      <c r="DN83" s="13">
        <f t="array" ref="DN83">INDEX(DM:DM,MIN(IF(ISNUMBER(DM83:DM279),ROW(DM83:DM279),"")))</f>
        <v>3.7879999999999994</v>
      </c>
      <c r="DO83" s="13">
        <f>IF('Données projet'!$A$166&gt;35,DO82+DN83-DW82,IF(A83&lt;'Données projet'!$A$166,$DL$205^A83,IF(A83='Données projet'!$A$166,'Données projet'!$B$166,DO82+DN83-DW82)))</f>
        <v>240.35000000000005</v>
      </c>
      <c r="DP83" s="18">
        <f>DO83*VLOOKUP('Données projet'!$B$14,Paramètres!$A$1:$I$89,3,0)*VLOOKUP('Données projet'!$B$14,Paramètres!$A$1:$I$89,5,0)</f>
        <v>276.88320000000004</v>
      </c>
      <c r="DQ83" s="14">
        <f t="shared" si="97"/>
        <v>66.307910947170427</v>
      </c>
      <c r="DR83" s="22">
        <f t="shared" si="70"/>
        <v>597.72451823298854</v>
      </c>
      <c r="DS83" s="62">
        <f t="shared" si="71"/>
        <v>891.05785156632192</v>
      </c>
      <c r="DT83" s="62">
        <f ca="1">AVERAGE(OFFSET($DS$3,0,0,'Données projet'!$E$14+1,1))-AVERAGE(OFFSET($H$3,0,0,'Données projet'!$E$14+1,1))</f>
        <v>431.38469096974364</v>
      </c>
      <c r="DU83" s="62">
        <f t="shared" si="98"/>
        <v>295.48627059086647</v>
      </c>
      <c r="DV83" s="16">
        <f>IF(ISNA(VLOOKUP(A83,'Données projet'!$A$165:$I$185,3,0)),0,VLOOKUP(A83,'Données projet'!$A$165:$I$185,3,0))</f>
        <v>8</v>
      </c>
      <c r="DW83" s="16">
        <f>IF(ISNA(VLOOKUP(A83,'Données projet'!$A$165:$I$185,4,0)),0,VLOOKUP(A83,'Données projet'!$A$165:$I$185,4,0))</f>
        <v>22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0.24488153409294672</v>
      </c>
      <c r="EC83" s="23">
        <f>EXP(-LN(2)/2)*EC82+(1-EXP(-LN(2)/2))/(LN(2)/2)*DW83*DZ83*VLOOKUP('Données projet'!$B$14,Paramètres!$A$1:$I$89,3,0)*0.475*44/12</f>
        <v>1.1439428331028789E-7</v>
      </c>
      <c r="ED83" s="24">
        <f t="shared" si="72"/>
        <v>0.24488164848723004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146</v>
      </c>
      <c r="EH83" s="13">
        <f>VLOOKUP(A83,'Données projet'!$A$191:$I$211,9,0)</f>
        <v>3.4</v>
      </c>
      <c r="EI83" s="13">
        <f t="array" ref="EI83">INDEX(EH:EH,MIN(IF(ISNUMBER(EH83:EH279),ROW(EH83:EH279),"")))</f>
        <v>3.4</v>
      </c>
      <c r="EJ83" s="13">
        <f>IF('Données projet'!$A$192&gt;35,EJ82+EI83-ER82,IF(A83&lt;'Données projet'!$A$192,$EG$205^A83,IF(A83='Données projet'!$A$192,'Données projet'!$B$192,EJ82+EI83-ER82)))</f>
        <v>146</v>
      </c>
      <c r="EK83" s="18">
        <f>EJ83*VLOOKUP('Données projet'!$B$15,Paramètres!$A$1:$I$89,3,0)*VLOOKUP('Données projet'!$B$15,Paramètres!$A$1:$I$89,5,0)</f>
        <v>166.26480000000001</v>
      </c>
      <c r="EL83" s="14">
        <f t="shared" si="99"/>
        <v>42.25238443185922</v>
      </c>
      <c r="EM83" s="22">
        <f t="shared" si="73"/>
        <v>363.16742955215483</v>
      </c>
      <c r="EN83" s="62">
        <f t="shared" si="74"/>
        <v>656.50076288548814</v>
      </c>
      <c r="EO83" s="62">
        <f ca="1">AVERAGE(OFFSET($EN$3,0,0,'Données projet'!$E$15+1,1))-AVERAGE(OFFSET($H$3,0,0,'Données projet'!$E$15+1,1))</f>
        <v>220.03635832253951</v>
      </c>
      <c r="EP83" s="62">
        <f t="shared" si="100"/>
        <v>136.30639155882233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418</v>
      </c>
      <c r="FC83" s="13">
        <f>VLOOKUP(A83,'Données projet'!$A$217:$I$237,9,0)</f>
        <v>3.2</v>
      </c>
      <c r="FD83" s="13">
        <f t="array" ref="FD83">INDEX(FC:FC,MIN(IF(ISNUMBER(FC83:FC279),ROW(FC83:FC279),"")))</f>
        <v>3.2</v>
      </c>
      <c r="FE83" s="13">
        <f>IF('Données projet'!$A$218&gt;35,FE82+FD83-FM82,IF(A83&lt;'Données projet'!$A$218,$FB$205^A83,IF(A83='Données projet'!$A$218,'Données projet'!$B$218,FE82+FD83-FM82)))</f>
        <v>418.00000000000034</v>
      </c>
      <c r="FF83" s="18">
        <f>FE83*VLOOKUP('Données projet'!$B$16,Paramètres!$A$1:$I$89,3,0)*VLOOKUP('Données projet'!$B$16,Paramètres!$A$1:$I$89,5,0)</f>
        <v>436.89360000000039</v>
      </c>
      <c r="FG83" s="14">
        <f t="shared" si="101"/>
        <v>99.217440229189535</v>
      </c>
      <c r="FH83" s="22">
        <f t="shared" si="76"/>
        <v>933.72672839917243</v>
      </c>
      <c r="FI83" s="62">
        <f t="shared" si="77"/>
        <v>1227.0600617325058</v>
      </c>
      <c r="FJ83" s="62">
        <f ca="1">AVERAGE(OFFSET($FI$3,0,0,'Données projet'!$E$16+1,1))-AVERAGE(OFFSET($H$3,0,0,'Données projet'!$E$16+1,1))</f>
        <v>641.62708445664862</v>
      </c>
      <c r="FK83" s="62">
        <f t="shared" si="102"/>
        <v>379.46845863546929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35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6.465862776399323E-7</v>
      </c>
      <c r="FT83" s="24">
        <f t="shared" si="78"/>
        <v>6.465862776399323E-7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146</v>
      </c>
      <c r="FX83" s="13">
        <f>VLOOKUP(A83,'Données projet'!$A$243:$I$263,9,0)</f>
        <v>3.4</v>
      </c>
      <c r="FY83" s="13">
        <f t="array" ref="FY83">INDEX(FX:FX,MIN(IF(ISNUMBER(FX83:FX279),ROW(FX83:FX279),"")))</f>
        <v>3.4</v>
      </c>
      <c r="FZ83" s="13">
        <f>IF('Données projet'!$A$244&gt;35,FZ82+FY83-GH82,IF(A83&lt;'Données projet'!$A$244,$FW$205^A83,IF(A83='Données projet'!$A$244,'Données projet'!$B$244,FZ82+FY83-GH82)))</f>
        <v>146</v>
      </c>
      <c r="GA83" s="18">
        <f>FZ83*VLOOKUP('Données projet'!$B$17,Paramètres!$A$1:$I$89,3,0)*VLOOKUP('Données projet'!$B$17,Paramètres!$A$1:$I$89,5,0)</f>
        <v>141.21119999999999</v>
      </c>
      <c r="GB83" s="14">
        <f t="shared" si="103"/>
        <v>36.574335145278738</v>
      </c>
      <c r="GC83" s="22">
        <f t="shared" si="79"/>
        <v>309.64314037802711</v>
      </c>
      <c r="GD83" s="62">
        <f t="shared" si="80"/>
        <v>602.97647371136043</v>
      </c>
      <c r="GE83" s="62">
        <f ca="1">AVERAGE(OFFSET($GD$3,0,0,'Données projet'!$E$17+1,1))-AVERAGE(OFFSET($H$3,0,0,'Données projet'!$E$17+1,1))</f>
        <v>181.39066880931728</v>
      </c>
      <c r="GF83" s="62">
        <f t="shared" si="104"/>
        <v>116.06078566855524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164</v>
      </c>
      <c r="GS83" s="13">
        <f>VLOOKUP(A83,'Données projet'!$A$269:$I$289,9,0)</f>
        <v>1.8</v>
      </c>
      <c r="GT83" s="13">
        <f t="array" ref="GT83">INDEX(GS:GS,MIN(IF(ISNUMBER(GS83:GS279),ROW(GS83:GS279),"")))</f>
        <v>1.8</v>
      </c>
      <c r="GU83" s="13">
        <f>IF('Données projet'!$A$270&gt;35,GU82+GT83-HC82,IF(A83&lt;'Données projet'!$A$270,$GR$205^A83,IF(A83='Données projet'!$A$270,'Données projet'!$B$270,GU82+GT83-HC82)))</f>
        <v>163.99999999999983</v>
      </c>
      <c r="GV83" s="18">
        <f>GU83*VLOOKUP('Données projet'!$B$18,Paramètres!$A$1:$I$89,3,0)*VLOOKUP('Données projet'!$B$18,Paramètres!$A$1:$I$89,5,0)</f>
        <v>143.27039999999988</v>
      </c>
      <c r="GW83" s="14">
        <f t="shared" si="105"/>
        <v>37.045198377171275</v>
      </c>
      <c r="GX83" s="22">
        <f t="shared" si="82"/>
        <v>314.04966717357314</v>
      </c>
      <c r="GY83" s="62">
        <f t="shared" si="83"/>
        <v>607.38300050690646</v>
      </c>
      <c r="GZ83" s="62">
        <f ca="1">AVERAGE(OFFSET($GY$3,0,0,'Données projet'!$E$18+1,1))-AVERAGE(OFFSET($H$3,0,0,'Données projet'!$E$18+1,1))</f>
        <v>152.84277478695606</v>
      </c>
      <c r="HA83" s="62">
        <f t="shared" si="106"/>
        <v>179.22995976651015</v>
      </c>
      <c r="HB83" s="16">
        <f>IF(ISNA(VLOOKUP(A83,'Données projet'!$A$269:$I$289,3,0)),0,VLOOKUP(A83,'Données projet'!$A$269:$I$289,3,0))</f>
        <v>6</v>
      </c>
      <c r="HC83" s="16">
        <f>IF(ISNA(VLOOKUP(A83,'Données projet'!$A$269:$I$289,4,0)),0,VLOOKUP(A83,'Données projet'!$A$269:$I$289,4,0))</f>
        <v>164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9">
        <f t="shared" si="56"/>
        <v>356.53055539648136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249.03839999999994</v>
      </c>
      <c r="P84" s="14">
        <f t="shared" si="87"/>
        <v>60.379982523339947</v>
      </c>
      <c r="Q84" s="22">
        <f t="shared" si="54"/>
        <v>538.90368289481694</v>
      </c>
      <c r="R84" s="62">
        <f t="shared" si="55"/>
        <v>832.2370162281502</v>
      </c>
      <c r="S84" s="62">
        <f ca="1">AVERAGE(OFFSET($R$3,0,0,'Données projet'!$E$9+1,1))-AVERAGE(OFFSET($H$3,0,0,'Données projet'!$E$9+1,1))</f>
        <v>383.26814640166805</v>
      </c>
      <c r="T84" s="62">
        <f t="shared" si="88"/>
        <v>233.71216103405249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</v>
      </c>
      <c r="AI84" s="14">
        <f>IF('Données projet'!$A$62&gt;35,AI83+AH84-AQ83,IF(A84&lt;'Données projet'!$A$62,$AF$205^A84,IF(A84='Données projet'!$A$62,'Données projet'!$B$62,AI83+AH84-AQ83)))</f>
        <v>149</v>
      </c>
      <c r="AJ84" s="14">
        <f>AI84*VLOOKUP('Données projet'!$B$10,Paramètres!$A$1:$I$89,3,0)*VLOOKUP('Données projet'!$B$10,Paramètres!$A$1:$I$89,5,0)</f>
        <v>160.38359999999997</v>
      </c>
      <c r="AK84" s="14">
        <f t="shared" si="89"/>
        <v>40.929025395397851</v>
      </c>
      <c r="AL84" s="22">
        <f t="shared" si="58"/>
        <v>350.61948923031787</v>
      </c>
      <c r="AM84" s="62">
        <f t="shared" si="59"/>
        <v>643.95282256365113</v>
      </c>
      <c r="AN84" s="62">
        <f ca="1">AVERAGE(OFFSET($AM$3,0,0,'Données projet'!$E$10+1,1))-AVERAGE(OFFSET($H$3,0,0,'Données projet'!$E$10+1,1))</f>
        <v>205.99910063756408</v>
      </c>
      <c r="AO84" s="62">
        <f t="shared" si="90"/>
        <v>128.95330275493671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293.3333333333353</v>
      </c>
      <c r="BI84" s="62">
        <f ca="1">AVERAGE(OFFSET($BH$3,0,0,'Données projet'!$E$11+1,1))-AVERAGE(OFFSET($H$3,0,0,'Données projet'!$E$11+1,1))</f>
        <v>222.20580087523689</v>
      </c>
      <c r="BJ84" s="62">
        <f t="shared" si="92"/>
        <v>232.08940427392253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3.6451616825416235</v>
      </c>
      <c r="BQ84" s="23">
        <f>EXP(-LN(2)/25)*BQ83+(1-EXP(-LN(2)/25))/(LN(2)/25)*Calculateur!BL84*Calculateur!BN84*VLOOKUP('Données projet'!$B$11,Paramètres!$A$1:$I$89,3,0)*0.475*44/12</f>
        <v>3.996648283992478</v>
      </c>
      <c r="BR84" s="23">
        <f>EXP(-LN(2)/2)*BR83+(1-EXP(-LN(2)/2))/(LN(2)/2)*BL84*BO84*VLOOKUP('Données projet'!$B$11,Paramètres!$A$1:$I$89,3,0)*0.475*44/12</f>
        <v>1.3360468677641834E-7</v>
      </c>
      <c r="BS84" s="24">
        <f t="shared" si="63"/>
        <v>7.6418101001387875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9.001923076923072</v>
      </c>
      <c r="BY84" s="13">
        <f>IF('Données projet'!$A$114&gt;35,BY83+BX84-CG83,IF(A84&lt;'Données projet'!$A$114,$BV$205^A84,IF(A84='Données projet'!$A$114,'Données projet'!$B$114,BY83+BX84-CG83)))</f>
        <v>329.12692307692339</v>
      </c>
      <c r="BZ84" s="14">
        <f>BY84*VLOOKUP('Données projet'!$B$12,Paramètres!$A$1:$I$89,3,0)*VLOOKUP('Données projet'!$B$12,Paramètres!$A$1:$I$89,5,0)</f>
        <v>154.03140000000016</v>
      </c>
      <c r="CA84" s="14">
        <f t="shared" si="93"/>
        <v>39.493316842260541</v>
      </c>
      <c r="CB84" s="22">
        <f t="shared" si="64"/>
        <v>337.05554850027073</v>
      </c>
      <c r="CC84" s="62">
        <f t="shared" si="65"/>
        <v>630.38888183360405</v>
      </c>
      <c r="CD84" s="62">
        <f ca="1">AVERAGE(OFFSET($CC$3,0,0,'Données projet'!$E$12+1,1))-AVERAGE(OFFSET($H$3,0,0,'Données projet'!$E$12+1,1))</f>
        <v>179.14256291235466</v>
      </c>
      <c r="CE84" s="62">
        <f t="shared" si="94"/>
        <v>107.5256983607585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-2.8421709430404007E-13</v>
      </c>
      <c r="CU84" s="18">
        <f>CT84*VLOOKUP('Données projet'!$B$13,Paramètres!$A$1:$I$89,3,0)*VLOOKUP('Données projet'!$B$13,Paramètres!$A$1:$I$89,5,0)</f>
        <v>-1.69961822393816E-13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237.03649693529445</v>
      </c>
      <c r="CZ84" s="62">
        <f t="shared" si="96"/>
        <v>191.04289411674887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1.109066791876934E-7</v>
      </c>
      <c r="DI84" s="24">
        <f t="shared" si="69"/>
        <v>1.109066791876934E-7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3.7030000000000003</v>
      </c>
      <c r="DO84" s="13">
        <f>IF('Données projet'!$A$166&gt;35,DO83+DN84-DW83,IF(A84&lt;'Données projet'!$A$166,$DL$205^A84,IF(A84='Données projet'!$A$166,'Données projet'!$B$166,DO83+DN84-DW83)))</f>
        <v>222.05300000000005</v>
      </c>
      <c r="DP84" s="18">
        <f>DO84*VLOOKUP('Données projet'!$B$14,Paramètres!$A$1:$I$89,3,0)*VLOOKUP('Données projet'!$B$14,Paramètres!$A$1:$I$89,5,0)</f>
        <v>255.80505600000004</v>
      </c>
      <c r="DQ84" s="14">
        <f t="shared" si="97"/>
        <v>61.827340665392967</v>
      </c>
      <c r="DR84" s="22">
        <f t="shared" si="70"/>
        <v>553.20975752555944</v>
      </c>
      <c r="DS84" s="62">
        <f t="shared" si="71"/>
        <v>846.54309085889281</v>
      </c>
      <c r="DT84" s="62">
        <f ca="1">AVERAGE(OFFSET($DS$3,0,0,'Données projet'!$E$14+1,1))-AVERAGE(OFFSET($H$3,0,0,'Données projet'!$E$14+1,1))</f>
        <v>431.38469096974364</v>
      </c>
      <c r="DU84" s="62">
        <f t="shared" si="98"/>
        <v>295.48627059086647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0.23818523566541489</v>
      </c>
      <c r="EC84" s="23">
        <f>EXP(-LN(2)/2)*EC83+(1-EXP(-LN(2)/2))/(LN(2)/2)*DW84*DZ84*VLOOKUP('Données projet'!$B$14,Paramètres!$A$1:$I$89,3,0)*0.475*44/12</f>
        <v>8.0888973457679667E-8</v>
      </c>
      <c r="ED84" s="24">
        <f t="shared" si="72"/>
        <v>0.23818531655438835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3</v>
      </c>
      <c r="EJ84" s="13">
        <f>IF('Données projet'!$A$192&gt;35,EJ83+EI84-ER83,IF(A84&lt;'Données projet'!$A$192,$EG$205^A84,IF(A84='Données projet'!$A$192,'Données projet'!$B$192,EJ83+EI84-ER83)))</f>
        <v>149</v>
      </c>
      <c r="EK84" s="18">
        <f>EJ84*VLOOKUP('Données projet'!$B$15,Paramètres!$A$1:$I$89,3,0)*VLOOKUP('Données projet'!$B$15,Paramètres!$A$1:$I$89,5,0)</f>
        <v>169.68119999999999</v>
      </c>
      <c r="EL84" s="14">
        <f t="shared" si="99"/>
        <v>43.018615192144622</v>
      </c>
      <c r="EM84" s="22">
        <f t="shared" si="73"/>
        <v>370.45217812631859</v>
      </c>
      <c r="EN84" s="62">
        <f t="shared" si="74"/>
        <v>663.78551145965184</v>
      </c>
      <c r="EO84" s="62">
        <f ca="1">AVERAGE(OFFSET($EN$3,0,0,'Données projet'!$E$15+1,1))-AVERAGE(OFFSET($H$3,0,0,'Données projet'!$E$15+1,1))</f>
        <v>220.03635832253951</v>
      </c>
      <c r="EP84" s="62">
        <f t="shared" si="100"/>
        <v>136.30639155882233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9.8000000000000007</v>
      </c>
      <c r="FE84" s="13">
        <f>IF('Données projet'!$A$218&gt;35,FE83+FD84-FM83,IF(A84&lt;'Données projet'!$A$218,$FB$205^A84,IF(A84='Données projet'!$A$218,'Données projet'!$B$218,FE83+FD84-FM83)))</f>
        <v>392.80000000000035</v>
      </c>
      <c r="FF84" s="18">
        <f>FE84*VLOOKUP('Données projet'!$B$16,Paramètres!$A$1:$I$89,3,0)*VLOOKUP('Données projet'!$B$16,Paramètres!$A$1:$I$89,5,0)</f>
        <v>410.55456000000044</v>
      </c>
      <c r="FG84" s="14">
        <f t="shared" si="101"/>
        <v>93.913186080661632</v>
      </c>
      <c r="FH84" s="22">
        <f t="shared" si="76"/>
        <v>878.61465775715317</v>
      </c>
      <c r="FI84" s="62">
        <f t="shared" si="77"/>
        <v>1171.9479910904865</v>
      </c>
      <c r="FJ84" s="62">
        <f ca="1">AVERAGE(OFFSET($FI$3,0,0,'Données projet'!$E$16+1,1))-AVERAGE(OFFSET($H$3,0,0,'Données projet'!$E$16+1,1))</f>
        <v>641.62708445664862</v>
      </c>
      <c r="FK84" s="62">
        <f t="shared" si="102"/>
        <v>379.46845863546929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4.5720554154136388E-7</v>
      </c>
      <c r="FT84" s="24">
        <f t="shared" si="78"/>
        <v>4.5720554154136388E-7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3</v>
      </c>
      <c r="FZ84" s="13">
        <f>IF('Données projet'!$A$244&gt;35,FZ83+FY84-GH83,IF(A84&lt;'Données projet'!$A$244,$FW$205^A84,IF(A84='Données projet'!$A$244,'Données projet'!$B$244,FZ83+FY84-GH83)))</f>
        <v>149</v>
      </c>
      <c r="GA84" s="18">
        <f>FZ84*VLOOKUP('Données projet'!$B$17,Paramètres!$A$1:$I$89,3,0)*VLOOKUP('Données projet'!$B$17,Paramètres!$A$1:$I$89,5,0)</f>
        <v>144.11279999999999</v>
      </c>
      <c r="GB84" s="14">
        <f t="shared" si="103"/>
        <v>37.237596662992502</v>
      </c>
      <c r="GC84" s="22">
        <f t="shared" si="79"/>
        <v>315.85194085471193</v>
      </c>
      <c r="GD84" s="62">
        <f t="shared" si="80"/>
        <v>609.18527418804524</v>
      </c>
      <c r="GE84" s="62">
        <f ca="1">AVERAGE(OFFSET($GD$3,0,0,'Données projet'!$E$17+1,1))-AVERAGE(OFFSET($H$3,0,0,'Données projet'!$E$17+1,1))</f>
        <v>181.39066880931728</v>
      </c>
      <c r="GF84" s="62">
        <f t="shared" si="104"/>
        <v>116.06078566855524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-1.7053025658242404E-13</v>
      </c>
      <c r="GV84" s="18">
        <f>GU84*VLOOKUP('Données projet'!$B$18,Paramètres!$A$1:$I$89,3,0)*VLOOKUP('Données projet'!$B$18,Paramètres!$A$1:$I$89,5,0)</f>
        <v>-1.4897523215040567E-13</v>
      </c>
      <c r="GW84" s="14" t="e">
        <f t="shared" si="105"/>
        <v>#NUM!</v>
      </c>
      <c r="GX84" s="22" t="e">
        <f t="shared" si="82"/>
        <v>#NUM!</v>
      </c>
      <c r="GY84" s="62" t="e">
        <f t="shared" si="83"/>
        <v>#NUM!</v>
      </c>
      <c r="GZ84" s="62">
        <f ca="1">AVERAGE(OFFSET($GY$3,0,0,'Données projet'!$E$18+1,1))-AVERAGE(OFFSET($H$3,0,0,'Données projet'!$E$18+1,1))</f>
        <v>152.84277478695606</v>
      </c>
      <c r="HA84" s="62">
        <f t="shared" si="106"/>
        <v>179.22995976651015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9">
        <f t="shared" si="56"/>
        <v>357.73044720459762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254.71679999999992</v>
      </c>
      <c r="P85" s="14">
        <f t="shared" si="87"/>
        <v>61.594871205031538</v>
      </c>
      <c r="Q85" s="22">
        <f t="shared" si="54"/>
        <v>550.9094940154298</v>
      </c>
      <c r="R85" s="62">
        <f t="shared" si="55"/>
        <v>844.24282734876306</v>
      </c>
      <c r="S85" s="62">
        <f ca="1">AVERAGE(OFFSET($R$3,0,0,'Données projet'!$E$9+1,1))-AVERAGE(OFFSET($H$3,0,0,'Données projet'!$E$9+1,1))</f>
        <v>383.26814640166805</v>
      </c>
      <c r="T85" s="62">
        <f t="shared" si="88"/>
        <v>233.71216103405249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</v>
      </c>
      <c r="AI85" s="14">
        <f>IF('Données projet'!$A$62&gt;35,AI84+AH85-AQ84,IF(A85&lt;'Données projet'!$A$62,$AF$205^A85,IF(A85='Données projet'!$A$62,'Données projet'!$B$62,AI84+AH85-AQ84)))</f>
        <v>152</v>
      </c>
      <c r="AJ85" s="14">
        <f>AI85*VLOOKUP('Données projet'!$B$10,Paramètres!$A$1:$I$89,3,0)*VLOOKUP('Données projet'!$B$10,Paramètres!$A$1:$I$89,5,0)</f>
        <v>163.61279999999999</v>
      </c>
      <c r="AK85" s="14">
        <f t="shared" si="89"/>
        <v>41.656330547871804</v>
      </c>
      <c r="AL85" s="22">
        <f t="shared" si="58"/>
        <v>357.51040237087665</v>
      </c>
      <c r="AM85" s="62">
        <f t="shared" si="59"/>
        <v>650.84373570420996</v>
      </c>
      <c r="AN85" s="62">
        <f ca="1">AVERAGE(OFFSET($AM$3,0,0,'Données projet'!$E$10+1,1))-AVERAGE(OFFSET($H$3,0,0,'Données projet'!$E$10+1,1))</f>
        <v>205.99910063756408</v>
      </c>
      <c r="AO85" s="62">
        <f t="shared" si="90"/>
        <v>128.95330275493671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293.3333333333353</v>
      </c>
      <c r="BI85" s="62">
        <f ca="1">AVERAGE(OFFSET($BH$3,0,0,'Données projet'!$E$11+1,1))-AVERAGE(OFFSET($H$3,0,0,'Données projet'!$E$11+1,1))</f>
        <v>222.20580087523689</v>
      </c>
      <c r="BJ85" s="62">
        <f t="shared" si="92"/>
        <v>232.08940427392253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3.5736822852760732</v>
      </c>
      <c r="BQ85" s="23">
        <f>EXP(-LN(2)/25)*BQ84+(1-EXP(-LN(2)/25))/(LN(2)/25)*Calculateur!BL85*Calculateur!BN85*VLOOKUP('Données projet'!$B$11,Paramètres!$A$1:$I$89,3,0)*0.475*44/12</f>
        <v>3.8873597264921047</v>
      </c>
      <c r="BR85" s="23">
        <f>EXP(-LN(2)/2)*BR84+(1-EXP(-LN(2)/2))/(LN(2)/2)*BL85*BO85*VLOOKUP('Données projet'!$B$11,Paramètres!$A$1:$I$89,3,0)*0.475*44/12</f>
        <v>9.4472780017910059E-8</v>
      </c>
      <c r="BS85" s="24">
        <f t="shared" si="63"/>
        <v>7.4610421062409582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9.001923076923072</v>
      </c>
      <c r="BY85" s="13">
        <f>IF('Données projet'!$A$114&gt;35,BY84+BX85-CG84,IF(A85&lt;'Données projet'!$A$114,$BV$205^A85,IF(A85='Données projet'!$A$114,'Données projet'!$B$114,BY84+BX85-CG84)))</f>
        <v>338.12884615384644</v>
      </c>
      <c r="BZ85" s="14">
        <f>BY85*VLOOKUP('Données projet'!$B$12,Paramètres!$A$1:$I$89,3,0)*VLOOKUP('Données projet'!$B$12,Paramètres!$A$1:$I$89,5,0)</f>
        <v>158.24430000000012</v>
      </c>
      <c r="CA85" s="14">
        <f t="shared" si="93"/>
        <v>40.446258430453724</v>
      </c>
      <c r="CB85" s="22">
        <f t="shared" si="64"/>
        <v>346.05272259970707</v>
      </c>
      <c r="CC85" s="62">
        <f t="shared" si="65"/>
        <v>639.38605593304032</v>
      </c>
      <c r="CD85" s="62">
        <f ca="1">AVERAGE(OFFSET($CC$3,0,0,'Données projet'!$E$12+1,1))-AVERAGE(OFFSET($H$3,0,0,'Données projet'!$E$12+1,1))</f>
        <v>179.14256291235466</v>
      </c>
      <c r="CE85" s="62">
        <f t="shared" si="94"/>
        <v>107.5256983607585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-2.8421709430404007E-13</v>
      </c>
      <c r="CU85" s="18">
        <f>CT85*VLOOKUP('Données projet'!$B$13,Paramètres!$A$1:$I$89,3,0)*VLOOKUP('Données projet'!$B$13,Paramètres!$A$1:$I$89,5,0)</f>
        <v>-1.69961822393816E-13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237.03649693529445</v>
      </c>
      <c r="CZ85" s="62">
        <f t="shared" si="96"/>
        <v>191.04289411674887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7.8422864932498939E-8</v>
      </c>
      <c r="DI85" s="24">
        <f t="shared" si="69"/>
        <v>7.8422864932498939E-8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3.7030000000000003</v>
      </c>
      <c r="DO85" s="13">
        <f>IF('Données projet'!$A$166&gt;35,DO84+DN85-DW84,IF(A85&lt;'Données projet'!$A$166,$DL$205^A85,IF(A85='Données projet'!$A$166,'Données projet'!$B$166,DO84+DN85-DW84)))</f>
        <v>225.75600000000006</v>
      </c>
      <c r="DP85" s="18">
        <f>DO85*VLOOKUP('Données projet'!$B$14,Paramètres!$A$1:$I$89,3,0)*VLOOKUP('Données projet'!$B$14,Paramètres!$A$1:$I$89,5,0)</f>
        <v>260.07091200000002</v>
      </c>
      <c r="DQ85" s="14">
        <f t="shared" si="97"/>
        <v>62.737493289033026</v>
      </c>
      <c r="DR85" s="22">
        <f t="shared" si="70"/>
        <v>562.22463921173255</v>
      </c>
      <c r="DS85" s="62">
        <f t="shared" si="71"/>
        <v>855.55797254506592</v>
      </c>
      <c r="DT85" s="62">
        <f ca="1">AVERAGE(OFFSET($DS$3,0,0,'Données projet'!$E$14+1,1))-AVERAGE(OFFSET($H$3,0,0,'Données projet'!$E$14+1,1))</f>
        <v>431.38469096974364</v>
      </c>
      <c r="DU85" s="62">
        <f t="shared" si="98"/>
        <v>295.48627059086647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0.23167204787052695</v>
      </c>
      <c r="EC85" s="23">
        <f>EXP(-LN(2)/2)*EC84+(1-EXP(-LN(2)/2))/(LN(2)/2)*DW85*DZ85*VLOOKUP('Données projet'!$B$14,Paramètres!$A$1:$I$89,3,0)*0.475*44/12</f>
        <v>5.7197141655143947E-8</v>
      </c>
      <c r="ED85" s="24">
        <f t="shared" si="72"/>
        <v>0.23167210506766861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3</v>
      </c>
      <c r="EJ85" s="13">
        <f>IF('Données projet'!$A$192&gt;35,EJ84+EI85-ER84,IF(A85&lt;'Données projet'!$A$192,$EG$205^A85,IF(A85='Données projet'!$A$192,'Données projet'!$B$192,EJ84+EI85-ER84)))</f>
        <v>152</v>
      </c>
      <c r="EK85" s="18">
        <f>EJ85*VLOOKUP('Données projet'!$B$15,Paramètres!$A$1:$I$89,3,0)*VLOOKUP('Données projet'!$B$15,Paramètres!$A$1:$I$89,5,0)</f>
        <v>173.0976</v>
      </c>
      <c r="EL85" s="14">
        <f t="shared" si="99"/>
        <v>43.783052170041955</v>
      </c>
      <c r="EM85" s="22">
        <f t="shared" si="73"/>
        <v>377.73380252948976</v>
      </c>
      <c r="EN85" s="62">
        <f t="shared" si="74"/>
        <v>671.06713586282308</v>
      </c>
      <c r="EO85" s="62">
        <f ca="1">AVERAGE(OFFSET($EN$3,0,0,'Données projet'!$E$15+1,1))-AVERAGE(OFFSET($H$3,0,0,'Données projet'!$E$15+1,1))</f>
        <v>220.03635832253951</v>
      </c>
      <c r="EP85" s="62">
        <f t="shared" si="100"/>
        <v>136.30639155882233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9.8000000000000007</v>
      </c>
      <c r="FE85" s="13">
        <f>IF('Données projet'!$A$218&gt;35,FE84+FD85-FM84,IF(A85&lt;'Données projet'!$A$218,$FB$205^A85,IF(A85='Données projet'!$A$218,'Données projet'!$B$218,FE84+FD85-FM84)))</f>
        <v>402.60000000000036</v>
      </c>
      <c r="FF85" s="18">
        <f>FE85*VLOOKUP('Données projet'!$B$16,Paramètres!$A$1:$I$89,3,0)*VLOOKUP('Données projet'!$B$16,Paramètres!$A$1:$I$89,5,0)</f>
        <v>420.79752000000042</v>
      </c>
      <c r="FG85" s="14">
        <f t="shared" si="101"/>
        <v>95.980524595465425</v>
      </c>
      <c r="FH85" s="22">
        <f t="shared" si="76"/>
        <v>900.05509433710301</v>
      </c>
      <c r="FI85" s="62">
        <f t="shared" si="77"/>
        <v>1193.3884276704364</v>
      </c>
      <c r="FJ85" s="62">
        <f ca="1">AVERAGE(OFFSET($FI$3,0,0,'Données projet'!$E$16+1,1))-AVERAGE(OFFSET($H$3,0,0,'Données projet'!$E$16+1,1))</f>
        <v>641.62708445664862</v>
      </c>
      <c r="FK85" s="62">
        <f t="shared" si="102"/>
        <v>379.46845863546929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3.2329313881996615E-7</v>
      </c>
      <c r="FT85" s="24">
        <f t="shared" si="78"/>
        <v>3.2329313881996615E-7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3</v>
      </c>
      <c r="FZ85" s="13">
        <f>IF('Données projet'!$A$244&gt;35,FZ84+FY85-GH84,IF(A85&lt;'Données projet'!$A$244,$FW$205^A85,IF(A85='Données projet'!$A$244,'Données projet'!$B$244,FZ84+FY85-GH84)))</f>
        <v>152</v>
      </c>
      <c r="GA85" s="18">
        <f>FZ85*VLOOKUP('Données projet'!$B$17,Paramètres!$A$1:$I$89,3,0)*VLOOKUP('Données projet'!$B$17,Paramètres!$A$1:$I$89,5,0)</f>
        <v>147.01439999999999</v>
      </c>
      <c r="GB85" s="14">
        <f t="shared" si="103"/>
        <v>37.899305454176826</v>
      </c>
      <c r="GC85" s="22">
        <f t="shared" si="79"/>
        <v>322.05803699935797</v>
      </c>
      <c r="GD85" s="62">
        <f t="shared" si="80"/>
        <v>615.39137033269128</v>
      </c>
      <c r="GE85" s="62">
        <f ca="1">AVERAGE(OFFSET($GD$3,0,0,'Données projet'!$E$17+1,1))-AVERAGE(OFFSET($H$3,0,0,'Données projet'!$E$17+1,1))</f>
        <v>181.39066880931728</v>
      </c>
      <c r="GF85" s="62">
        <f t="shared" si="104"/>
        <v>116.06078566855524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-1.7053025658242404E-13</v>
      </c>
      <c r="GV85" s="18">
        <f>GU85*VLOOKUP('Données projet'!$B$18,Paramètres!$A$1:$I$89,3,0)*VLOOKUP('Données projet'!$B$18,Paramètres!$A$1:$I$89,5,0)</f>
        <v>-1.4897523215040567E-13</v>
      </c>
      <c r="GW85" s="14" t="e">
        <f t="shared" si="105"/>
        <v>#NUM!</v>
      </c>
      <c r="GX85" s="22" t="e">
        <f t="shared" si="82"/>
        <v>#NUM!</v>
      </c>
      <c r="GY85" s="62" t="e">
        <f t="shared" si="83"/>
        <v>#NUM!</v>
      </c>
      <c r="GZ85" s="62">
        <f ca="1">AVERAGE(OFFSET($GY$3,0,0,'Données projet'!$E$18+1,1))-AVERAGE(OFFSET($H$3,0,0,'Données projet'!$E$18+1,1))</f>
        <v>152.84277478695606</v>
      </c>
      <c r="HA85" s="62">
        <f t="shared" si="106"/>
        <v>179.22995976651015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9">
        <f t="shared" si="56"/>
        <v>358.92998587821728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260.39519999999987</v>
      </c>
      <c r="P86" s="14">
        <f t="shared" si="87"/>
        <v>62.806611177714331</v>
      </c>
      <c r="Q86" s="22">
        <f t="shared" si="54"/>
        <v>562.90982113451889</v>
      </c>
      <c r="R86" s="62">
        <f t="shared" si="55"/>
        <v>856.24315446785226</v>
      </c>
      <c r="S86" s="62">
        <f ca="1">AVERAGE(OFFSET($R$3,0,0,'Données projet'!$E$9+1,1))-AVERAGE(OFFSET($H$3,0,0,'Données projet'!$E$9+1,1))</f>
        <v>383.26814640166805</v>
      </c>
      <c r="T86" s="62">
        <f t="shared" si="88"/>
        <v>233.71216103405249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</v>
      </c>
      <c r="AI86" s="14">
        <f>IF('Données projet'!$A$62&gt;35,AI85+AH86-AQ85,IF(A86&lt;'Données projet'!$A$62,$AF$205^A86,IF(A86='Données projet'!$A$62,'Données projet'!$B$62,AI85+AH86-AQ85)))</f>
        <v>155</v>
      </c>
      <c r="AJ86" s="14">
        <f>AI86*VLOOKUP('Données projet'!$B$10,Paramètres!$A$1:$I$89,3,0)*VLOOKUP('Données projet'!$B$10,Paramètres!$A$1:$I$89,5,0)</f>
        <v>166.84199999999998</v>
      </c>
      <c r="AK86" s="14">
        <f t="shared" si="89"/>
        <v>42.381966615760334</v>
      </c>
      <c r="AL86" s="22">
        <f t="shared" si="58"/>
        <v>364.39840852244924</v>
      </c>
      <c r="AM86" s="62">
        <f t="shared" si="59"/>
        <v>657.7317418557825</v>
      </c>
      <c r="AN86" s="62">
        <f ca="1">AVERAGE(OFFSET($AM$3,0,0,'Données projet'!$E$10+1,1))-AVERAGE(OFFSET($H$3,0,0,'Données projet'!$E$10+1,1))</f>
        <v>205.99910063756408</v>
      </c>
      <c r="AO86" s="62">
        <f t="shared" si="90"/>
        <v>128.95330275493671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293.3333333333353</v>
      </c>
      <c r="BI86" s="62">
        <f ca="1">AVERAGE(OFFSET($BH$3,0,0,'Données projet'!$E$11+1,1))-AVERAGE(OFFSET($H$3,0,0,'Données projet'!$E$11+1,1))</f>
        <v>222.20580087523689</v>
      </c>
      <c r="BJ86" s="62">
        <f t="shared" si="92"/>
        <v>232.08940427392253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3.5036045553927728</v>
      </c>
      <c r="BQ86" s="23">
        <f>EXP(-LN(2)/25)*BQ85+(1-EXP(-LN(2)/25))/(LN(2)/25)*Calculateur!BL86*Calculateur!BN86*VLOOKUP('Données projet'!$B$11,Paramètres!$A$1:$I$89,3,0)*0.475*44/12</f>
        <v>3.7810596703438146</v>
      </c>
      <c r="BR86" s="23">
        <f>EXP(-LN(2)/2)*BR85+(1-EXP(-LN(2)/2))/(LN(2)/2)*BL86*BO86*VLOOKUP('Données projet'!$B$11,Paramètres!$A$1:$I$89,3,0)*0.475*44/12</f>
        <v>6.6802343388209168E-8</v>
      </c>
      <c r="BS86" s="24">
        <f t="shared" si="63"/>
        <v>7.2846642925389311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9.001923076923072</v>
      </c>
      <c r="BY86" s="13">
        <f>IF('Données projet'!$A$114&gt;35,BY85+BX86-CG85,IF(A86&lt;'Données projet'!$A$114,$BV$205^A86,IF(A86='Données projet'!$A$114,'Données projet'!$B$114,BY85+BX86-CG85)))</f>
        <v>347.13076923076949</v>
      </c>
      <c r="BZ86" s="14">
        <f>BY86*VLOOKUP('Données projet'!$B$12,Paramètres!$A$1:$I$89,3,0)*VLOOKUP('Données projet'!$B$12,Paramètres!$A$1:$I$89,5,0)</f>
        <v>162.45720000000011</v>
      </c>
      <c r="CA86" s="14">
        <f t="shared" si="93"/>
        <v>41.396251160974799</v>
      </c>
      <c r="CB86" s="22">
        <f t="shared" si="64"/>
        <v>355.04476077203134</v>
      </c>
      <c r="CC86" s="62">
        <f t="shared" si="65"/>
        <v>648.37809410536465</v>
      </c>
      <c r="CD86" s="62">
        <f ca="1">AVERAGE(OFFSET($CC$3,0,0,'Données projet'!$E$12+1,1))-AVERAGE(OFFSET($H$3,0,0,'Données projet'!$E$12+1,1))</f>
        <v>179.14256291235466</v>
      </c>
      <c r="CE86" s="62">
        <f t="shared" si="94"/>
        <v>107.5256983607585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-2.8421709430404007E-13</v>
      </c>
      <c r="CU86" s="18">
        <f>CT86*VLOOKUP('Données projet'!$B$13,Paramètres!$A$1:$I$89,3,0)*VLOOKUP('Données projet'!$B$13,Paramètres!$A$1:$I$89,5,0)</f>
        <v>-1.69961822393816E-13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237.03649693529445</v>
      </c>
      <c r="CZ86" s="62">
        <f t="shared" si="96"/>
        <v>191.04289411674887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5.5453339593846699E-8</v>
      </c>
      <c r="DI86" s="24">
        <f t="shared" si="69"/>
        <v>5.5453339593846699E-8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3.7030000000000003</v>
      </c>
      <c r="DO86" s="13">
        <f>IF('Données projet'!$A$166&gt;35,DO85+DN86-DW85,IF(A86&lt;'Données projet'!$A$166,$DL$205^A86,IF(A86='Données projet'!$A$166,'Données projet'!$B$166,DO85+DN86-DW85)))</f>
        <v>229.45900000000006</v>
      </c>
      <c r="DP86" s="18">
        <f>DO86*VLOOKUP('Données projet'!$B$14,Paramètres!$A$1:$I$89,3,0)*VLOOKUP('Données projet'!$B$14,Paramètres!$A$1:$I$89,5,0)</f>
        <v>264.33676800000006</v>
      </c>
      <c r="DQ86" s="14">
        <f t="shared" si="97"/>
        <v>63.645909760935766</v>
      </c>
      <c r="DR86" s="22">
        <f t="shared" si="70"/>
        <v>571.23649710029645</v>
      </c>
      <c r="DS86" s="62">
        <f t="shared" si="71"/>
        <v>864.5698304336297</v>
      </c>
      <c r="DT86" s="62">
        <f ca="1">AVERAGE(OFFSET($DS$3,0,0,'Données projet'!$E$14+1,1))-AVERAGE(OFFSET($H$3,0,0,'Données projet'!$E$14+1,1))</f>
        <v>431.38469096974364</v>
      </c>
      <c r="DU86" s="62">
        <f t="shared" si="98"/>
        <v>295.48627059086647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0.22533696353840388</v>
      </c>
      <c r="EC86" s="23">
        <f>EXP(-LN(2)/2)*EC85+(1-EXP(-LN(2)/2))/(LN(2)/2)*DW86*DZ86*VLOOKUP('Données projet'!$B$14,Paramètres!$A$1:$I$89,3,0)*0.475*44/12</f>
        <v>4.0444486728839833E-8</v>
      </c>
      <c r="ED86" s="24">
        <f t="shared" si="72"/>
        <v>0.22533700398289061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3</v>
      </c>
      <c r="EJ86" s="13">
        <f>IF('Données projet'!$A$192&gt;35,EJ85+EI86-ER85,IF(A86&lt;'Données projet'!$A$192,$EG$205^A86,IF(A86='Données projet'!$A$192,'Données projet'!$B$192,EJ85+EI86-ER85)))</f>
        <v>155</v>
      </c>
      <c r="EK86" s="18">
        <f>EJ86*VLOOKUP('Données projet'!$B$15,Paramètres!$A$1:$I$89,3,0)*VLOOKUP('Données projet'!$B$15,Paramètres!$A$1:$I$89,5,0)</f>
        <v>176.51399999999998</v>
      </c>
      <c r="EL86" s="14">
        <f t="shared" si="99"/>
        <v>44.545734849936593</v>
      </c>
      <c r="EM86" s="22">
        <f t="shared" si="73"/>
        <v>385.01237153030615</v>
      </c>
      <c r="EN86" s="62">
        <f t="shared" si="74"/>
        <v>678.34570486363941</v>
      </c>
      <c r="EO86" s="62">
        <f ca="1">AVERAGE(OFFSET($EN$3,0,0,'Données projet'!$E$15+1,1))-AVERAGE(OFFSET($H$3,0,0,'Données projet'!$E$15+1,1))</f>
        <v>220.03635832253951</v>
      </c>
      <c r="EP86" s="62">
        <f t="shared" si="100"/>
        <v>136.30639155882233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9.8000000000000007</v>
      </c>
      <c r="FE86" s="13">
        <f>IF('Données projet'!$A$218&gt;35,FE85+FD86-FM85,IF(A86&lt;'Données projet'!$A$218,$FB$205^A86,IF(A86='Données projet'!$A$218,'Données projet'!$B$218,FE85+FD86-FM85)))</f>
        <v>412.40000000000038</v>
      </c>
      <c r="FF86" s="18">
        <f>FE86*VLOOKUP('Données projet'!$B$16,Paramètres!$A$1:$I$89,3,0)*VLOOKUP('Données projet'!$B$16,Paramètres!$A$1:$I$89,5,0)</f>
        <v>431.04048000000046</v>
      </c>
      <c r="FG86" s="14">
        <f t="shared" si="101"/>
        <v>98.042013228429241</v>
      </c>
      <c r="FH86" s="22">
        <f t="shared" si="76"/>
        <v>921.48534237284832</v>
      </c>
      <c r="FI86" s="62">
        <f t="shared" si="77"/>
        <v>1214.8186757061817</v>
      </c>
      <c r="FJ86" s="62">
        <f ca="1">AVERAGE(OFFSET($FI$3,0,0,'Données projet'!$E$16+1,1))-AVERAGE(OFFSET($H$3,0,0,'Données projet'!$E$16+1,1))</f>
        <v>641.62708445664862</v>
      </c>
      <c r="FK86" s="62">
        <f t="shared" si="102"/>
        <v>379.46845863546929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2.2860277077068194E-7</v>
      </c>
      <c r="FT86" s="24">
        <f t="shared" si="78"/>
        <v>2.2860277077068194E-7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3</v>
      </c>
      <c r="FZ86" s="13">
        <f>IF('Données projet'!$A$244&gt;35,FZ85+FY86-GH85,IF(A86&lt;'Données projet'!$A$244,$FW$205^A86,IF(A86='Données projet'!$A$244,'Données projet'!$B$244,FZ85+FY86-GH85)))</f>
        <v>155</v>
      </c>
      <c r="GA86" s="18">
        <f>FZ86*VLOOKUP('Données projet'!$B$17,Paramètres!$A$1:$I$89,3,0)*VLOOKUP('Données projet'!$B$17,Paramètres!$A$1:$I$89,5,0)</f>
        <v>149.916</v>
      </c>
      <c r="GB86" s="14">
        <f t="shared" si="103"/>
        <v>38.559495697142914</v>
      </c>
      <c r="GC86" s="22">
        <f t="shared" si="79"/>
        <v>328.26148833919052</v>
      </c>
      <c r="GD86" s="62">
        <f t="shared" si="80"/>
        <v>621.59482167252384</v>
      </c>
      <c r="GE86" s="62">
        <f ca="1">AVERAGE(OFFSET($GD$3,0,0,'Données projet'!$E$17+1,1))-AVERAGE(OFFSET($H$3,0,0,'Données projet'!$E$17+1,1))</f>
        <v>181.39066880931728</v>
      </c>
      <c r="GF86" s="62">
        <f t="shared" si="104"/>
        <v>116.06078566855524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-1.7053025658242404E-13</v>
      </c>
      <c r="GV86" s="18">
        <f>GU86*VLOOKUP('Données projet'!$B$18,Paramètres!$A$1:$I$89,3,0)*VLOOKUP('Données projet'!$B$18,Paramètres!$A$1:$I$89,5,0)</f>
        <v>-1.4897523215040567E-13</v>
      </c>
      <c r="GW86" s="14" t="e">
        <f t="shared" si="105"/>
        <v>#NUM!</v>
      </c>
      <c r="GX86" s="22" t="e">
        <f t="shared" si="82"/>
        <v>#NUM!</v>
      </c>
      <c r="GY86" s="62" t="e">
        <f t="shared" si="83"/>
        <v>#NUM!</v>
      </c>
      <c r="GZ86" s="62">
        <f ca="1">AVERAGE(OFFSET($GY$3,0,0,'Données projet'!$E$18+1,1))-AVERAGE(OFFSET($H$3,0,0,'Données projet'!$E$18+1,1))</f>
        <v>152.84277478695606</v>
      </c>
      <c r="HA86" s="62">
        <f t="shared" si="106"/>
        <v>179.22995976651015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9">
        <f t="shared" si="56"/>
        <v>360.12917616411374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266.07359999999994</v>
      </c>
      <c r="P87" s="14">
        <f t="shared" si="87"/>
        <v>64.015279012301136</v>
      </c>
      <c r="Q87" s="22">
        <f t="shared" si="54"/>
        <v>574.90479761309098</v>
      </c>
      <c r="R87" s="62">
        <f t="shared" si="55"/>
        <v>868.23813094642423</v>
      </c>
      <c r="S87" s="62">
        <f ca="1">AVERAGE(OFFSET($R$3,0,0,'Données projet'!$E$9+1,1))-AVERAGE(OFFSET($H$3,0,0,'Données projet'!$E$9+1,1))</f>
        <v>383.26814640166805</v>
      </c>
      <c r="T87" s="62">
        <f t="shared" si="88"/>
        <v>233.71216103405249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</v>
      </c>
      <c r="AI87" s="14">
        <f>IF('Données projet'!$A$62&gt;35,AI86+AH87-AQ86,IF(A87&lt;'Données projet'!$A$62,$AF$205^A87,IF(A87='Données projet'!$A$62,'Données projet'!$B$62,AI86+AH87-AQ86)))</f>
        <v>158</v>
      </c>
      <c r="AJ87" s="14">
        <f>AI87*VLOOKUP('Données projet'!$B$10,Paramètres!$A$1:$I$89,3,0)*VLOOKUP('Données projet'!$B$10,Paramètres!$A$1:$I$89,5,0)</f>
        <v>170.0712</v>
      </c>
      <c r="AK87" s="14">
        <f t="shared" si="89"/>
        <v>43.10596962815594</v>
      </c>
      <c r="AL87" s="22">
        <f t="shared" si="58"/>
        <v>371.28357043570492</v>
      </c>
      <c r="AM87" s="62">
        <f t="shared" si="59"/>
        <v>664.61690376903823</v>
      </c>
      <c r="AN87" s="62">
        <f ca="1">AVERAGE(OFFSET($AM$3,0,0,'Données projet'!$E$10+1,1))-AVERAGE(OFFSET($H$3,0,0,'Données projet'!$E$10+1,1))</f>
        <v>205.99910063756408</v>
      </c>
      <c r="AO87" s="62">
        <f t="shared" si="90"/>
        <v>128.95330275493671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293.3333333333353</v>
      </c>
      <c r="BI87" s="62">
        <f ca="1">AVERAGE(OFFSET($BH$3,0,0,'Données projet'!$E$11+1,1))-AVERAGE(OFFSET($H$3,0,0,'Données projet'!$E$11+1,1))</f>
        <v>222.20580087523689</v>
      </c>
      <c r="BJ87" s="62">
        <f t="shared" si="92"/>
        <v>232.08940427392253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3.4349010070492891</v>
      </c>
      <c r="BQ87" s="23">
        <f>EXP(-LN(2)/25)*BQ86+(1-EXP(-LN(2)/25))/(LN(2)/25)*Calculateur!BL87*Calculateur!BN87*VLOOKUP('Données projet'!$B$11,Paramètres!$A$1:$I$89,3,0)*0.475*44/12</f>
        <v>3.6776663948209767</v>
      </c>
      <c r="BR87" s="23">
        <f>EXP(-LN(2)/2)*BR86+(1-EXP(-LN(2)/2))/(LN(2)/2)*BL87*BO87*VLOOKUP('Données projet'!$B$11,Paramètres!$A$1:$I$89,3,0)*0.475*44/12</f>
        <v>4.723639000895503E-8</v>
      </c>
      <c r="BS87" s="24">
        <f t="shared" si="63"/>
        <v>7.1125674491066553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9.001923076923072</v>
      </c>
      <c r="BY87" s="13">
        <f>IF('Données projet'!$A$114&gt;35,BY86+BX87-CG86,IF(A87&lt;'Données projet'!$A$114,$BV$205^A87,IF(A87='Données projet'!$A$114,'Données projet'!$B$114,BY86+BX87-CG86)))</f>
        <v>356.13269230769254</v>
      </c>
      <c r="BZ87" s="14">
        <f>BY87*VLOOKUP('Données projet'!$B$12,Paramètres!$A$1:$I$89,3,0)*VLOOKUP('Données projet'!$B$12,Paramètres!$A$1:$I$89,5,0)</f>
        <v>166.6701000000001</v>
      </c>
      <c r="CA87" s="14">
        <f t="shared" si="93"/>
        <v>42.34338029651839</v>
      </c>
      <c r="CB87" s="22">
        <f t="shared" si="64"/>
        <v>364.03181151643639</v>
      </c>
      <c r="CC87" s="62">
        <f t="shared" si="65"/>
        <v>657.36514484976965</v>
      </c>
      <c r="CD87" s="62">
        <f ca="1">AVERAGE(OFFSET($CC$3,0,0,'Données projet'!$E$12+1,1))-AVERAGE(OFFSET($H$3,0,0,'Données projet'!$E$12+1,1))</f>
        <v>179.14256291235466</v>
      </c>
      <c r="CE87" s="62">
        <f t="shared" si="94"/>
        <v>107.5256983607585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-2.8421709430404007E-13</v>
      </c>
      <c r="CU87" s="18">
        <f>CT87*VLOOKUP('Données projet'!$B$13,Paramètres!$A$1:$I$89,3,0)*VLOOKUP('Données projet'!$B$13,Paramètres!$A$1:$I$89,5,0)</f>
        <v>-1.69961822393816E-13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237.03649693529445</v>
      </c>
      <c r="CZ87" s="62">
        <f t="shared" si="96"/>
        <v>191.04289411674887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3.9211432466249469E-8</v>
      </c>
      <c r="DI87" s="24">
        <f t="shared" si="69"/>
        <v>3.9211432466249469E-8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3.7030000000000003</v>
      </c>
      <c r="DO87" s="13">
        <f>IF('Données projet'!$A$166&gt;35,DO86+DN87-DW86,IF(A87&lt;'Données projet'!$A$166,$DL$205^A87,IF(A87='Données projet'!$A$166,'Données projet'!$B$166,DO86+DN87-DW86)))</f>
        <v>233.16200000000006</v>
      </c>
      <c r="DP87" s="18">
        <f>DO87*VLOOKUP('Données projet'!$B$14,Paramètres!$A$1:$I$89,3,0)*VLOOKUP('Données projet'!$B$14,Paramètres!$A$1:$I$89,5,0)</f>
        <v>268.60262400000005</v>
      </c>
      <c r="DQ87" s="14">
        <f t="shared" si="97"/>
        <v>64.552621333709126</v>
      </c>
      <c r="DR87" s="22">
        <f t="shared" si="70"/>
        <v>580.24538562287671</v>
      </c>
      <c r="DS87" s="62">
        <f t="shared" si="71"/>
        <v>873.57871895620997</v>
      </c>
      <c r="DT87" s="62">
        <f ca="1">AVERAGE(OFFSET($DS$3,0,0,'Données projet'!$E$14+1,1))-AVERAGE(OFFSET($H$3,0,0,'Données projet'!$E$14+1,1))</f>
        <v>431.38469096974364</v>
      </c>
      <c r="DU87" s="62">
        <f t="shared" si="98"/>
        <v>295.48627059086647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0.21917511242049031</v>
      </c>
      <c r="EC87" s="23">
        <f>EXP(-LN(2)/2)*EC86+(1-EXP(-LN(2)/2))/(LN(2)/2)*DW87*DZ87*VLOOKUP('Données projet'!$B$14,Paramètres!$A$1:$I$89,3,0)*0.475*44/12</f>
        <v>2.8598570827571974E-8</v>
      </c>
      <c r="ED87" s="24">
        <f t="shared" si="72"/>
        <v>0.21917514101906113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3</v>
      </c>
      <c r="EJ87" s="13">
        <f>IF('Données projet'!$A$192&gt;35,EJ86+EI87-ER86,IF(A87&lt;'Données projet'!$A$192,$EG$205^A87,IF(A87='Données projet'!$A$192,'Données projet'!$B$192,EJ86+EI87-ER86)))</f>
        <v>158</v>
      </c>
      <c r="EK87" s="18">
        <f>EJ87*VLOOKUP('Données projet'!$B$15,Paramètres!$A$1:$I$89,3,0)*VLOOKUP('Données projet'!$B$15,Paramètres!$A$1:$I$89,5,0)</f>
        <v>179.93040000000002</v>
      </c>
      <c r="EL87" s="14">
        <f t="shared" si="99"/>
        <v>45.306701100349692</v>
      </c>
      <c r="EM87" s="22">
        <f t="shared" si="73"/>
        <v>392.28795108310914</v>
      </c>
      <c r="EN87" s="62">
        <f t="shared" si="74"/>
        <v>685.62128441644245</v>
      </c>
      <c r="EO87" s="62">
        <f ca="1">AVERAGE(OFFSET($EN$3,0,0,'Données projet'!$E$15+1,1))-AVERAGE(OFFSET($H$3,0,0,'Données projet'!$E$15+1,1))</f>
        <v>220.03635832253951</v>
      </c>
      <c r="EP87" s="62">
        <f t="shared" si="100"/>
        <v>136.30639155882233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9.8000000000000007</v>
      </c>
      <c r="FE87" s="13">
        <f>IF('Données projet'!$A$218&gt;35,FE86+FD87-FM86,IF(A87&lt;'Données projet'!$A$218,$FB$205^A87,IF(A87='Données projet'!$A$218,'Données projet'!$B$218,FE86+FD87-FM86)))</f>
        <v>422.20000000000039</v>
      </c>
      <c r="FF87" s="18">
        <f>FE87*VLOOKUP('Données projet'!$B$16,Paramètres!$A$1:$I$89,3,0)*VLOOKUP('Données projet'!$B$16,Paramètres!$A$1:$I$89,5,0)</f>
        <v>441.28344000000038</v>
      </c>
      <c r="FG87" s="14">
        <f t="shared" si="101"/>
        <v>100.09780698840051</v>
      </c>
      <c r="FH87" s="22">
        <f t="shared" si="76"/>
        <v>942.90567183813164</v>
      </c>
      <c r="FI87" s="62">
        <f t="shared" si="77"/>
        <v>1236.2390051714649</v>
      </c>
      <c r="FJ87" s="62">
        <f ca="1">AVERAGE(OFFSET($FI$3,0,0,'Données projet'!$E$16+1,1))-AVERAGE(OFFSET($H$3,0,0,'Données projet'!$E$16+1,1))</f>
        <v>641.62708445664862</v>
      </c>
      <c r="FK87" s="62">
        <f t="shared" si="102"/>
        <v>379.46845863546929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1.6164656940998307E-7</v>
      </c>
      <c r="FT87" s="24">
        <f t="shared" si="78"/>
        <v>1.6164656940998307E-7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3</v>
      </c>
      <c r="FZ87" s="13">
        <f>IF('Données projet'!$A$244&gt;35,FZ86+FY87-GH86,IF(A87&lt;'Données projet'!$A$244,$FW$205^A87,IF(A87='Données projet'!$A$244,'Données projet'!$B$244,FZ86+FY87-GH86)))</f>
        <v>158</v>
      </c>
      <c r="GA87" s="18">
        <f>FZ87*VLOOKUP('Données projet'!$B$17,Paramètres!$A$1:$I$89,3,0)*VLOOKUP('Données projet'!$B$17,Paramètres!$A$1:$I$89,5,0)</f>
        <v>152.8176</v>
      </c>
      <c r="GB87" s="14">
        <f t="shared" si="103"/>
        <v>39.218200171484227</v>
      </c>
      <c r="GC87" s="22">
        <f t="shared" si="79"/>
        <v>334.46235196533502</v>
      </c>
      <c r="GD87" s="62">
        <f t="shared" si="80"/>
        <v>627.79568529866833</v>
      </c>
      <c r="GE87" s="62">
        <f ca="1">AVERAGE(OFFSET($GD$3,0,0,'Données projet'!$E$17+1,1))-AVERAGE(OFFSET($H$3,0,0,'Données projet'!$E$17+1,1))</f>
        <v>181.39066880931728</v>
      </c>
      <c r="GF87" s="62">
        <f t="shared" si="104"/>
        <v>116.06078566855524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-1.7053025658242404E-13</v>
      </c>
      <c r="GV87" s="18">
        <f>GU87*VLOOKUP('Données projet'!$B$18,Paramètres!$A$1:$I$89,3,0)*VLOOKUP('Données projet'!$B$18,Paramètres!$A$1:$I$89,5,0)</f>
        <v>-1.4897523215040567E-13</v>
      </c>
      <c r="GW87" s="14" t="e">
        <f t="shared" si="105"/>
        <v>#NUM!</v>
      </c>
      <c r="GX87" s="22" t="e">
        <f t="shared" si="82"/>
        <v>#NUM!</v>
      </c>
      <c r="GY87" s="62" t="e">
        <f t="shared" si="83"/>
        <v>#NUM!</v>
      </c>
      <c r="GZ87" s="62">
        <f ca="1">AVERAGE(OFFSET($GY$3,0,0,'Données projet'!$E$18+1,1))-AVERAGE(OFFSET($H$3,0,0,'Données projet'!$E$18+1,1))</f>
        <v>152.84277478695606</v>
      </c>
      <c r="HA87" s="62">
        <f t="shared" si="106"/>
        <v>179.22995976651015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9">
        <f t="shared" si="56"/>
        <v>361.32802268953901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271.75199999999995</v>
      </c>
      <c r="P88" s="14">
        <f t="shared" si="87"/>
        <v>65.220947824724931</v>
      </c>
      <c r="Q88" s="22">
        <f t="shared" si="54"/>
        <v>586.89455079472907</v>
      </c>
      <c r="R88" s="62">
        <f t="shared" si="55"/>
        <v>880.22788412806244</v>
      </c>
      <c r="S88" s="62">
        <f ca="1">AVERAGE(OFFSET($R$3,0,0,'Données projet'!$E$9+1,1))-AVERAGE(OFFSET($H$3,0,0,'Données projet'!$E$9+1,1))</f>
        <v>383.26814640166805</v>
      </c>
      <c r="T88" s="62">
        <f t="shared" si="88"/>
        <v>233.71216103405249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161</v>
      </c>
      <c r="AG88" s="13">
        <f>VLOOKUP(A88,'Données projet'!$A$61:$I$81,9,0)</f>
        <v>3</v>
      </c>
      <c r="AH88" s="13">
        <f t="array" ref="AH88">INDEX(AG:AG,MIN(IF(ISNUMBER(AG88:AG284),ROW(AG88:AG284),"")))</f>
        <v>3</v>
      </c>
      <c r="AI88" s="14">
        <f>IF('Données projet'!$A$62&gt;35,AI87+AH88-AQ87,IF(A88&lt;'Données projet'!$A$62,$AF$205^A88,IF(A88='Données projet'!$A$62,'Données projet'!$B$62,AI87+AH88-AQ87)))</f>
        <v>161</v>
      </c>
      <c r="AJ88" s="14">
        <f>AI88*VLOOKUP('Données projet'!$B$10,Paramètres!$A$1:$I$89,3,0)*VLOOKUP('Données projet'!$B$10,Paramètres!$A$1:$I$89,5,0)</f>
        <v>173.3004</v>
      </c>
      <c r="AK88" s="14">
        <f t="shared" si="89"/>
        <v>43.82837416766705</v>
      </c>
      <c r="AL88" s="22">
        <f t="shared" si="58"/>
        <v>378.1659483420201</v>
      </c>
      <c r="AM88" s="62">
        <f t="shared" si="59"/>
        <v>671.49928167535336</v>
      </c>
      <c r="AN88" s="62">
        <f ca="1">AVERAGE(OFFSET($AM$3,0,0,'Données projet'!$E$10+1,1))-AVERAGE(OFFSET($H$3,0,0,'Données projet'!$E$10+1,1))</f>
        <v>205.99910063756408</v>
      </c>
      <c r="AO88" s="62">
        <f t="shared" si="90"/>
        <v>128.95330275493671</v>
      </c>
      <c r="AP88" s="16">
        <f>IF(ISNA(VLOOKUP(A88,'Données projet'!$A$61:$I$81,3,0)),0,VLOOKUP(A88,'Données projet'!$A$61:$I$81,3,0))</f>
        <v>6</v>
      </c>
      <c r="AQ88" s="16">
        <f>IF(ISNA(VLOOKUP(A88,'Données projet'!$A$61:$I$81,4,0)),0,VLOOKUP(A88,'Données projet'!$A$61:$I$81,4,0))</f>
        <v>18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293.3333333333353</v>
      </c>
      <c r="BI88" s="62">
        <f ca="1">AVERAGE(OFFSET($BH$3,0,0,'Données projet'!$E$11+1,1))-AVERAGE(OFFSET($H$3,0,0,'Données projet'!$E$11+1,1))</f>
        <v>222.20580087523689</v>
      </c>
      <c r="BJ88" s="62">
        <f t="shared" si="92"/>
        <v>232.08940427392253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3.3675446933837945</v>
      </c>
      <c r="BQ88" s="23">
        <f>EXP(-LN(2)/25)*BQ87+(1-EXP(-LN(2)/25))/(LN(2)/25)*Calculateur!BL88*Calculateur!BN88*VLOOKUP('Données projet'!$B$11,Paramètres!$A$1:$I$89,3,0)*0.475*44/12</f>
        <v>3.5771004138545268</v>
      </c>
      <c r="BR88" s="23">
        <f>EXP(-LN(2)/2)*BR87+(1-EXP(-LN(2)/2))/(LN(2)/2)*BL88*BO88*VLOOKUP('Données projet'!$B$11,Paramètres!$A$1:$I$89,3,0)*0.475*44/12</f>
        <v>3.3401171694104584E-8</v>
      </c>
      <c r="BS88" s="24">
        <f t="shared" si="63"/>
        <v>6.9446451406394925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9.001923076923072</v>
      </c>
      <c r="BY88" s="13">
        <f>IF('Données projet'!$A$114&gt;35,BY87+BX88-CG87,IF(A88&lt;'Données projet'!$A$114,$BV$205^A88,IF(A88='Données projet'!$A$114,'Données projet'!$B$114,BY87+BX88-CG87)))</f>
        <v>365.13461538461559</v>
      </c>
      <c r="BZ88" s="14">
        <f>BY88*VLOOKUP('Données projet'!$B$12,Paramètres!$A$1:$I$89,3,0)*VLOOKUP('Données projet'!$B$12,Paramètres!$A$1:$I$89,5,0)</f>
        <v>170.8830000000001</v>
      </c>
      <c r="CA88" s="14">
        <f t="shared" si="93"/>
        <v>43.287726543807658</v>
      </c>
      <c r="CB88" s="22">
        <f t="shared" si="64"/>
        <v>373.0140153971318</v>
      </c>
      <c r="CC88" s="62">
        <f t="shared" si="65"/>
        <v>666.34734873046511</v>
      </c>
      <c r="CD88" s="62">
        <f ca="1">AVERAGE(OFFSET($CC$3,0,0,'Données projet'!$E$12+1,1))-AVERAGE(OFFSET($H$3,0,0,'Données projet'!$E$12+1,1))</f>
        <v>179.14256291235466</v>
      </c>
      <c r="CE88" s="62">
        <f t="shared" si="94"/>
        <v>107.5256983607585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-2.8421709430404007E-13</v>
      </c>
      <c r="CU88" s="18">
        <f>CT88*VLOOKUP('Données projet'!$B$13,Paramètres!$A$1:$I$89,3,0)*VLOOKUP('Données projet'!$B$13,Paramètres!$A$1:$I$89,5,0)</f>
        <v>-1.69961822393816E-13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237.03649693529445</v>
      </c>
      <c r="CZ88" s="62">
        <f t="shared" si="96"/>
        <v>191.04289411674887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2.7726669796923349E-8</v>
      </c>
      <c r="DI88" s="24">
        <f t="shared" si="69"/>
        <v>2.7726669796923349E-8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3.7030000000000003</v>
      </c>
      <c r="DO88" s="13">
        <f>IF('Données projet'!$A$166&gt;35,DO87+DN88-DW87,IF(A88&lt;'Données projet'!$A$166,$DL$205^A88,IF(A88='Données projet'!$A$166,'Données projet'!$B$166,DO87+DN88-DW87)))</f>
        <v>236.86500000000007</v>
      </c>
      <c r="DP88" s="18">
        <f>DO88*VLOOKUP('Données projet'!$B$14,Paramètres!$A$1:$I$89,3,0)*VLOOKUP('Données projet'!$B$14,Paramètres!$A$1:$I$89,5,0)</f>
        <v>272.86848000000003</v>
      </c>
      <c r="DQ88" s="14">
        <f t="shared" si="97"/>
        <v>65.45765821033855</v>
      </c>
      <c r="DR88" s="22">
        <f t="shared" si="70"/>
        <v>589.25135738300639</v>
      </c>
      <c r="DS88" s="62">
        <f t="shared" si="71"/>
        <v>882.58469071633976</v>
      </c>
      <c r="DT88" s="62">
        <f ca="1">AVERAGE(OFFSET($DS$3,0,0,'Données projet'!$E$14+1,1))-AVERAGE(OFFSET($H$3,0,0,'Données projet'!$E$14+1,1))</f>
        <v>431.38469096974364</v>
      </c>
      <c r="DU88" s="62">
        <f t="shared" si="98"/>
        <v>295.48627059086647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0.21318175744543377</v>
      </c>
      <c r="EC88" s="23">
        <f>EXP(-LN(2)/2)*EC87+(1-EXP(-LN(2)/2))/(LN(2)/2)*DW88*DZ88*VLOOKUP('Données projet'!$B$14,Paramètres!$A$1:$I$89,3,0)*0.475*44/12</f>
        <v>2.0222243364419917E-8</v>
      </c>
      <c r="ED88" s="24">
        <f t="shared" si="72"/>
        <v>0.21318177766767712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161</v>
      </c>
      <c r="EH88" s="13">
        <f>VLOOKUP(A88,'Données projet'!$A$191:$I$211,9,0)</f>
        <v>3</v>
      </c>
      <c r="EI88" s="13">
        <f t="array" ref="EI88">INDEX(EH:EH,MIN(IF(ISNUMBER(EH88:EH284),ROW(EH88:EH284),"")))</f>
        <v>3</v>
      </c>
      <c r="EJ88" s="13">
        <f>IF('Données projet'!$A$192&gt;35,EJ87+EI88-ER87,IF(A88&lt;'Données projet'!$A$192,$EG$205^A88,IF(A88='Données projet'!$A$192,'Données projet'!$B$192,EJ87+EI88-ER87)))</f>
        <v>161</v>
      </c>
      <c r="EK88" s="18">
        <f>EJ88*VLOOKUP('Données projet'!$B$15,Paramètres!$A$1:$I$89,3,0)*VLOOKUP('Données projet'!$B$15,Paramètres!$A$1:$I$89,5,0)</f>
        <v>183.3468</v>
      </c>
      <c r="EL88" s="14">
        <f t="shared" si="99"/>
        <v>46.06598726946973</v>
      </c>
      <c r="EM88" s="22">
        <f t="shared" si="73"/>
        <v>399.56060449432636</v>
      </c>
      <c r="EN88" s="62">
        <f t="shared" si="74"/>
        <v>692.89393782765967</v>
      </c>
      <c r="EO88" s="62">
        <f ca="1">AVERAGE(OFFSET($EN$3,0,0,'Données projet'!$E$15+1,1))-AVERAGE(OFFSET($H$3,0,0,'Données projet'!$E$15+1,1))</f>
        <v>220.03635832253951</v>
      </c>
      <c r="EP88" s="62">
        <f t="shared" si="100"/>
        <v>136.30639155882233</v>
      </c>
      <c r="EQ88" s="16">
        <f>IF(ISNA(VLOOKUP(A88,'Données projet'!$A$191:$I$211,3,0)),0,VLOOKUP(A88,'Données projet'!$A$191:$I$211,3,0))</f>
        <v>6</v>
      </c>
      <c r="ER88" s="16">
        <f>IF(ISNA(VLOOKUP(A88,'Données projet'!$A$191:$I$211,4,0)),0,VLOOKUP(A88,'Données projet'!$A$191:$I$211,4,0))</f>
        <v>18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432</v>
      </c>
      <c r="FC88" s="13">
        <f>VLOOKUP(A88,'Données projet'!$A$217:$I$237,9,0)</f>
        <v>9.8000000000000007</v>
      </c>
      <c r="FD88" s="13">
        <f t="array" ref="FD88">INDEX(FC:FC,MIN(IF(ISNUMBER(FC88:FC284),ROW(FC88:FC284),"")))</f>
        <v>9.8000000000000007</v>
      </c>
      <c r="FE88" s="13">
        <f>IF('Données projet'!$A$218&gt;35,FE87+FD88-FM87,IF(A88&lt;'Données projet'!$A$218,$FB$205^A88,IF(A88='Données projet'!$A$218,'Données projet'!$B$218,FE87+FD88-FM87)))</f>
        <v>432.0000000000004</v>
      </c>
      <c r="FF88" s="18">
        <f>FE88*VLOOKUP('Données projet'!$B$16,Paramètres!$A$1:$I$89,3,0)*VLOOKUP('Données projet'!$B$16,Paramètres!$A$1:$I$89,5,0)</f>
        <v>451.52640000000048</v>
      </c>
      <c r="FG88" s="14">
        <f t="shared" si="101"/>
        <v>102.14805327758607</v>
      </c>
      <c r="FH88" s="22">
        <f t="shared" si="76"/>
        <v>964.31633945846306</v>
      </c>
      <c r="FI88" s="62">
        <f t="shared" si="77"/>
        <v>1257.6496727917963</v>
      </c>
      <c r="FJ88" s="62">
        <f ca="1">AVERAGE(OFFSET($FI$3,0,0,'Données projet'!$E$16+1,1))-AVERAGE(OFFSET($H$3,0,0,'Données projet'!$E$16+1,1))</f>
        <v>641.62708445664862</v>
      </c>
      <c r="FK88" s="62">
        <f t="shared" si="102"/>
        <v>379.46845863546929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1.1430138538534097E-7</v>
      </c>
      <c r="FT88" s="24">
        <f t="shared" si="78"/>
        <v>1.1430138538534097E-7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161</v>
      </c>
      <c r="FX88" s="13">
        <f>VLOOKUP(A88,'Données projet'!$A$243:$I$263,9,0)</f>
        <v>3</v>
      </c>
      <c r="FY88" s="13">
        <f t="array" ref="FY88">INDEX(FX:FX,MIN(IF(ISNUMBER(FX88:FX284),ROW(FX88:FX284),"")))</f>
        <v>3</v>
      </c>
      <c r="FZ88" s="13">
        <f>IF('Données projet'!$A$244&gt;35,FZ87+FY88-GH87,IF(A88&lt;'Données projet'!$A$244,$FW$205^A88,IF(A88='Données projet'!$A$244,'Données projet'!$B$244,FZ87+FY88-GH87)))</f>
        <v>161</v>
      </c>
      <c r="GA88" s="18">
        <f>FZ88*VLOOKUP('Données projet'!$B$17,Paramètres!$A$1:$I$89,3,0)*VLOOKUP('Données projet'!$B$17,Paramètres!$A$1:$I$89,5,0)</f>
        <v>155.7192</v>
      </c>
      <c r="GB88" s="14">
        <f t="shared" si="103"/>
        <v>39.875450340770094</v>
      </c>
      <c r="GC88" s="22">
        <f t="shared" si="79"/>
        <v>340.66068267684119</v>
      </c>
      <c r="GD88" s="62">
        <f t="shared" si="80"/>
        <v>633.99401601017451</v>
      </c>
      <c r="GE88" s="62">
        <f ca="1">AVERAGE(OFFSET($GD$3,0,0,'Données projet'!$E$17+1,1))-AVERAGE(OFFSET($H$3,0,0,'Données projet'!$E$17+1,1))</f>
        <v>181.39066880931728</v>
      </c>
      <c r="GF88" s="62">
        <f t="shared" si="104"/>
        <v>116.06078566855524</v>
      </c>
      <c r="GG88" s="16">
        <f>IF(ISNA(VLOOKUP(A88,'Données projet'!$A$243:$I$263,3,0)),0,VLOOKUP(A88,'Données projet'!$A$243:$I$263,3,0))</f>
        <v>6</v>
      </c>
      <c r="GH88" s="16">
        <f>IF(ISNA(VLOOKUP(A88,'Données projet'!$A$243:$I$263,4,0)),0,VLOOKUP(A88,'Données projet'!$A$243:$I$263,4,0))</f>
        <v>18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-1.7053025658242404E-13</v>
      </c>
      <c r="GV88" s="18">
        <f>GU88*VLOOKUP('Données projet'!$B$18,Paramètres!$A$1:$I$89,3,0)*VLOOKUP('Données projet'!$B$18,Paramètres!$A$1:$I$89,5,0)</f>
        <v>-1.4897523215040567E-13</v>
      </c>
      <c r="GW88" s="14" t="e">
        <f t="shared" si="105"/>
        <v>#NUM!</v>
      </c>
      <c r="GX88" s="22" t="e">
        <f t="shared" si="82"/>
        <v>#NUM!</v>
      </c>
      <c r="GY88" s="62" t="e">
        <f t="shared" si="83"/>
        <v>#NUM!</v>
      </c>
      <c r="GZ88" s="62">
        <f ca="1">AVERAGE(OFFSET($GY$3,0,0,'Données projet'!$E$18+1,1))-AVERAGE(OFFSET($H$3,0,0,'Données projet'!$E$18+1,1))</f>
        <v>152.84277478695606</v>
      </c>
      <c r="HA88" s="62">
        <f t="shared" si="106"/>
        <v>179.22995976651015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9">
        <f t="shared" si="56"/>
        <v>362.52652996660277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277.43039999999996</v>
      </c>
      <c r="P89" s="14">
        <f t="shared" si="87"/>
        <v>66.423687500715673</v>
      </c>
      <c r="Q89" s="22">
        <f t="shared" si="54"/>
        <v>598.87920239707967</v>
      </c>
      <c r="R89" s="62">
        <f t="shared" si="55"/>
        <v>892.21253573041304</v>
      </c>
      <c r="S89" s="62">
        <f ca="1">AVERAGE(OFFSET($R$3,0,0,'Données projet'!$E$9+1,1))-AVERAGE(OFFSET($H$3,0,0,'Données projet'!$E$9+1,1))</f>
        <v>383.26814640166805</v>
      </c>
      <c r="T89" s="62">
        <f t="shared" si="88"/>
        <v>233.71216103405249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3.2</v>
      </c>
      <c r="AI89" s="14">
        <f>IF('Données projet'!$A$62&gt;35,AI88+AH89-AQ88,IF(A89&lt;'Données projet'!$A$62,$AF$205^A89,IF(A89='Données projet'!$A$62,'Données projet'!$B$62,AI88+AH89-AQ88)))</f>
        <v>146.19999999999999</v>
      </c>
      <c r="AJ89" s="14">
        <f>AI89*VLOOKUP('Données projet'!$B$10,Paramètres!$A$1:$I$89,3,0)*VLOOKUP('Données projet'!$B$10,Paramètres!$A$1:$I$89,5,0)</f>
        <v>157.36967999999999</v>
      </c>
      <c r="AK89" s="14">
        <f t="shared" si="89"/>
        <v>40.248668251494934</v>
      </c>
      <c r="AL89" s="22">
        <f t="shared" si="58"/>
        <v>344.18528987135369</v>
      </c>
      <c r="AM89" s="62">
        <f t="shared" si="59"/>
        <v>637.51862320468695</v>
      </c>
      <c r="AN89" s="62">
        <f ca="1">AVERAGE(OFFSET($AM$3,0,0,'Données projet'!$E$10+1,1))-AVERAGE(OFFSET($H$3,0,0,'Données projet'!$E$10+1,1))</f>
        <v>205.99910063756408</v>
      </c>
      <c r="AO89" s="62">
        <f t="shared" si="90"/>
        <v>128.95330275493671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293.3333333333353</v>
      </c>
      <c r="BI89" s="62">
        <f ca="1">AVERAGE(OFFSET($BH$3,0,0,'Données projet'!$E$11+1,1))-AVERAGE(OFFSET($H$3,0,0,'Données projet'!$E$11+1,1))</f>
        <v>222.20580087523689</v>
      </c>
      <c r="BJ89" s="62">
        <f t="shared" si="92"/>
        <v>232.08940427392253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3.3015091959459855</v>
      </c>
      <c r="BQ89" s="23">
        <f>EXP(-LN(2)/25)*BQ88+(1-EXP(-LN(2)/25))/(LN(2)/25)*Calculateur!BL89*Calculateur!BN89*VLOOKUP('Données projet'!$B$11,Paramètres!$A$1:$I$89,3,0)*0.475*44/12</f>
        <v>3.4792844149261395</v>
      </c>
      <c r="BR89" s="23">
        <f>EXP(-LN(2)/2)*BR88+(1-EXP(-LN(2)/2))/(LN(2)/2)*BL89*BO89*VLOOKUP('Données projet'!$B$11,Paramètres!$A$1:$I$89,3,0)*0.475*44/12</f>
        <v>2.3618195004477515E-8</v>
      </c>
      <c r="BS89" s="24">
        <f t="shared" si="63"/>
        <v>6.7807936344903208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9.001923076923072</v>
      </c>
      <c r="BY89" s="13">
        <f>IF('Données projet'!$A$114&gt;35,BY88+BX89-CG88,IF(A89&lt;'Données projet'!$A$114,$BV$205^A89,IF(A89='Données projet'!$A$114,'Données projet'!$B$114,BY88+BX89-CG88)))</f>
        <v>374.13653846153863</v>
      </c>
      <c r="BZ89" s="14">
        <f>BY89*VLOOKUP('Données projet'!$B$12,Paramètres!$A$1:$I$89,3,0)*VLOOKUP('Données projet'!$B$12,Paramètres!$A$1:$I$89,5,0)</f>
        <v>175.09590000000009</v>
      </c>
      <c r="CA89" s="14">
        <f t="shared" si="93"/>
        <v>44.229366403274248</v>
      </c>
      <c r="CB89" s="22">
        <f t="shared" si="64"/>
        <v>381.99150565236943</v>
      </c>
      <c r="CC89" s="62">
        <f t="shared" si="65"/>
        <v>675.32483898570274</v>
      </c>
      <c r="CD89" s="62">
        <f ca="1">AVERAGE(OFFSET($CC$3,0,0,'Données projet'!$E$12+1,1))-AVERAGE(OFFSET($H$3,0,0,'Données projet'!$E$12+1,1))</f>
        <v>179.14256291235466</v>
      </c>
      <c r="CE89" s="62">
        <f t="shared" si="94"/>
        <v>107.5256983607585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-2.8421709430404007E-13</v>
      </c>
      <c r="CU89" s="18">
        <f>CT89*VLOOKUP('Données projet'!$B$13,Paramètres!$A$1:$I$89,3,0)*VLOOKUP('Données projet'!$B$13,Paramètres!$A$1:$I$89,5,0)</f>
        <v>-1.69961822393816E-13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237.03649693529445</v>
      </c>
      <c r="CZ89" s="62">
        <f t="shared" si="96"/>
        <v>191.04289411674887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1.9605716233124735E-8</v>
      </c>
      <c r="DI89" s="24">
        <f t="shared" si="69"/>
        <v>1.9605716233124735E-8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3.7030000000000003</v>
      </c>
      <c r="DO89" s="13">
        <f>IF('Données projet'!$A$166&gt;35,DO88+DN89-DW88,IF(A89&lt;'Données projet'!$A$166,$DL$205^A89,IF(A89='Données projet'!$A$166,'Données projet'!$B$166,DO88+DN89-DW88)))</f>
        <v>240.56800000000007</v>
      </c>
      <c r="DP89" s="18">
        <f>DO89*VLOOKUP('Données projet'!$B$14,Paramètres!$A$1:$I$89,3,0)*VLOOKUP('Données projet'!$B$14,Paramètres!$A$1:$I$89,5,0)</f>
        <v>277.13433600000008</v>
      </c>
      <c r="DQ89" s="14">
        <f t="shared" si="97"/>
        <v>66.361049595286119</v>
      </c>
      <c r="DR89" s="22">
        <f t="shared" si="70"/>
        <v>598.25446324512336</v>
      </c>
      <c r="DS89" s="62">
        <f t="shared" si="71"/>
        <v>891.58779657845662</v>
      </c>
      <c r="DT89" s="62">
        <f ca="1">AVERAGE(OFFSET($DS$3,0,0,'Données projet'!$E$14+1,1))-AVERAGE(OFFSET($H$3,0,0,'Données projet'!$E$14+1,1))</f>
        <v>431.38469096974364</v>
      </c>
      <c r="DU89" s="62">
        <f t="shared" si="98"/>
        <v>295.48627059086647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0.20735229107734698</v>
      </c>
      <c r="EC89" s="23">
        <f>EXP(-LN(2)/2)*EC88+(1-EXP(-LN(2)/2))/(LN(2)/2)*DW89*DZ89*VLOOKUP('Données projet'!$B$14,Paramètres!$A$1:$I$89,3,0)*0.475*44/12</f>
        <v>1.4299285413785987E-8</v>
      </c>
      <c r="ED89" s="24">
        <f t="shared" si="72"/>
        <v>0.20735230537663241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3.2</v>
      </c>
      <c r="EJ89" s="13">
        <f>IF('Données projet'!$A$192&gt;35,EJ88+EI89-ER88,IF(A89&lt;'Données projet'!$A$192,$EG$205^A89,IF(A89='Données projet'!$A$192,'Données projet'!$B$192,EJ88+EI89-ER88)))</f>
        <v>146.19999999999999</v>
      </c>
      <c r="EK89" s="18">
        <f>EJ89*VLOOKUP('Données projet'!$B$15,Paramètres!$A$1:$I$89,3,0)*VLOOKUP('Données projet'!$B$15,Paramètres!$A$1:$I$89,5,0)</f>
        <v>166.49255999999997</v>
      </c>
      <c r="EL89" s="14">
        <f t="shared" si="99"/>
        <v>42.303523105684214</v>
      </c>
      <c r="EM89" s="22">
        <f t="shared" si="73"/>
        <v>363.65317807573325</v>
      </c>
      <c r="EN89" s="62">
        <f t="shared" si="74"/>
        <v>656.98651140906657</v>
      </c>
      <c r="EO89" s="62">
        <f ca="1">AVERAGE(OFFSET($EN$3,0,0,'Données projet'!$E$15+1,1))-AVERAGE(OFFSET($H$3,0,0,'Données projet'!$E$15+1,1))</f>
        <v>220.03635832253951</v>
      </c>
      <c r="EP89" s="62">
        <f t="shared" si="100"/>
        <v>136.30639155882233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2.6</v>
      </c>
      <c r="FE89" s="13">
        <f>IF('Données projet'!$A$218&gt;35,FE88+FD89-FM88,IF(A89&lt;'Données projet'!$A$218,$FB$205^A89,IF(A89='Données projet'!$A$218,'Données projet'!$B$218,FE88+FD89-FM88)))</f>
        <v>434.60000000000042</v>
      </c>
      <c r="FF89" s="18">
        <f>FE89*VLOOKUP('Données projet'!$B$16,Paramètres!$A$1:$I$89,3,0)*VLOOKUP('Données projet'!$B$16,Paramètres!$A$1:$I$89,5,0)</f>
        <v>454.24392000000046</v>
      </c>
      <c r="FG89" s="14">
        <f t="shared" si="101"/>
        <v>102.69108298872473</v>
      </c>
      <c r="FH89" s="22">
        <f t="shared" si="76"/>
        <v>969.9951302053629</v>
      </c>
      <c r="FI89" s="62">
        <f t="shared" si="77"/>
        <v>1263.3284635386963</v>
      </c>
      <c r="FJ89" s="62">
        <f ca="1">AVERAGE(OFFSET($FI$3,0,0,'Données projet'!$E$16+1,1))-AVERAGE(OFFSET($H$3,0,0,'Données projet'!$E$16+1,1))</f>
        <v>641.62708445664862</v>
      </c>
      <c r="FK89" s="62">
        <f t="shared" si="102"/>
        <v>379.46845863546929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8.0823284704991537E-8</v>
      </c>
      <c r="FT89" s="24">
        <f t="shared" si="78"/>
        <v>8.0823284704991537E-8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3.2</v>
      </c>
      <c r="FZ89" s="13">
        <f>IF('Données projet'!$A$244&gt;35,FZ88+FY89-GH88,IF(A89&lt;'Données projet'!$A$244,$FW$205^A89,IF(A89='Données projet'!$A$244,'Données projet'!$B$244,FZ88+FY89-GH88)))</f>
        <v>146.19999999999999</v>
      </c>
      <c r="GA89" s="18">
        <f>FZ89*VLOOKUP('Données projet'!$B$17,Paramètres!$A$1:$I$89,3,0)*VLOOKUP('Données projet'!$B$17,Paramètres!$A$1:$I$89,5,0)</f>
        <v>141.40464</v>
      </c>
      <c r="GB89" s="14">
        <f t="shared" si="103"/>
        <v>36.618601593681802</v>
      </c>
      <c r="GC89" s="22">
        <f t="shared" si="79"/>
        <v>310.05714577566249</v>
      </c>
      <c r="GD89" s="62">
        <f t="shared" si="80"/>
        <v>603.39047910899581</v>
      </c>
      <c r="GE89" s="62">
        <f ca="1">AVERAGE(OFFSET($GD$3,0,0,'Données projet'!$E$17+1,1))-AVERAGE(OFFSET($H$3,0,0,'Données projet'!$E$17+1,1))</f>
        <v>181.39066880931728</v>
      </c>
      <c r="GF89" s="62">
        <f t="shared" si="104"/>
        <v>116.06078566855524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-1.7053025658242404E-13</v>
      </c>
      <c r="GV89" s="18">
        <f>GU89*VLOOKUP('Données projet'!$B$18,Paramètres!$A$1:$I$89,3,0)*VLOOKUP('Données projet'!$B$18,Paramètres!$A$1:$I$89,5,0)</f>
        <v>-1.4897523215040567E-13</v>
      </c>
      <c r="GW89" s="14" t="e">
        <f t="shared" si="105"/>
        <v>#NUM!</v>
      </c>
      <c r="GX89" s="22" t="e">
        <f t="shared" si="82"/>
        <v>#NUM!</v>
      </c>
      <c r="GY89" s="62" t="e">
        <f t="shared" si="83"/>
        <v>#NUM!</v>
      </c>
      <c r="GZ89" s="62">
        <f ca="1">AVERAGE(OFFSET($GY$3,0,0,'Données projet'!$E$18+1,1))-AVERAGE(OFFSET($H$3,0,0,'Données projet'!$E$18+1,1))</f>
        <v>152.84277478695606</v>
      </c>
      <c r="HA89" s="62">
        <f t="shared" si="106"/>
        <v>179.22995976651015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9">
        <f t="shared" si="56"/>
        <v>363.72470239644252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283.10879999999997</v>
      </c>
      <c r="P90" s="14">
        <f t="shared" si="87"/>
        <v>67.623564901653808</v>
      </c>
      <c r="Q90" s="22">
        <f t="shared" si="54"/>
        <v>610.85886887038032</v>
      </c>
      <c r="R90" s="62">
        <f t="shared" si="55"/>
        <v>904.19220220371358</v>
      </c>
      <c r="S90" s="62">
        <f ca="1">AVERAGE(OFFSET($R$3,0,0,'Données projet'!$E$9+1,1))-AVERAGE(OFFSET($H$3,0,0,'Données projet'!$E$9+1,1))</f>
        <v>383.26814640166805</v>
      </c>
      <c r="T90" s="62">
        <f t="shared" si="88"/>
        <v>233.71216103405249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3.2</v>
      </c>
      <c r="AI90" s="14">
        <f>IF('Données projet'!$A$62&gt;35,AI89+AH90-AQ89,IF(A90&lt;'Données projet'!$A$62,$AF$205^A90,IF(A90='Données projet'!$A$62,'Données projet'!$B$62,AI89+AH90-AQ89)))</f>
        <v>149.39999999999998</v>
      </c>
      <c r="AJ90" s="14">
        <f>AI90*VLOOKUP('Données projet'!$B$10,Paramètres!$A$1:$I$89,3,0)*VLOOKUP('Données projet'!$B$10,Paramètres!$A$1:$I$89,5,0)</f>
        <v>160.81415999999996</v>
      </c>
      <c r="AK90" s="14">
        <f t="shared" si="89"/>
        <v>41.026097186045085</v>
      </c>
      <c r="AL90" s="22">
        <f t="shared" si="58"/>
        <v>351.53844793236181</v>
      </c>
      <c r="AM90" s="62">
        <f t="shared" si="59"/>
        <v>644.87178126569506</v>
      </c>
      <c r="AN90" s="62">
        <f ca="1">AVERAGE(OFFSET($AM$3,0,0,'Données projet'!$E$10+1,1))-AVERAGE(OFFSET($H$3,0,0,'Données projet'!$E$10+1,1))</f>
        <v>205.99910063756408</v>
      </c>
      <c r="AO90" s="62">
        <f t="shared" si="90"/>
        <v>128.95330275493671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293.3333333333353</v>
      </c>
      <c r="BI90" s="62">
        <f ca="1">AVERAGE(OFFSET($BH$3,0,0,'Données projet'!$E$11+1,1))-AVERAGE(OFFSET($H$3,0,0,'Données projet'!$E$11+1,1))</f>
        <v>222.20580087523689</v>
      </c>
      <c r="BJ90" s="62">
        <f t="shared" si="92"/>
        <v>232.08940427392253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3.2367686143352556</v>
      </c>
      <c r="BQ90" s="23">
        <f>EXP(-LN(2)/25)*BQ89+(1-EXP(-LN(2)/25))/(LN(2)/25)*Calculateur!BL90*Calculateur!BN90*VLOOKUP('Données projet'!$B$11,Paramètres!$A$1:$I$89,3,0)*0.475*44/12</f>
        <v>3.3841431996323688</v>
      </c>
      <c r="BR90" s="23">
        <f>EXP(-LN(2)/2)*BR89+(1-EXP(-LN(2)/2))/(LN(2)/2)*BL90*BO90*VLOOKUP('Données projet'!$B$11,Paramètres!$A$1:$I$89,3,0)*0.475*44/12</f>
        <v>1.6700585847052292E-8</v>
      </c>
      <c r="BS90" s="24">
        <f t="shared" si="63"/>
        <v>6.6209118306682102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>
        <f>VLOOKUP(A90,'Données projet'!$A$113:$I$133,2,0)</f>
        <v>383.13846153846151</v>
      </c>
      <c r="BW90" s="13">
        <f>VLOOKUP(A90,'Données projet'!$A$113:$I$133,9,0)</f>
        <v>9.001923076923072</v>
      </c>
      <c r="BX90" s="13">
        <f t="array" ref="BX90">INDEX(BW:BW,MIN(IF(ISNUMBER(BW90:BW286),ROW(BW90:BW286),"")))</f>
        <v>9.001923076923072</v>
      </c>
      <c r="BY90" s="13">
        <f>IF('Données projet'!$A$114&gt;35,BY89+BX90-CG89,IF(A90&lt;'Données projet'!$A$114,$BV$205^A90,IF(A90='Données projet'!$A$114,'Données projet'!$B$114,BY89+BX90-CG89)))</f>
        <v>383.13846153846168</v>
      </c>
      <c r="BZ90" s="14">
        <f>BY90*VLOOKUP('Données projet'!$B$12,Paramètres!$A$1:$I$89,3,0)*VLOOKUP('Données projet'!$B$12,Paramètres!$A$1:$I$89,5,0)</f>
        <v>179.30880000000008</v>
      </c>
      <c r="CA90" s="14">
        <f t="shared" si="93"/>
        <v>45.168372484136597</v>
      </c>
      <c r="CB90" s="22">
        <f t="shared" si="64"/>
        <v>390.96440874320461</v>
      </c>
      <c r="CC90" s="62">
        <f t="shared" si="65"/>
        <v>684.29774207653793</v>
      </c>
      <c r="CD90" s="62">
        <f ca="1">AVERAGE(OFFSET($CC$3,0,0,'Données projet'!$E$12+1,1))-AVERAGE(OFFSET($H$3,0,0,'Données projet'!$E$12+1,1))</f>
        <v>179.14256291235466</v>
      </c>
      <c r="CE90" s="62">
        <f t="shared" si="94"/>
        <v>107.5256983607585</v>
      </c>
      <c r="CF90" s="16">
        <f>IF(ISNA(VLOOKUP(A90,'Données projet'!$A$113:$I$133,3,0)),0,VLOOKUP(A90,'Données projet'!$A$113:$I$133,3,0))</f>
        <v>4</v>
      </c>
      <c r="CG90" s="16">
        <f>IF(ISNA(VLOOKUP(A90,'Données projet'!$A$113:$I$133,4,0)),0,VLOOKUP(A90,'Données projet'!$A$113:$I$133,4,0))</f>
        <v>82.938461538461524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-2.8421709430404007E-13</v>
      </c>
      <c r="CU90" s="18">
        <f>CT90*VLOOKUP('Données projet'!$B$13,Paramètres!$A$1:$I$89,3,0)*VLOOKUP('Données projet'!$B$13,Paramètres!$A$1:$I$89,5,0)</f>
        <v>-1.69961822393816E-13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237.03649693529445</v>
      </c>
      <c r="CZ90" s="62">
        <f t="shared" si="96"/>
        <v>191.04289411674887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1.3863334898461675E-8</v>
      </c>
      <c r="DI90" s="24">
        <f t="shared" si="69"/>
        <v>1.3863334898461675E-8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3.7030000000000003</v>
      </c>
      <c r="DO90" s="13">
        <f>IF('Données projet'!$A$166&gt;35,DO89+DN90-DW89,IF(A90&lt;'Données projet'!$A$166,$DL$205^A90,IF(A90='Données projet'!$A$166,'Données projet'!$B$166,DO89+DN90-DW89)))</f>
        <v>244.27100000000007</v>
      </c>
      <c r="DP90" s="18">
        <f>DO90*VLOOKUP('Données projet'!$B$14,Paramètres!$A$1:$I$89,3,0)*VLOOKUP('Données projet'!$B$14,Paramètres!$A$1:$I$89,5,0)</f>
        <v>281.40019200000006</v>
      </c>
      <c r="DQ90" s="14">
        <f t="shared" si="97"/>
        <v>67.2628237423543</v>
      </c>
      <c r="DR90" s="22">
        <f t="shared" si="70"/>
        <v>607.25475241793379</v>
      </c>
      <c r="DS90" s="62">
        <f t="shared" si="71"/>
        <v>900.58808575126704</v>
      </c>
      <c r="DT90" s="62">
        <f ca="1">AVERAGE(OFFSET($DS$3,0,0,'Données projet'!$E$14+1,1))-AVERAGE(OFFSET($H$3,0,0,'Données projet'!$E$14+1,1))</f>
        <v>431.38469096974364</v>
      </c>
      <c r="DU90" s="62">
        <f t="shared" si="98"/>
        <v>295.48627059086647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0.20168223177365385</v>
      </c>
      <c r="EC90" s="23">
        <f>EXP(-LN(2)/2)*EC89+(1-EXP(-LN(2)/2))/(LN(2)/2)*DW90*DZ90*VLOOKUP('Données projet'!$B$14,Paramètres!$A$1:$I$89,3,0)*0.475*44/12</f>
        <v>1.0111121682209958E-8</v>
      </c>
      <c r="ED90" s="24">
        <f t="shared" si="72"/>
        <v>0.20168224188477554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3.2</v>
      </c>
      <c r="EJ90" s="13">
        <f>IF('Données projet'!$A$192&gt;35,EJ89+EI90-ER89,IF(A90&lt;'Données projet'!$A$192,$EG$205^A90,IF(A90='Données projet'!$A$192,'Données projet'!$B$192,EJ89+EI90-ER89)))</f>
        <v>149.39999999999998</v>
      </c>
      <c r="EK90" s="18">
        <f>EJ90*VLOOKUP('Données projet'!$B$15,Paramètres!$A$1:$I$89,3,0)*VLOOKUP('Données projet'!$B$15,Paramètres!$A$1:$I$89,5,0)</f>
        <v>170.13671999999997</v>
      </c>
      <c r="EL90" s="14">
        <f t="shared" si="99"/>
        <v>43.120642884412504</v>
      </c>
      <c r="EM90" s="22">
        <f t="shared" si="73"/>
        <v>371.42324035701841</v>
      </c>
      <c r="EN90" s="62">
        <f t="shared" si="74"/>
        <v>664.75657369035173</v>
      </c>
      <c r="EO90" s="62">
        <f ca="1">AVERAGE(OFFSET($EN$3,0,0,'Données projet'!$E$15+1,1))-AVERAGE(OFFSET($H$3,0,0,'Données projet'!$E$15+1,1))</f>
        <v>220.03635832253951</v>
      </c>
      <c r="EP90" s="62">
        <f t="shared" si="100"/>
        <v>136.30639155882233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2.6</v>
      </c>
      <c r="FE90" s="13">
        <f>IF('Données projet'!$A$218&gt;35,FE89+FD90-FM89,IF(A90&lt;'Données projet'!$A$218,$FB$205^A90,IF(A90='Données projet'!$A$218,'Données projet'!$B$218,FE89+FD90-FM89)))</f>
        <v>437.20000000000044</v>
      </c>
      <c r="FF90" s="18">
        <f>FE90*VLOOKUP('Données projet'!$B$16,Paramètres!$A$1:$I$89,3,0)*VLOOKUP('Données projet'!$B$16,Paramètres!$A$1:$I$89,5,0)</f>
        <v>456.96144000000049</v>
      </c>
      <c r="FG90" s="14">
        <f t="shared" si="101"/>
        <v>103.23373468251272</v>
      </c>
      <c r="FH90" s="22">
        <f t="shared" si="76"/>
        <v>975.67326257204365</v>
      </c>
      <c r="FI90" s="62">
        <f t="shared" si="77"/>
        <v>1269.006595905377</v>
      </c>
      <c r="FJ90" s="62">
        <f ca="1">AVERAGE(OFFSET($FI$3,0,0,'Données projet'!$E$16+1,1))-AVERAGE(OFFSET($H$3,0,0,'Données projet'!$E$16+1,1))</f>
        <v>641.62708445664862</v>
      </c>
      <c r="FK90" s="62">
        <f t="shared" si="102"/>
        <v>379.46845863546929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5.7150692692670485E-8</v>
      </c>
      <c r="FT90" s="24">
        <f t="shared" si="78"/>
        <v>5.7150692692670485E-8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3.2</v>
      </c>
      <c r="FZ90" s="13">
        <f>IF('Données projet'!$A$244&gt;35,FZ89+FY90-GH89,IF(A90&lt;'Données projet'!$A$244,$FW$205^A90,IF(A90='Données projet'!$A$244,'Données projet'!$B$244,FZ89+FY90-GH89)))</f>
        <v>149.39999999999998</v>
      </c>
      <c r="GA90" s="18">
        <f>FZ90*VLOOKUP('Données projet'!$B$17,Paramètres!$A$1:$I$89,3,0)*VLOOKUP('Données projet'!$B$17,Paramètres!$A$1:$I$89,5,0)</f>
        <v>144.49967999999998</v>
      </c>
      <c r="GB90" s="14">
        <f t="shared" si="103"/>
        <v>37.325913454134138</v>
      </c>
      <c r="GC90" s="22">
        <f t="shared" si="79"/>
        <v>316.67957526595023</v>
      </c>
      <c r="GD90" s="62">
        <f t="shared" si="80"/>
        <v>610.01290859928349</v>
      </c>
      <c r="GE90" s="62">
        <f ca="1">AVERAGE(OFFSET($GD$3,0,0,'Données projet'!$E$17+1,1))-AVERAGE(OFFSET($H$3,0,0,'Données projet'!$E$17+1,1))</f>
        <v>181.39066880931728</v>
      </c>
      <c r="GF90" s="62">
        <f t="shared" si="104"/>
        <v>116.06078566855524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-1.7053025658242404E-13</v>
      </c>
      <c r="GV90" s="18">
        <f>GU90*VLOOKUP('Données projet'!$B$18,Paramètres!$A$1:$I$89,3,0)*VLOOKUP('Données projet'!$B$18,Paramètres!$A$1:$I$89,5,0)</f>
        <v>-1.4897523215040567E-13</v>
      </c>
      <c r="GW90" s="14" t="e">
        <f t="shared" si="105"/>
        <v>#NUM!</v>
      </c>
      <c r="GX90" s="22" t="e">
        <f t="shared" si="82"/>
        <v>#NUM!</v>
      </c>
      <c r="GY90" s="62" t="e">
        <f t="shared" si="83"/>
        <v>#NUM!</v>
      </c>
      <c r="GZ90" s="62">
        <f ca="1">AVERAGE(OFFSET($GY$3,0,0,'Données projet'!$E$18+1,1))-AVERAGE(OFFSET($H$3,0,0,'Données projet'!$E$18+1,1))</f>
        <v>152.84277478695606</v>
      </c>
      <c r="HA90" s="62">
        <f t="shared" si="106"/>
        <v>179.22995976651015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9">
        <f t="shared" si="56"/>
        <v>364.92254427319637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288.78720000000004</v>
      </c>
      <c r="P91" s="14">
        <f t="shared" si="87"/>
        <v>68.820644053442436</v>
      </c>
      <c r="Q91" s="22">
        <f t="shared" si="54"/>
        <v>622.83366172641229</v>
      </c>
      <c r="R91" s="62">
        <f t="shared" si="55"/>
        <v>916.16699505974566</v>
      </c>
      <c r="S91" s="62">
        <f ca="1">AVERAGE(OFFSET($R$3,0,0,'Données projet'!$E$9+1,1))-AVERAGE(OFFSET($H$3,0,0,'Données projet'!$E$9+1,1))</f>
        <v>383.26814640166805</v>
      </c>
      <c r="T91" s="62">
        <f t="shared" si="88"/>
        <v>233.71216103405249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3.2</v>
      </c>
      <c r="AI91" s="14">
        <f>IF('Données projet'!$A$62&gt;35,AI90+AH91-AQ90,IF(A91&lt;'Données projet'!$A$62,$AF$205^A91,IF(A91='Données projet'!$A$62,'Données projet'!$B$62,AI90+AH91-AQ90)))</f>
        <v>152.59999999999997</v>
      </c>
      <c r="AJ91" s="14">
        <f>AI91*VLOOKUP('Données projet'!$B$10,Paramètres!$A$1:$I$89,3,0)*VLOOKUP('Données projet'!$B$10,Paramètres!$A$1:$I$89,5,0)</f>
        <v>164.25863999999996</v>
      </c>
      <c r="AK91" s="14">
        <f t="shared" si="89"/>
        <v>41.80159011374478</v>
      </c>
      <c r="AL91" s="22">
        <f t="shared" si="58"/>
        <v>358.8882341147721</v>
      </c>
      <c r="AM91" s="62">
        <f t="shared" si="59"/>
        <v>652.22156744810536</v>
      </c>
      <c r="AN91" s="62">
        <f ca="1">AVERAGE(OFFSET($AM$3,0,0,'Données projet'!$E$10+1,1))-AVERAGE(OFFSET($H$3,0,0,'Données projet'!$E$10+1,1))</f>
        <v>205.99910063756408</v>
      </c>
      <c r="AO91" s="62">
        <f t="shared" si="90"/>
        <v>128.95330275493671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293.3333333333353</v>
      </c>
      <c r="BI91" s="62">
        <f ca="1">AVERAGE(OFFSET($BH$3,0,0,'Données projet'!$E$11+1,1))-AVERAGE(OFFSET($H$3,0,0,'Données projet'!$E$11+1,1))</f>
        <v>222.20580087523689</v>
      </c>
      <c r="BJ91" s="62">
        <f t="shared" si="92"/>
        <v>232.08940427392253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3.1732975560420567</v>
      </c>
      <c r="BQ91" s="23">
        <f>EXP(-LN(2)/25)*BQ90+(1-EXP(-LN(2)/25))/(LN(2)/25)*Calculateur!BL91*Calculateur!BN91*VLOOKUP('Données projet'!$B$11,Paramètres!$A$1:$I$89,3,0)*0.475*44/12</f>
        <v>3.2916036258740653</v>
      </c>
      <c r="BR91" s="23">
        <f>EXP(-LN(2)/2)*BR90+(1-EXP(-LN(2)/2))/(LN(2)/2)*BL91*BO91*VLOOKUP('Données projet'!$B$11,Paramètres!$A$1:$I$89,3,0)*0.475*44/12</f>
        <v>1.1809097502238757E-8</v>
      </c>
      <c r="BS91" s="24">
        <f t="shared" si="63"/>
        <v>6.4649011937252201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8.1391025641025667</v>
      </c>
      <c r="BY91" s="13">
        <f>IF('Données projet'!$A$114&gt;35,BY90+BX91-CG90,IF(A91&lt;'Données projet'!$A$114,$BV$205^A91,IF(A91='Données projet'!$A$114,'Données projet'!$B$114,BY90+BX91-CG90)))</f>
        <v>308.33910256410275</v>
      </c>
      <c r="BZ91" s="14">
        <f>BY91*VLOOKUP('Données projet'!$B$12,Paramètres!$A$1:$I$89,3,0)*VLOOKUP('Données projet'!$B$12,Paramètres!$A$1:$I$89,5,0)</f>
        <v>144.30270000000007</v>
      </c>
      <c r="CA91" s="14">
        <f t="shared" si="93"/>
        <v>37.280950392910917</v>
      </c>
      <c r="CB91" s="22">
        <f t="shared" si="64"/>
        <v>316.25819110098661</v>
      </c>
      <c r="CC91" s="62">
        <f t="shared" si="65"/>
        <v>609.59152443431992</v>
      </c>
      <c r="CD91" s="62">
        <f ca="1">AVERAGE(OFFSET($CC$3,0,0,'Données projet'!$E$12+1,1))-AVERAGE(OFFSET($H$3,0,0,'Données projet'!$E$12+1,1))</f>
        <v>179.14256291235466</v>
      </c>
      <c r="CE91" s="62">
        <f t="shared" si="94"/>
        <v>107.5256983607585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-2.8421709430404007E-13</v>
      </c>
      <c r="CU91" s="18">
        <f>CT91*VLOOKUP('Données projet'!$B$13,Paramètres!$A$1:$I$89,3,0)*VLOOKUP('Données projet'!$B$13,Paramètres!$A$1:$I$89,5,0)</f>
        <v>-1.69961822393816E-13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237.03649693529445</v>
      </c>
      <c r="CZ91" s="62">
        <f t="shared" si="96"/>
        <v>191.04289411674887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9.8028581165623673E-9</v>
      </c>
      <c r="DI91" s="24">
        <f t="shared" si="69"/>
        <v>9.8028581165623673E-9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3.7030000000000003</v>
      </c>
      <c r="DO91" s="13">
        <f>IF('Données projet'!$A$166&gt;35,DO90+DN91-DW90,IF(A91&lt;'Données projet'!$A$166,$DL$205^A91,IF(A91='Données projet'!$A$166,'Données projet'!$B$166,DO90+DN91-DW90)))</f>
        <v>247.97400000000007</v>
      </c>
      <c r="DP91" s="18">
        <f>DO91*VLOOKUP('Données projet'!$B$14,Paramètres!$A$1:$I$89,3,0)*VLOOKUP('Données projet'!$B$14,Paramètres!$A$1:$I$89,5,0)</f>
        <v>285.6660480000001</v>
      </c>
      <c r="DQ91" s="14">
        <f t="shared" si="97"/>
        <v>68.163007999565238</v>
      </c>
      <c r="DR91" s="22">
        <f t="shared" si="70"/>
        <v>616.25227253257628</v>
      </c>
      <c r="DS91" s="62">
        <f t="shared" si="71"/>
        <v>909.58560586590966</v>
      </c>
      <c r="DT91" s="62">
        <f ca="1">AVERAGE(OFFSET($DS$3,0,0,'Données projet'!$E$14+1,1))-AVERAGE(OFFSET($H$3,0,0,'Données projet'!$E$14+1,1))</f>
        <v>431.38469096974364</v>
      </c>
      <c r="DU91" s="62">
        <f t="shared" si="98"/>
        <v>295.48627059086647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0.19616722053979568</v>
      </c>
      <c r="EC91" s="23">
        <f>EXP(-LN(2)/2)*EC90+(1-EXP(-LN(2)/2))/(LN(2)/2)*DW91*DZ91*VLOOKUP('Données projet'!$B$14,Paramètres!$A$1:$I$89,3,0)*0.475*44/12</f>
        <v>7.1496427068929934E-9</v>
      </c>
      <c r="ED91" s="24">
        <f t="shared" si="72"/>
        <v>0.19616722768943839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3.2</v>
      </c>
      <c r="EJ91" s="13">
        <f>IF('Données projet'!$A$192&gt;35,EJ90+EI91-ER90,IF(A91&lt;'Données projet'!$A$192,$EG$205^A91,IF(A91='Données projet'!$A$192,'Données projet'!$B$192,EJ90+EI91-ER90)))</f>
        <v>152.59999999999997</v>
      </c>
      <c r="EK91" s="18">
        <f>EJ91*VLOOKUP('Données projet'!$B$15,Paramètres!$A$1:$I$89,3,0)*VLOOKUP('Données projet'!$B$15,Paramètres!$A$1:$I$89,5,0)</f>
        <v>173.78087999999997</v>
      </c>
      <c r="EL91" s="14">
        <f t="shared" si="99"/>
        <v>43.935727815428088</v>
      </c>
      <c r="EM91" s="22">
        <f t="shared" si="73"/>
        <v>379.1897586118705</v>
      </c>
      <c r="EN91" s="62">
        <f t="shared" si="74"/>
        <v>672.52309194520376</v>
      </c>
      <c r="EO91" s="62">
        <f ca="1">AVERAGE(OFFSET($EN$3,0,0,'Données projet'!$E$15+1,1))-AVERAGE(OFFSET($H$3,0,0,'Données projet'!$E$15+1,1))</f>
        <v>220.03635832253951</v>
      </c>
      <c r="EP91" s="62">
        <f t="shared" si="100"/>
        <v>136.30639155882233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2.6</v>
      </c>
      <c r="FE91" s="13">
        <f>IF('Données projet'!$A$218&gt;35,FE90+FD91-FM90,IF(A91&lt;'Données projet'!$A$218,$FB$205^A91,IF(A91='Données projet'!$A$218,'Données projet'!$B$218,FE90+FD91-FM90)))</f>
        <v>439.80000000000047</v>
      </c>
      <c r="FF91" s="18">
        <f>FE91*VLOOKUP('Données projet'!$B$16,Paramètres!$A$1:$I$89,3,0)*VLOOKUP('Données projet'!$B$16,Paramètres!$A$1:$I$89,5,0)</f>
        <v>459.67896000000053</v>
      </c>
      <c r="FG91" s="14">
        <f t="shared" si="101"/>
        <v>103.77601086782835</v>
      </c>
      <c r="FH91" s="22">
        <f t="shared" si="76"/>
        <v>981.35074092813545</v>
      </c>
      <c r="FI91" s="62">
        <f t="shared" si="77"/>
        <v>1274.6840742614688</v>
      </c>
      <c r="FJ91" s="62">
        <f ca="1">AVERAGE(OFFSET($FI$3,0,0,'Données projet'!$E$16+1,1))-AVERAGE(OFFSET($H$3,0,0,'Données projet'!$E$16+1,1))</f>
        <v>641.62708445664862</v>
      </c>
      <c r="FK91" s="62">
        <f t="shared" si="102"/>
        <v>379.46845863546929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4.0411642352495768E-8</v>
      </c>
      <c r="FT91" s="24">
        <f t="shared" si="78"/>
        <v>4.0411642352495768E-8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3.2</v>
      </c>
      <c r="FZ91" s="13">
        <f>IF('Données projet'!$A$244&gt;35,FZ90+FY91-GH90,IF(A91&lt;'Données projet'!$A$244,$FW$205^A91,IF(A91='Données projet'!$A$244,'Données projet'!$B$244,FZ90+FY91-GH90)))</f>
        <v>152.59999999999997</v>
      </c>
      <c r="GA91" s="18">
        <f>FZ91*VLOOKUP('Données projet'!$B$17,Paramètres!$A$1:$I$89,3,0)*VLOOKUP('Données projet'!$B$17,Paramètres!$A$1:$I$89,5,0)</f>
        <v>147.59471999999997</v>
      </c>
      <c r="GB91" s="14">
        <f t="shared" si="103"/>
        <v>38.031463918082679</v>
      </c>
      <c r="GC91" s="22">
        <f t="shared" si="79"/>
        <v>323.29893699066059</v>
      </c>
      <c r="GD91" s="62">
        <f t="shared" si="80"/>
        <v>616.63227032399391</v>
      </c>
      <c r="GE91" s="62">
        <f ca="1">AVERAGE(OFFSET($GD$3,0,0,'Données projet'!$E$17+1,1))-AVERAGE(OFFSET($H$3,0,0,'Données projet'!$E$17+1,1))</f>
        <v>181.39066880931728</v>
      </c>
      <c r="GF91" s="62">
        <f t="shared" si="104"/>
        <v>116.06078566855524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-1.7053025658242404E-13</v>
      </c>
      <c r="GV91" s="18">
        <f>GU91*VLOOKUP('Données projet'!$B$18,Paramètres!$A$1:$I$89,3,0)*VLOOKUP('Données projet'!$B$18,Paramètres!$A$1:$I$89,5,0)</f>
        <v>-1.4897523215040567E-13</v>
      </c>
      <c r="GW91" s="14" t="e">
        <f t="shared" si="105"/>
        <v>#NUM!</v>
      </c>
      <c r="GX91" s="22" t="e">
        <f t="shared" si="82"/>
        <v>#NUM!</v>
      </c>
      <c r="GY91" s="62" t="e">
        <f t="shared" si="83"/>
        <v>#NUM!</v>
      </c>
      <c r="GZ91" s="62">
        <f ca="1">AVERAGE(OFFSET($GY$3,0,0,'Données projet'!$E$18+1,1))-AVERAGE(OFFSET($H$3,0,0,'Données projet'!$E$18+1,1))</f>
        <v>152.84277478695606</v>
      </c>
      <c r="HA91" s="62">
        <f t="shared" si="106"/>
        <v>179.22995976651015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9">
        <f t="shared" si="56"/>
        <v>366.12005978779001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294.46560000000005</v>
      </c>
      <c r="P92" s="14">
        <f t="shared" si="87"/>
        <v>70.014986320104285</v>
      </c>
      <c r="Q92" s="22">
        <f t="shared" si="54"/>
        <v>634.8036878408484</v>
      </c>
      <c r="R92" s="62">
        <f t="shared" si="55"/>
        <v>928.13702117418165</v>
      </c>
      <c r="S92" s="62">
        <f ca="1">AVERAGE(OFFSET($R$3,0,0,'Données projet'!$E$9+1,1))-AVERAGE(OFFSET($H$3,0,0,'Données projet'!$E$9+1,1))</f>
        <v>383.26814640166805</v>
      </c>
      <c r="T92" s="62">
        <f t="shared" si="88"/>
        <v>233.71216103405249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3.2</v>
      </c>
      <c r="AI92" s="14">
        <f>IF('Données projet'!$A$62&gt;35,AI91+AH92-AQ91,IF(A92&lt;'Données projet'!$A$62,$AF$205^A92,IF(A92='Données projet'!$A$62,'Données projet'!$B$62,AI91+AH92-AQ91)))</f>
        <v>155.79999999999995</v>
      </c>
      <c r="AJ92" s="14">
        <f>AI92*VLOOKUP('Données projet'!$B$10,Paramètres!$A$1:$I$89,3,0)*VLOOKUP('Données projet'!$B$10,Paramètres!$A$1:$I$89,5,0)</f>
        <v>167.70311999999996</v>
      </c>
      <c r="AK92" s="14">
        <f t="shared" si="89"/>
        <v>42.575192309390843</v>
      </c>
      <c r="AL92" s="22">
        <f t="shared" si="58"/>
        <v>366.23472727218899</v>
      </c>
      <c r="AM92" s="62">
        <f t="shared" si="59"/>
        <v>659.56806060552231</v>
      </c>
      <c r="AN92" s="62">
        <f ca="1">AVERAGE(OFFSET($AM$3,0,0,'Données projet'!$E$10+1,1))-AVERAGE(OFFSET($H$3,0,0,'Données projet'!$E$10+1,1))</f>
        <v>205.99910063756408</v>
      </c>
      <c r="AO92" s="62">
        <f t="shared" si="90"/>
        <v>128.95330275493671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293.3333333333353</v>
      </c>
      <c r="BI92" s="62">
        <f ca="1">AVERAGE(OFFSET($BH$3,0,0,'Données projet'!$E$11+1,1))-AVERAGE(OFFSET($H$3,0,0,'Données projet'!$E$11+1,1))</f>
        <v>222.20580087523689</v>
      </c>
      <c r="BJ92" s="62">
        <f t="shared" si="92"/>
        <v>232.08940427392253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3.1110711264884645</v>
      </c>
      <c r="BQ92" s="23">
        <f>EXP(-LN(2)/25)*BQ91+(1-EXP(-LN(2)/25))/(LN(2)/25)*Calculateur!BL92*Calculateur!BN92*VLOOKUP('Données projet'!$B$11,Paramètres!$A$1:$I$89,3,0)*0.475*44/12</f>
        <v>3.2015945516266275</v>
      </c>
      <c r="BR92" s="23">
        <f>EXP(-LN(2)/2)*BR91+(1-EXP(-LN(2)/2))/(LN(2)/2)*BL92*BO92*VLOOKUP('Données projet'!$B$11,Paramètres!$A$1:$I$89,3,0)*0.475*44/12</f>
        <v>8.3502929235261459E-9</v>
      </c>
      <c r="BS92" s="24">
        <f t="shared" si="63"/>
        <v>6.312665686465385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8.1391025641025667</v>
      </c>
      <c r="BY92" s="13">
        <f>IF('Données projet'!$A$114&gt;35,BY91+BX92-CG91,IF(A92&lt;'Données projet'!$A$114,$BV$205^A92,IF(A92='Données projet'!$A$114,'Données projet'!$B$114,BY91+BX92-CG91)))</f>
        <v>316.47820512820533</v>
      </c>
      <c r="BZ92" s="14">
        <f>BY92*VLOOKUP('Données projet'!$B$12,Paramètres!$A$1:$I$89,3,0)*VLOOKUP('Données projet'!$B$12,Paramètres!$A$1:$I$89,5,0)</f>
        <v>148.11180000000007</v>
      </c>
      <c r="CA92" s="14">
        <f t="shared" si="93"/>
        <v>38.149169544694949</v>
      </c>
      <c r="CB92" s="22">
        <f t="shared" si="64"/>
        <v>324.4045219570105</v>
      </c>
      <c r="CC92" s="62">
        <f t="shared" si="65"/>
        <v>617.73785529034376</v>
      </c>
      <c r="CD92" s="62">
        <f ca="1">AVERAGE(OFFSET($CC$3,0,0,'Données projet'!$E$12+1,1))-AVERAGE(OFFSET($H$3,0,0,'Données projet'!$E$12+1,1))</f>
        <v>179.14256291235466</v>
      </c>
      <c r="CE92" s="62">
        <f t="shared" si="94"/>
        <v>107.5256983607585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-2.8421709430404007E-13</v>
      </c>
      <c r="CU92" s="18">
        <f>CT92*VLOOKUP('Données projet'!$B$13,Paramètres!$A$1:$I$89,3,0)*VLOOKUP('Données projet'!$B$13,Paramètres!$A$1:$I$89,5,0)</f>
        <v>-1.69961822393816E-13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237.03649693529445</v>
      </c>
      <c r="CZ92" s="62">
        <f t="shared" si="96"/>
        <v>191.04289411674887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6.9316674492308373E-9</v>
      </c>
      <c r="DI92" s="24">
        <f t="shared" si="69"/>
        <v>6.9316674492308373E-9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3.7030000000000003</v>
      </c>
      <c r="DO92" s="13">
        <f>IF('Données projet'!$A$166&gt;35,DO91+DN92-DW91,IF(A92&lt;'Données projet'!$A$166,$DL$205^A92,IF(A92='Données projet'!$A$166,'Données projet'!$B$166,DO91+DN92-DW91)))</f>
        <v>251.67700000000008</v>
      </c>
      <c r="DP92" s="18">
        <f>DO92*VLOOKUP('Données projet'!$B$14,Paramètres!$A$1:$I$89,3,0)*VLOOKUP('Données projet'!$B$14,Paramètres!$A$1:$I$89,5,0)</f>
        <v>289.93190400000009</v>
      </c>
      <c r="DQ92" s="14">
        <f t="shared" si="97"/>
        <v>69.061628851282336</v>
      </c>
      <c r="DR92" s="22">
        <f t="shared" si="70"/>
        <v>625.24706971598357</v>
      </c>
      <c r="DS92" s="62">
        <f t="shared" si="71"/>
        <v>918.58040304931683</v>
      </c>
      <c r="DT92" s="62">
        <f ca="1">AVERAGE(OFFSET($DS$3,0,0,'Données projet'!$E$14+1,1))-AVERAGE(OFFSET($H$3,0,0,'Données projet'!$E$14+1,1))</f>
        <v>431.38469096974364</v>
      </c>
      <c r="DU92" s="62">
        <f t="shared" si="98"/>
        <v>295.48627059086647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0.19080301757814919</v>
      </c>
      <c r="EC92" s="23">
        <f>EXP(-LN(2)/2)*EC91+(1-EXP(-LN(2)/2))/(LN(2)/2)*DW92*DZ92*VLOOKUP('Données projet'!$B$14,Paramètres!$A$1:$I$89,3,0)*0.475*44/12</f>
        <v>5.0555608411049792E-9</v>
      </c>
      <c r="ED92" s="24">
        <f t="shared" si="72"/>
        <v>0.19080302263371002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3.2</v>
      </c>
      <c r="EJ92" s="13">
        <f>IF('Données projet'!$A$192&gt;35,EJ91+EI92-ER91,IF(A92&lt;'Données projet'!$A$192,$EG$205^A92,IF(A92='Données projet'!$A$192,'Données projet'!$B$192,EJ91+EI92-ER91)))</f>
        <v>155.79999999999995</v>
      </c>
      <c r="EK92" s="18">
        <f>EJ92*VLOOKUP('Données projet'!$B$15,Paramètres!$A$1:$I$89,3,0)*VLOOKUP('Données projet'!$B$15,Paramètres!$A$1:$I$89,5,0)</f>
        <v>177.42503999999997</v>
      </c>
      <c r="EL92" s="14">
        <f t="shared" si="99"/>
        <v>44.748825484986561</v>
      </c>
      <c r="EM92" s="22">
        <f t="shared" si="73"/>
        <v>386.95281571968485</v>
      </c>
      <c r="EN92" s="62">
        <f t="shared" si="74"/>
        <v>680.28614905301811</v>
      </c>
      <c r="EO92" s="62">
        <f ca="1">AVERAGE(OFFSET($EN$3,0,0,'Données projet'!$E$15+1,1))-AVERAGE(OFFSET($H$3,0,0,'Données projet'!$E$15+1,1))</f>
        <v>220.03635832253951</v>
      </c>
      <c r="EP92" s="62">
        <f t="shared" si="100"/>
        <v>136.30639155882233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2.6</v>
      </c>
      <c r="FE92" s="13">
        <f>IF('Données projet'!$A$218&gt;35,FE91+FD92-FM91,IF(A92&lt;'Données projet'!$A$218,$FB$205^A92,IF(A92='Données projet'!$A$218,'Données projet'!$B$218,FE91+FD92-FM91)))</f>
        <v>442.40000000000049</v>
      </c>
      <c r="FF92" s="18">
        <f>FE92*VLOOKUP('Données projet'!$B$16,Paramètres!$A$1:$I$89,3,0)*VLOOKUP('Données projet'!$B$16,Paramètres!$A$1:$I$89,5,0)</f>
        <v>462.39648000000057</v>
      </c>
      <c r="FG92" s="14">
        <f t="shared" si="101"/>
        <v>104.31791402216977</v>
      </c>
      <c r="FH92" s="22">
        <f t="shared" si="76"/>
        <v>987.02756958861335</v>
      </c>
      <c r="FI92" s="62">
        <f t="shared" si="77"/>
        <v>1280.3609029219467</v>
      </c>
      <c r="FJ92" s="62">
        <f ca="1">AVERAGE(OFFSET($FI$3,0,0,'Données projet'!$E$16+1,1))-AVERAGE(OFFSET($H$3,0,0,'Données projet'!$E$16+1,1))</f>
        <v>641.62708445664862</v>
      </c>
      <c r="FK92" s="62">
        <f t="shared" si="102"/>
        <v>379.46845863546929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2.8575346346335242E-8</v>
      </c>
      <c r="FT92" s="24">
        <f t="shared" si="78"/>
        <v>2.8575346346335242E-8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3.2</v>
      </c>
      <c r="FZ92" s="13">
        <f>IF('Données projet'!$A$244&gt;35,FZ91+FY92-GH91,IF(A92&lt;'Données projet'!$A$244,$FW$205^A92,IF(A92='Données projet'!$A$244,'Données projet'!$B$244,FZ91+FY92-GH91)))</f>
        <v>155.79999999999995</v>
      </c>
      <c r="GA92" s="18">
        <f>FZ92*VLOOKUP('Données projet'!$B$17,Paramètres!$A$1:$I$89,3,0)*VLOOKUP('Données projet'!$B$17,Paramètres!$A$1:$I$89,5,0)</f>
        <v>150.68975999999998</v>
      </c>
      <c r="GB92" s="14">
        <f t="shared" si="103"/>
        <v>38.735294176946205</v>
      </c>
      <c r="GC92" s="22">
        <f t="shared" si="79"/>
        <v>329.91530269151457</v>
      </c>
      <c r="GD92" s="62">
        <f t="shared" si="80"/>
        <v>623.24863602484788</v>
      </c>
      <c r="GE92" s="62">
        <f ca="1">AVERAGE(OFFSET($GD$3,0,0,'Données projet'!$E$17+1,1))-AVERAGE(OFFSET($H$3,0,0,'Données projet'!$E$17+1,1))</f>
        <v>181.39066880931728</v>
      </c>
      <c r="GF92" s="62">
        <f t="shared" si="104"/>
        <v>116.06078566855524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-1.7053025658242404E-13</v>
      </c>
      <c r="GV92" s="18">
        <f>GU92*VLOOKUP('Données projet'!$B$18,Paramètres!$A$1:$I$89,3,0)*VLOOKUP('Données projet'!$B$18,Paramètres!$A$1:$I$89,5,0)</f>
        <v>-1.4897523215040567E-13</v>
      </c>
      <c r="GW92" s="14" t="e">
        <f t="shared" si="105"/>
        <v>#NUM!</v>
      </c>
      <c r="GX92" s="22" t="e">
        <f t="shared" si="82"/>
        <v>#NUM!</v>
      </c>
      <c r="GY92" s="62" t="e">
        <f t="shared" si="83"/>
        <v>#NUM!</v>
      </c>
      <c r="GZ92" s="62">
        <f ca="1">AVERAGE(OFFSET($GY$3,0,0,'Données projet'!$E$18+1,1))-AVERAGE(OFFSET($H$3,0,0,'Données projet'!$E$18+1,1))</f>
        <v>152.84277478695606</v>
      </c>
      <c r="HA92" s="62">
        <f t="shared" si="106"/>
        <v>179.22995976651015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9">
        <f t="shared" si="56"/>
        <v>367.31725303154894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300.14400000000006</v>
      </c>
      <c r="P93" s="14">
        <f t="shared" si="87"/>
        <v>71.206650563609855</v>
      </c>
      <c r="Q93" s="22">
        <f t="shared" si="54"/>
        <v>646.76904973162061</v>
      </c>
      <c r="R93" s="62">
        <f t="shared" si="55"/>
        <v>940.10238306495398</v>
      </c>
      <c r="S93" s="62">
        <f ca="1">AVERAGE(OFFSET($R$3,0,0,'Données projet'!$E$9+1,1))-AVERAGE(OFFSET($H$3,0,0,'Données projet'!$E$9+1,1))</f>
        <v>383.26814640166805</v>
      </c>
      <c r="T93" s="62">
        <f t="shared" si="88"/>
        <v>233.71216103405249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159</v>
      </c>
      <c r="AG93" s="13">
        <f>VLOOKUP(A93,'Données projet'!$A$61:$I$81,9,0)</f>
        <v>3.2</v>
      </c>
      <c r="AH93" s="13">
        <f t="array" ref="AH93">INDEX(AG:AG,MIN(IF(ISNUMBER(AG93:AG289),ROW(AG93:AG289),"")))</f>
        <v>3.2</v>
      </c>
      <c r="AI93" s="14">
        <f>IF('Données projet'!$A$62&gt;35,AI92+AH93-AQ92,IF(A93&lt;'Données projet'!$A$62,$AF$205^A93,IF(A93='Données projet'!$A$62,'Données projet'!$B$62,AI92+AH93-AQ92)))</f>
        <v>158.99999999999994</v>
      </c>
      <c r="AJ93" s="14">
        <f>AI93*VLOOKUP('Données projet'!$B$10,Paramètres!$A$1:$I$89,3,0)*VLOOKUP('Données projet'!$B$10,Paramètres!$A$1:$I$89,5,0)</f>
        <v>171.14759999999993</v>
      </c>
      <c r="AK93" s="14">
        <f t="shared" si="89"/>
        <v>43.346947081663025</v>
      </c>
      <c r="AL93" s="22">
        <f t="shared" si="58"/>
        <v>373.57800283389633</v>
      </c>
      <c r="AM93" s="62">
        <f t="shared" si="59"/>
        <v>666.91133616722959</v>
      </c>
      <c r="AN93" s="62">
        <f ca="1">AVERAGE(OFFSET($AM$3,0,0,'Données projet'!$E$10+1,1))-AVERAGE(OFFSET($H$3,0,0,'Données projet'!$E$10+1,1))</f>
        <v>205.99910063756408</v>
      </c>
      <c r="AO93" s="62">
        <f t="shared" si="90"/>
        <v>128.95330275493671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293.3333333333353</v>
      </c>
      <c r="BI93" s="62">
        <f ca="1">AVERAGE(OFFSET($BH$3,0,0,'Données projet'!$E$11+1,1))-AVERAGE(OFFSET($H$3,0,0,'Données projet'!$E$11+1,1))</f>
        <v>222.20580087523689</v>
      </c>
      <c r="BJ93" s="62">
        <f t="shared" si="92"/>
        <v>232.08940427392253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3.0500649192640439</v>
      </c>
      <c r="BQ93" s="23">
        <f>EXP(-LN(2)/25)*BQ92+(1-EXP(-LN(2)/25))/(LN(2)/25)*Calculateur!BL93*Calculateur!BN93*VLOOKUP('Données projet'!$B$11,Paramètres!$A$1:$I$89,3,0)*0.475*44/12</f>
        <v>3.1140467802478571</v>
      </c>
      <c r="BR93" s="23">
        <f>EXP(-LN(2)/2)*BR92+(1-EXP(-LN(2)/2))/(LN(2)/2)*BL93*BO93*VLOOKUP('Données projet'!$B$11,Paramètres!$A$1:$I$89,3,0)*0.475*44/12</f>
        <v>5.9045487511193787E-9</v>
      </c>
      <c r="BS93" s="24">
        <f t="shared" si="63"/>
        <v>6.1641117054164498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8.1391025641025667</v>
      </c>
      <c r="BY93" s="13">
        <f>IF('Données projet'!$A$114&gt;35,BY92+BX93-CG92,IF(A93&lt;'Données projet'!$A$114,$BV$205^A93,IF(A93='Données projet'!$A$114,'Données projet'!$B$114,BY92+BX93-CG92)))</f>
        <v>324.61730769230792</v>
      </c>
      <c r="BZ93" s="14">
        <f>BY93*VLOOKUP('Données projet'!$B$12,Paramètres!$A$1:$I$89,3,0)*VLOOKUP('Données projet'!$B$12,Paramètres!$A$1:$I$89,5,0)</f>
        <v>151.9209000000001</v>
      </c>
      <c r="CA93" s="14">
        <f t="shared" si="93"/>
        <v>39.014793227910218</v>
      </c>
      <c r="CB93" s="22">
        <f t="shared" si="64"/>
        <v>332.54633237194383</v>
      </c>
      <c r="CC93" s="62">
        <f t="shared" si="65"/>
        <v>625.87966570527715</v>
      </c>
      <c r="CD93" s="62">
        <f ca="1">AVERAGE(OFFSET($CC$3,0,0,'Données projet'!$E$12+1,1))-AVERAGE(OFFSET($H$3,0,0,'Données projet'!$E$12+1,1))</f>
        <v>179.14256291235466</v>
      </c>
      <c r="CE93" s="62">
        <f t="shared" si="94"/>
        <v>107.5256983607585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-2.8421709430404007E-13</v>
      </c>
      <c r="CU93" s="18">
        <f>CT93*VLOOKUP('Données projet'!$B$13,Paramètres!$A$1:$I$89,3,0)*VLOOKUP('Données projet'!$B$13,Paramètres!$A$1:$I$89,5,0)</f>
        <v>-1.69961822393816E-13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237.03649693529445</v>
      </c>
      <c r="CZ93" s="62">
        <f t="shared" si="96"/>
        <v>191.04289411674887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4.9014290582811837E-9</v>
      </c>
      <c r="DI93" s="24">
        <f t="shared" si="69"/>
        <v>4.9014290582811837E-9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255.38</v>
      </c>
      <c r="DM93" s="13">
        <f>VLOOKUP(A93,'Données projet'!$A$165:$I$185,9,0)</f>
        <v>3.7030000000000003</v>
      </c>
      <c r="DN93" s="13">
        <f t="array" ref="DN93">INDEX(DM:DM,MIN(IF(ISNUMBER(DM93:DM289),ROW(DM93:DM289),"")))</f>
        <v>3.7030000000000003</v>
      </c>
      <c r="DO93" s="13">
        <f>IF('Données projet'!$A$166&gt;35,DO92+DN93-DW92,IF(A93&lt;'Données projet'!$A$166,$DL$205^A93,IF(A93='Données projet'!$A$166,'Données projet'!$B$166,DO92+DN93-DW92)))</f>
        <v>255.38000000000008</v>
      </c>
      <c r="DP93" s="18">
        <f>DO93*VLOOKUP('Données projet'!$B$14,Paramètres!$A$1:$I$89,3,0)*VLOOKUP('Données projet'!$B$14,Paramètres!$A$1:$I$89,5,0)</f>
        <v>294.19776000000007</v>
      </c>
      <c r="DQ93" s="14">
        <f t="shared" si="97"/>
        <v>69.958711957783507</v>
      </c>
      <c r="DR93" s="22">
        <f t="shared" si="70"/>
        <v>634.23918865980636</v>
      </c>
      <c r="DS93" s="62">
        <f t="shared" si="71"/>
        <v>927.57252199313962</v>
      </c>
      <c r="DT93" s="62">
        <f ca="1">AVERAGE(OFFSET($DS$3,0,0,'Données projet'!$E$14+1,1))-AVERAGE(OFFSET($H$3,0,0,'Données projet'!$E$14+1,1))</f>
        <v>431.38469096974364</v>
      </c>
      <c r="DU93" s="62">
        <f t="shared" si="98"/>
        <v>295.48627059086647</v>
      </c>
      <c r="DV93" s="16">
        <f>IF(ISNA(VLOOKUP(A93,'Données projet'!$A$165:$I$185,3,0)),0,VLOOKUP(A93,'Données projet'!$A$165:$I$185,3,0))</f>
        <v>9</v>
      </c>
      <c r="DW93" s="16">
        <f>IF(ISNA(VLOOKUP(A93,'Données projet'!$A$165:$I$185,4,0)),0,VLOOKUP(A93,'Données projet'!$A$165:$I$185,4,0))</f>
        <v>22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0.1855854990285801</v>
      </c>
      <c r="EC93" s="23">
        <f>EXP(-LN(2)/2)*EC92+(1-EXP(-LN(2)/2))/(LN(2)/2)*DW93*DZ93*VLOOKUP('Données projet'!$B$14,Paramètres!$A$1:$I$89,3,0)*0.475*44/12</f>
        <v>3.5748213534464967E-9</v>
      </c>
      <c r="ED93" s="24">
        <f t="shared" si="72"/>
        <v>0.18558550260340145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159</v>
      </c>
      <c r="EH93" s="13">
        <f>VLOOKUP(A93,'Données projet'!$A$191:$I$211,9,0)</f>
        <v>3.2</v>
      </c>
      <c r="EI93" s="13">
        <f t="array" ref="EI93">INDEX(EH:EH,MIN(IF(ISNUMBER(EH93:EH289),ROW(EH93:EH289),"")))</f>
        <v>3.2</v>
      </c>
      <c r="EJ93" s="13">
        <f>IF('Données projet'!$A$192&gt;35,EJ92+EI93-ER92,IF(A93&lt;'Données projet'!$A$192,$EG$205^A93,IF(A93='Données projet'!$A$192,'Données projet'!$B$192,EJ92+EI93-ER92)))</f>
        <v>158.99999999999994</v>
      </c>
      <c r="EK93" s="18">
        <f>EJ93*VLOOKUP('Données projet'!$B$15,Paramètres!$A$1:$I$89,3,0)*VLOOKUP('Données projet'!$B$15,Paramètres!$A$1:$I$89,5,0)</f>
        <v>181.06919999999994</v>
      </c>
      <c r="EL93" s="14">
        <f t="shared" si="99"/>
        <v>45.559981412848202</v>
      </c>
      <c r="EM93" s="22">
        <f t="shared" si="73"/>
        <v>394.71249096071051</v>
      </c>
      <c r="EN93" s="62">
        <f t="shared" si="74"/>
        <v>688.04582429404377</v>
      </c>
      <c r="EO93" s="62">
        <f ca="1">AVERAGE(OFFSET($EN$3,0,0,'Données projet'!$E$15+1,1))-AVERAGE(OFFSET($H$3,0,0,'Données projet'!$E$15+1,1))</f>
        <v>220.03635832253951</v>
      </c>
      <c r="EP93" s="62">
        <f t="shared" si="100"/>
        <v>136.30639155882233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445</v>
      </c>
      <c r="FC93" s="13">
        <f>VLOOKUP(A93,'Données projet'!$A$217:$I$237,9,0)</f>
        <v>2.6</v>
      </c>
      <c r="FD93" s="13">
        <f t="array" ref="FD93">INDEX(FC:FC,MIN(IF(ISNUMBER(FC93:FC289),ROW(FC93:FC289),"")))</f>
        <v>2.6</v>
      </c>
      <c r="FE93" s="13">
        <f>IF('Données projet'!$A$218&gt;35,FE92+FD93-FM92,IF(A93&lt;'Données projet'!$A$218,$FB$205^A93,IF(A93='Données projet'!$A$218,'Données projet'!$B$218,FE92+FD93-FM92)))</f>
        <v>445.00000000000051</v>
      </c>
      <c r="FF93" s="18">
        <f>FE93*VLOOKUP('Données projet'!$B$16,Paramètres!$A$1:$I$89,3,0)*VLOOKUP('Données projet'!$B$16,Paramètres!$A$1:$I$89,5,0)</f>
        <v>465.1140000000006</v>
      </c>
      <c r="FG93" s="14">
        <f t="shared" si="101"/>
        <v>104.85944659222979</v>
      </c>
      <c r="FH93" s="22">
        <f t="shared" si="76"/>
        <v>992.70375281480131</v>
      </c>
      <c r="FI93" s="62">
        <f t="shared" si="77"/>
        <v>1286.0370861481347</v>
      </c>
      <c r="FJ93" s="62">
        <f ca="1">AVERAGE(OFFSET($FI$3,0,0,'Données projet'!$E$16+1,1))-AVERAGE(OFFSET($H$3,0,0,'Données projet'!$E$16+1,1))</f>
        <v>641.62708445664862</v>
      </c>
      <c r="FK93" s="62">
        <f t="shared" si="102"/>
        <v>379.46845863546929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33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2.0205821176247884E-8</v>
      </c>
      <c r="FT93" s="24">
        <f t="shared" si="78"/>
        <v>2.0205821176247884E-8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159</v>
      </c>
      <c r="FX93" s="13">
        <f>VLOOKUP(A93,'Données projet'!$A$243:$I$263,9,0)</f>
        <v>3.2</v>
      </c>
      <c r="FY93" s="13">
        <f t="array" ref="FY93">INDEX(FX:FX,MIN(IF(ISNUMBER(FX93:FX289),ROW(FX93:FX289),"")))</f>
        <v>3.2</v>
      </c>
      <c r="FZ93" s="13">
        <f>IF('Données projet'!$A$244&gt;35,FZ92+FY93-GH92,IF(A93&lt;'Données projet'!$A$244,$FW$205^A93,IF(A93='Données projet'!$A$244,'Données projet'!$B$244,FZ92+FY93-GH92)))</f>
        <v>158.99999999999994</v>
      </c>
      <c r="GA93" s="18">
        <f>FZ93*VLOOKUP('Données projet'!$B$17,Paramètres!$A$1:$I$89,3,0)*VLOOKUP('Données projet'!$B$17,Paramètres!$A$1:$I$89,5,0)</f>
        <v>153.78479999999996</v>
      </c>
      <c r="GB93" s="14">
        <f t="shared" si="103"/>
        <v>39.437443633352295</v>
      </c>
      <c r="GC93" s="22">
        <f t="shared" si="79"/>
        <v>336.5287409947552</v>
      </c>
      <c r="GD93" s="62">
        <f t="shared" si="80"/>
        <v>629.86207432808851</v>
      </c>
      <c r="GE93" s="62">
        <f ca="1">AVERAGE(OFFSET($GD$3,0,0,'Données projet'!$E$17+1,1))-AVERAGE(OFFSET($H$3,0,0,'Données projet'!$E$17+1,1))</f>
        <v>181.39066880931728</v>
      </c>
      <c r="GF93" s="62">
        <f t="shared" si="104"/>
        <v>116.06078566855524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-1.7053025658242404E-13</v>
      </c>
      <c r="GV93" s="18">
        <f>GU93*VLOOKUP('Données projet'!$B$18,Paramètres!$A$1:$I$89,3,0)*VLOOKUP('Données projet'!$B$18,Paramètres!$A$1:$I$89,5,0)</f>
        <v>-1.4897523215040567E-13</v>
      </c>
      <c r="GW93" s="14" t="e">
        <f t="shared" si="105"/>
        <v>#NUM!</v>
      </c>
      <c r="GX93" s="22" t="e">
        <f t="shared" si="82"/>
        <v>#NUM!</v>
      </c>
      <c r="GY93" s="62" t="e">
        <f t="shared" si="83"/>
        <v>#NUM!</v>
      </c>
      <c r="GZ93" s="62">
        <f ca="1">AVERAGE(OFFSET($GY$3,0,0,'Données projet'!$E$18+1,1))-AVERAGE(OFFSET($H$3,0,0,'Données projet'!$E$18+1,1))</f>
        <v>152.84277478695606</v>
      </c>
      <c r="HA93" s="62">
        <f t="shared" si="106"/>
        <v>179.22995976651015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9">
        <f t="shared" si="56"/>
        <v>368.51412799964498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262.52460000000002</v>
      </c>
      <c r="P94" s="14">
        <f t="shared" si="87"/>
        <v>63.260217631774687</v>
      </c>
      <c r="Q94" s="22">
        <f t="shared" si="54"/>
        <v>567.40855737534105</v>
      </c>
      <c r="R94" s="62">
        <f t="shared" si="55"/>
        <v>860.74189070867442</v>
      </c>
      <c r="S94" s="62">
        <f ca="1">AVERAGE(OFFSET($R$3,0,0,'Données projet'!$E$9+1,1))-AVERAGE(OFFSET($H$3,0,0,'Données projet'!$E$9+1,1))</f>
        <v>383.26814640166805</v>
      </c>
      <c r="T94" s="62">
        <f t="shared" si="88"/>
        <v>233.71216103405249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2.8</v>
      </c>
      <c r="AI94" s="14">
        <f>IF('Données projet'!$A$62&gt;35,AI93+AH94-AQ93,IF(A94&lt;'Données projet'!$A$62,$AF$205^A94,IF(A94='Données projet'!$A$62,'Données projet'!$B$62,AI93+AH94-AQ93)))</f>
        <v>161.79999999999995</v>
      </c>
      <c r="AJ94" s="14">
        <f>AI94*VLOOKUP('Données projet'!$B$10,Paramètres!$A$1:$I$89,3,0)*VLOOKUP('Données projet'!$B$10,Paramètres!$A$1:$I$89,5,0)</f>
        <v>174.16151999999994</v>
      </c>
      <c r="AK94" s="14">
        <f t="shared" si="89"/>
        <v>44.020749683599938</v>
      </c>
      <c r="AL94" s="22">
        <f t="shared" si="58"/>
        <v>380.00078636560312</v>
      </c>
      <c r="AM94" s="62">
        <f t="shared" si="59"/>
        <v>673.33411969893643</v>
      </c>
      <c r="AN94" s="62">
        <f ca="1">AVERAGE(OFFSET($AM$3,0,0,'Données projet'!$E$10+1,1))-AVERAGE(OFFSET($H$3,0,0,'Données projet'!$E$10+1,1))</f>
        <v>205.99910063756408</v>
      </c>
      <c r="AO94" s="62">
        <f t="shared" si="90"/>
        <v>128.95330275493671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293.3333333333353</v>
      </c>
      <c r="BI94" s="62">
        <f ca="1">AVERAGE(OFFSET($BH$3,0,0,'Données projet'!$E$11+1,1))-AVERAGE(OFFSET($H$3,0,0,'Données projet'!$E$11+1,1))</f>
        <v>222.20580087523689</v>
      </c>
      <c r="BJ94" s="62">
        <f t="shared" si="92"/>
        <v>232.08940427392253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2.9902550065531819</v>
      </c>
      <c r="BQ94" s="23">
        <f>EXP(-LN(2)/25)*BQ93+(1-EXP(-LN(2)/25))/(LN(2)/25)*Calculateur!BL94*Calculateur!BN94*VLOOKUP('Données projet'!$B$11,Paramètres!$A$1:$I$89,3,0)*0.475*44/12</f>
        <v>3.0288930072813764</v>
      </c>
      <c r="BR94" s="23">
        <f>EXP(-LN(2)/2)*BR93+(1-EXP(-LN(2)/2))/(LN(2)/2)*BL94*BO94*VLOOKUP('Données projet'!$B$11,Paramètres!$A$1:$I$89,3,0)*0.475*44/12</f>
        <v>4.175146461763073E-9</v>
      </c>
      <c r="BS94" s="24">
        <f t="shared" si="63"/>
        <v>6.0191480180097043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8.1391025641025667</v>
      </c>
      <c r="BY94" s="13">
        <f>IF('Données projet'!$A$114&gt;35,BY93+BX94-CG93,IF(A94&lt;'Données projet'!$A$114,$BV$205^A94,IF(A94='Données projet'!$A$114,'Données projet'!$B$114,BY93+BX94-CG93)))</f>
        <v>332.7564102564105</v>
      </c>
      <c r="BZ94" s="14">
        <f>BY94*VLOOKUP('Données projet'!$B$12,Paramètres!$A$1:$I$89,3,0)*VLOOKUP('Données projet'!$B$12,Paramètres!$A$1:$I$89,5,0)</f>
        <v>155.7300000000001</v>
      </c>
      <c r="CA94" s="14">
        <f t="shared" si="93"/>
        <v>39.877894002833592</v>
      </c>
      <c r="CB94" s="22">
        <f t="shared" si="64"/>
        <v>340.68374872160194</v>
      </c>
      <c r="CC94" s="62">
        <f t="shared" si="65"/>
        <v>634.01708205493526</v>
      </c>
      <c r="CD94" s="62">
        <f ca="1">AVERAGE(OFFSET($CC$3,0,0,'Données projet'!$E$12+1,1))-AVERAGE(OFFSET($H$3,0,0,'Données projet'!$E$12+1,1))</f>
        <v>179.14256291235466</v>
      </c>
      <c r="CE94" s="62">
        <f t="shared" si="94"/>
        <v>107.5256983607585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-2.8421709430404007E-13</v>
      </c>
      <c r="CU94" s="18">
        <f>CT94*VLOOKUP('Données projet'!$B$13,Paramètres!$A$1:$I$89,3,0)*VLOOKUP('Données projet'!$B$13,Paramètres!$A$1:$I$89,5,0)</f>
        <v>-1.69961822393816E-13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237.03649693529445</v>
      </c>
      <c r="CZ94" s="62">
        <f t="shared" si="96"/>
        <v>191.04289411674887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3.4658337246154187E-9</v>
      </c>
      <c r="DI94" s="24">
        <f t="shared" si="69"/>
        <v>3.4658337246154187E-9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3.5</v>
      </c>
      <c r="DO94" s="13">
        <f>IF('Données projet'!$A$166&gt;35,DO93+DN94-DW93,IF(A94&lt;'Données projet'!$A$166,$DL$205^A94,IF(A94='Données projet'!$A$166,'Données projet'!$B$166,DO93+DN94-DW93)))</f>
        <v>236.88000000000011</v>
      </c>
      <c r="DP94" s="18">
        <f>DO94*VLOOKUP('Données projet'!$B$14,Paramètres!$A$1:$I$89,3,0)*VLOOKUP('Données projet'!$B$14,Paramètres!$A$1:$I$89,5,0)</f>
        <v>272.88576000000012</v>
      </c>
      <c r="DQ94" s="14">
        <f t="shared" si="97"/>
        <v>65.461320940604395</v>
      </c>
      <c r="DR94" s="22">
        <f t="shared" si="70"/>
        <v>589.28783263821958</v>
      </c>
      <c r="DS94" s="62">
        <f t="shared" si="71"/>
        <v>882.62116597155295</v>
      </c>
      <c r="DT94" s="62">
        <f ca="1">AVERAGE(OFFSET($DS$3,0,0,'Données projet'!$E$14+1,1))-AVERAGE(OFFSET($H$3,0,0,'Données projet'!$E$14+1,1))</f>
        <v>431.38469096974364</v>
      </c>
      <c r="DU94" s="62">
        <f t="shared" si="98"/>
        <v>295.48627059086647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0.18051065379812634</v>
      </c>
      <c r="EC94" s="23">
        <f>EXP(-LN(2)/2)*EC93+(1-EXP(-LN(2)/2))/(LN(2)/2)*DW94*DZ94*VLOOKUP('Données projet'!$B$14,Paramètres!$A$1:$I$89,3,0)*0.475*44/12</f>
        <v>2.5277804205524896E-9</v>
      </c>
      <c r="ED94" s="24">
        <f t="shared" si="72"/>
        <v>0.18051065632590677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2.8</v>
      </c>
      <c r="EJ94" s="13">
        <f>IF('Données projet'!$A$192&gt;35,EJ93+EI94-ER93,IF(A94&lt;'Données projet'!$A$192,$EG$205^A94,IF(A94='Données projet'!$A$192,'Données projet'!$B$192,EJ93+EI94-ER93)))</f>
        <v>161.79999999999995</v>
      </c>
      <c r="EK94" s="18">
        <f>EJ94*VLOOKUP('Données projet'!$B$15,Paramètres!$A$1:$I$89,3,0)*VLOOKUP('Données projet'!$B$15,Paramètres!$A$1:$I$89,5,0)</f>
        <v>184.25783999999996</v>
      </c>
      <c r="EL94" s="14">
        <f t="shared" si="99"/>
        <v>46.2681843218637</v>
      </c>
      <c r="EM94" s="22">
        <f t="shared" si="73"/>
        <v>401.49949236057915</v>
      </c>
      <c r="EN94" s="62">
        <f t="shared" si="74"/>
        <v>694.83282569391247</v>
      </c>
      <c r="EO94" s="62">
        <f ca="1">AVERAGE(OFFSET($EN$3,0,0,'Données projet'!$E$15+1,1))-AVERAGE(OFFSET($H$3,0,0,'Données projet'!$E$15+1,1))</f>
        <v>220.03635832253951</v>
      </c>
      <c r="EP94" s="62">
        <f t="shared" si="100"/>
        <v>136.30639155882233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5.5</v>
      </c>
      <c r="FE94" s="13">
        <f>IF('Données projet'!$A$218&gt;35,FE93+FD94-FM93,IF(A94&lt;'Données projet'!$A$218,$FB$205^A94,IF(A94='Données projet'!$A$218,'Données projet'!$B$218,FE93+FD94-FM93)))</f>
        <v>417.50000000000051</v>
      </c>
      <c r="FF94" s="18">
        <f>FE94*VLOOKUP('Données projet'!$B$16,Paramètres!$A$1:$I$89,3,0)*VLOOKUP('Données projet'!$B$16,Paramètres!$A$1:$I$89,5,0)</f>
        <v>436.37100000000061</v>
      </c>
      <c r="FG94" s="14">
        <f t="shared" si="101"/>
        <v>99.112566262509205</v>
      </c>
      <c r="FH94" s="22">
        <f t="shared" si="76"/>
        <v>932.63387790720469</v>
      </c>
      <c r="FI94" s="62">
        <f t="shared" si="77"/>
        <v>1225.9672112405381</v>
      </c>
      <c r="FJ94" s="62">
        <f ca="1">AVERAGE(OFFSET($FI$3,0,0,'Données projet'!$E$16+1,1))-AVERAGE(OFFSET($H$3,0,0,'Données projet'!$E$16+1,1))</f>
        <v>641.62708445664862</v>
      </c>
      <c r="FK94" s="62">
        <f t="shared" si="102"/>
        <v>379.46845863546929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1.4287673173167621E-8</v>
      </c>
      <c r="FT94" s="24">
        <f t="shared" si="78"/>
        <v>1.4287673173167621E-8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2.8</v>
      </c>
      <c r="FZ94" s="13">
        <f>IF('Données projet'!$A$244&gt;35,FZ93+FY94-GH93,IF(A94&lt;'Données projet'!$A$244,$FW$205^A94,IF(A94='Données projet'!$A$244,'Données projet'!$B$244,FZ93+FY94-GH93)))</f>
        <v>161.79999999999995</v>
      </c>
      <c r="GA94" s="18">
        <f>FZ94*VLOOKUP('Données projet'!$B$17,Paramètres!$A$1:$I$89,3,0)*VLOOKUP('Données projet'!$B$17,Paramètres!$A$1:$I$89,5,0)</f>
        <v>156.49295999999995</v>
      </c>
      <c r="GB94" s="14">
        <f t="shared" si="103"/>
        <v>40.050475321231751</v>
      </c>
      <c r="GC94" s="22">
        <f t="shared" si="79"/>
        <v>342.31314985114523</v>
      </c>
      <c r="GD94" s="62">
        <f t="shared" si="80"/>
        <v>635.64648318447848</v>
      </c>
      <c r="GE94" s="62">
        <f ca="1">AVERAGE(OFFSET($GD$3,0,0,'Données projet'!$E$17+1,1))-AVERAGE(OFFSET($H$3,0,0,'Données projet'!$E$17+1,1))</f>
        <v>181.39066880931728</v>
      </c>
      <c r="GF94" s="62">
        <f t="shared" si="104"/>
        <v>116.06078566855524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-1.7053025658242404E-13</v>
      </c>
      <c r="GV94" s="18">
        <f>GU94*VLOOKUP('Données projet'!$B$18,Paramètres!$A$1:$I$89,3,0)*VLOOKUP('Données projet'!$B$18,Paramètres!$A$1:$I$89,5,0)</f>
        <v>-1.4897523215040567E-13</v>
      </c>
      <c r="GW94" s="14" t="e">
        <f t="shared" si="105"/>
        <v>#NUM!</v>
      </c>
      <c r="GX94" s="22" t="e">
        <f t="shared" si="82"/>
        <v>#NUM!</v>
      </c>
      <c r="GY94" s="62" t="e">
        <f t="shared" si="83"/>
        <v>#NUM!</v>
      </c>
      <c r="GZ94" s="62">
        <f ca="1">AVERAGE(OFFSET($GY$3,0,0,'Données projet'!$E$18+1,1))-AVERAGE(OFFSET($H$3,0,0,'Données projet'!$E$18+1,1))</f>
        <v>152.84277478695606</v>
      </c>
      <c r="HA94" s="62">
        <f t="shared" si="106"/>
        <v>179.22995976651015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9">
        <f t="shared" si="56"/>
        <v>369.71068859438765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267.49320000000006</v>
      </c>
      <c r="P95" s="14">
        <f t="shared" si="87"/>
        <v>64.316974590266341</v>
      </c>
      <c r="Q95" s="22">
        <f t="shared" si="54"/>
        <v>577.90272074471397</v>
      </c>
      <c r="R95" s="62">
        <f t="shared" si="55"/>
        <v>871.23605407804735</v>
      </c>
      <c r="S95" s="62">
        <f ca="1">AVERAGE(OFFSET($R$3,0,0,'Données projet'!$E$9+1,1))-AVERAGE(OFFSET($H$3,0,0,'Données projet'!$E$9+1,1))</f>
        <v>383.26814640166805</v>
      </c>
      <c r="T95" s="62">
        <f t="shared" si="88"/>
        <v>233.71216103405249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2.8</v>
      </c>
      <c r="AI95" s="14">
        <f>IF('Données projet'!$A$62&gt;35,AI94+AH95-AQ94,IF(A95&lt;'Données projet'!$A$62,$AF$205^A95,IF(A95='Données projet'!$A$62,'Données projet'!$B$62,AI94+AH95-AQ94)))</f>
        <v>164.59999999999997</v>
      </c>
      <c r="AJ95" s="14">
        <f>AI95*VLOOKUP('Données projet'!$B$10,Paramètres!$A$1:$I$89,3,0)*VLOOKUP('Données projet'!$B$10,Paramètres!$A$1:$I$89,5,0)</f>
        <v>177.17543999999995</v>
      </c>
      <c r="AK95" s="14">
        <f t="shared" si="89"/>
        <v>44.693196313414717</v>
      </c>
      <c r="AL95" s="22">
        <f t="shared" si="58"/>
        <v>386.42120824586385</v>
      </c>
      <c r="AM95" s="62">
        <f t="shared" si="59"/>
        <v>679.75454157919717</v>
      </c>
      <c r="AN95" s="62">
        <f ca="1">AVERAGE(OFFSET($AM$3,0,0,'Données projet'!$E$10+1,1))-AVERAGE(OFFSET($H$3,0,0,'Données projet'!$E$10+1,1))</f>
        <v>205.99910063756408</v>
      </c>
      <c r="AO95" s="62">
        <f t="shared" si="90"/>
        <v>128.95330275493671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293.3333333333353</v>
      </c>
      <c r="BI95" s="62">
        <f ca="1">AVERAGE(OFFSET($BH$3,0,0,'Données projet'!$E$11+1,1))-AVERAGE(OFFSET($H$3,0,0,'Données projet'!$E$11+1,1))</f>
        <v>222.20580087523689</v>
      </c>
      <c r="BJ95" s="62">
        <f t="shared" si="92"/>
        <v>232.08940427392253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2.9316179297501352</v>
      </c>
      <c r="BQ95" s="23">
        <f>EXP(-LN(2)/25)*BQ94+(1-EXP(-LN(2)/25))/(LN(2)/25)*Calculateur!BL95*Calculateur!BN95*VLOOKUP('Données projet'!$B$11,Paramètres!$A$1:$I$89,3,0)*0.475*44/12</f>
        <v>2.9460677687147068</v>
      </c>
      <c r="BR95" s="23">
        <f>EXP(-LN(2)/2)*BR94+(1-EXP(-LN(2)/2))/(LN(2)/2)*BL95*BO95*VLOOKUP('Données projet'!$B$11,Paramètres!$A$1:$I$89,3,0)*0.475*44/12</f>
        <v>2.9522743755596894E-9</v>
      </c>
      <c r="BS95" s="24">
        <f t="shared" si="63"/>
        <v>5.877685701417116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8.1391025641025667</v>
      </c>
      <c r="BY95" s="13">
        <f>IF('Données projet'!$A$114&gt;35,BY94+BX95-CG94,IF(A95&lt;'Données projet'!$A$114,$BV$205^A95,IF(A95='Données projet'!$A$114,'Données projet'!$B$114,BY94+BX95-CG94)))</f>
        <v>340.89551282051309</v>
      </c>
      <c r="BZ95" s="14">
        <f>BY95*VLOOKUP('Données projet'!$B$12,Paramètres!$A$1:$I$89,3,0)*VLOOKUP('Données projet'!$B$12,Paramètres!$A$1:$I$89,5,0)</f>
        <v>159.53910000000013</v>
      </c>
      <c r="CA95" s="14">
        <f t="shared" si="93"/>
        <v>40.73854067777345</v>
      </c>
      <c r="CB95" s="22">
        <f t="shared" si="64"/>
        <v>348.81689084712229</v>
      </c>
      <c r="CC95" s="62">
        <f t="shared" si="65"/>
        <v>642.15022418045555</v>
      </c>
      <c r="CD95" s="62">
        <f ca="1">AVERAGE(OFFSET($CC$3,0,0,'Données projet'!$E$12+1,1))-AVERAGE(OFFSET($H$3,0,0,'Données projet'!$E$12+1,1))</f>
        <v>179.14256291235466</v>
      </c>
      <c r="CE95" s="62">
        <f t="shared" si="94"/>
        <v>107.5256983607585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-2.8421709430404007E-13</v>
      </c>
      <c r="CU95" s="18">
        <f>CT95*VLOOKUP('Données projet'!$B$13,Paramètres!$A$1:$I$89,3,0)*VLOOKUP('Données projet'!$B$13,Paramètres!$A$1:$I$89,5,0)</f>
        <v>-1.69961822393816E-13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237.03649693529445</v>
      </c>
      <c r="CZ95" s="62">
        <f t="shared" si="96"/>
        <v>191.04289411674887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2.4507145291405918E-9</v>
      </c>
      <c r="DI95" s="24">
        <f t="shared" si="69"/>
        <v>2.4507145291405918E-9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3.5</v>
      </c>
      <c r="DO95" s="13">
        <f>IF('Données projet'!$A$166&gt;35,DO94+DN95-DW94,IF(A95&lt;'Données projet'!$A$166,$DL$205^A95,IF(A95='Données projet'!$A$166,'Données projet'!$B$166,DO94+DN95-DW94)))</f>
        <v>240.38000000000011</v>
      </c>
      <c r="DP95" s="18">
        <f>DO95*VLOOKUP('Données projet'!$B$14,Paramètres!$A$1:$I$89,3,0)*VLOOKUP('Données projet'!$B$14,Paramètres!$A$1:$I$89,5,0)</f>
        <v>276.9177600000001</v>
      </c>
      <c r="DQ95" s="14">
        <f t="shared" si="97"/>
        <v>66.315223937956461</v>
      </c>
      <c r="DR95" s="22">
        <f t="shared" si="70"/>
        <v>597.79744702527432</v>
      </c>
      <c r="DS95" s="62">
        <f t="shared" si="71"/>
        <v>891.13078035860758</v>
      </c>
      <c r="DT95" s="62">
        <f ca="1">AVERAGE(OFFSET($DS$3,0,0,'Données projet'!$E$14+1,1))-AVERAGE(OFFSET($H$3,0,0,'Données projet'!$E$14+1,1))</f>
        <v>431.38469096974364</v>
      </c>
      <c r="DU95" s="62">
        <f t="shared" si="98"/>
        <v>295.48627059086647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0.17557458047737384</v>
      </c>
      <c r="EC95" s="23">
        <f>EXP(-LN(2)/2)*EC94+(1-EXP(-LN(2)/2))/(LN(2)/2)*DW95*DZ95*VLOOKUP('Données projet'!$B$14,Paramètres!$A$1:$I$89,3,0)*0.475*44/12</f>
        <v>1.7874106767232484E-9</v>
      </c>
      <c r="ED95" s="24">
        <f t="shared" si="72"/>
        <v>0.17557458226478451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2.8</v>
      </c>
      <c r="EJ95" s="13">
        <f>IF('Données projet'!$A$192&gt;35,EJ94+EI95-ER94,IF(A95&lt;'Données projet'!$A$192,$EG$205^A95,IF(A95='Données projet'!$A$192,'Données projet'!$B$192,EJ94+EI95-ER94)))</f>
        <v>164.59999999999997</v>
      </c>
      <c r="EK95" s="18">
        <f>EJ95*VLOOKUP('Données projet'!$B$15,Paramètres!$A$1:$I$89,3,0)*VLOOKUP('Données projet'!$B$15,Paramètres!$A$1:$I$89,5,0)</f>
        <v>187.44647999999995</v>
      </c>
      <c r="EL95" s="14">
        <f t="shared" si="99"/>
        <v>46.974962030978389</v>
      </c>
      <c r="EM95" s="22">
        <f t="shared" si="73"/>
        <v>408.2840115372872</v>
      </c>
      <c r="EN95" s="62">
        <f t="shared" si="74"/>
        <v>701.61734487062051</v>
      </c>
      <c r="EO95" s="62">
        <f ca="1">AVERAGE(OFFSET($EN$3,0,0,'Données projet'!$E$15+1,1))-AVERAGE(OFFSET($H$3,0,0,'Données projet'!$E$15+1,1))</f>
        <v>220.03635832253951</v>
      </c>
      <c r="EP95" s="62">
        <f t="shared" si="100"/>
        <v>136.30639155882233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5.5</v>
      </c>
      <c r="FE95" s="13">
        <f>IF('Données projet'!$A$218&gt;35,FE94+FD95-FM94,IF(A95&lt;'Données projet'!$A$218,$FB$205^A95,IF(A95='Données projet'!$A$218,'Données projet'!$B$218,FE94+FD95-FM94)))</f>
        <v>423.00000000000051</v>
      </c>
      <c r="FF95" s="18">
        <f>FE95*VLOOKUP('Données projet'!$B$16,Paramètres!$A$1:$I$89,3,0)*VLOOKUP('Données projet'!$B$16,Paramètres!$A$1:$I$89,5,0)</f>
        <v>442.11960000000056</v>
      </c>
      <c r="FG95" s="14">
        <f t="shared" si="101"/>
        <v>100.26538003491797</v>
      </c>
      <c r="FH95" s="22">
        <f t="shared" si="76"/>
        <v>944.65384022748287</v>
      </c>
      <c r="FI95" s="62">
        <f t="shared" si="77"/>
        <v>1237.9871735608162</v>
      </c>
      <c r="FJ95" s="62">
        <f ca="1">AVERAGE(OFFSET($FI$3,0,0,'Données projet'!$E$16+1,1))-AVERAGE(OFFSET($H$3,0,0,'Données projet'!$E$16+1,1))</f>
        <v>641.62708445664862</v>
      </c>
      <c r="FK95" s="62">
        <f t="shared" si="102"/>
        <v>379.46845863546929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1.0102910588123942E-8</v>
      </c>
      <c r="FT95" s="24">
        <f t="shared" si="78"/>
        <v>1.0102910588123942E-8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2.8</v>
      </c>
      <c r="FZ95" s="13">
        <f>IF('Données projet'!$A$244&gt;35,FZ94+FY95-GH94,IF(A95&lt;'Données projet'!$A$244,$FW$205^A95,IF(A95='Données projet'!$A$244,'Données projet'!$B$244,FZ94+FY95-GH94)))</f>
        <v>164.59999999999997</v>
      </c>
      <c r="GA95" s="18">
        <f>FZ95*VLOOKUP('Données projet'!$B$17,Paramètres!$A$1:$I$89,3,0)*VLOOKUP('Données projet'!$B$17,Paramètres!$A$1:$I$89,5,0)</f>
        <v>159.20111999999997</v>
      </c>
      <c r="GB95" s="14">
        <f t="shared" si="103"/>
        <v>40.662273333437703</v>
      </c>
      <c r="GC95" s="22">
        <f t="shared" si="79"/>
        <v>348.09541005573732</v>
      </c>
      <c r="GD95" s="62">
        <f t="shared" si="80"/>
        <v>641.42874338907063</v>
      </c>
      <c r="GE95" s="62">
        <f ca="1">AVERAGE(OFFSET($GD$3,0,0,'Données projet'!$E$17+1,1))-AVERAGE(OFFSET($H$3,0,0,'Données projet'!$E$17+1,1))</f>
        <v>181.39066880931728</v>
      </c>
      <c r="GF95" s="62">
        <f t="shared" si="104"/>
        <v>116.06078566855524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-1.7053025658242404E-13</v>
      </c>
      <c r="GV95" s="18">
        <f>GU95*VLOOKUP('Données projet'!$B$18,Paramètres!$A$1:$I$89,3,0)*VLOOKUP('Données projet'!$B$18,Paramètres!$A$1:$I$89,5,0)</f>
        <v>-1.4897523215040567E-13</v>
      </c>
      <c r="GW95" s="14" t="e">
        <f t="shared" si="105"/>
        <v>#NUM!</v>
      </c>
      <c r="GX95" s="22" t="e">
        <f t="shared" si="82"/>
        <v>#NUM!</v>
      </c>
      <c r="GY95" s="62" t="e">
        <f t="shared" si="83"/>
        <v>#NUM!</v>
      </c>
      <c r="GZ95" s="62">
        <f ca="1">AVERAGE(OFFSET($GY$3,0,0,'Données projet'!$E$18+1,1))-AVERAGE(OFFSET($H$3,0,0,'Données projet'!$E$18+1,1))</f>
        <v>152.84277478695606</v>
      </c>
      <c r="HA95" s="62">
        <f t="shared" si="106"/>
        <v>179.22995976651015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9">
        <f t="shared" si="56"/>
        <v>370.90693862836775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272.46180000000004</v>
      </c>
      <c r="P96" s="14">
        <f t="shared" si="87"/>
        <v>65.371449071921944</v>
      </c>
      <c r="Q96" s="22">
        <f t="shared" si="54"/>
        <v>588.39290880026408</v>
      </c>
      <c r="R96" s="62">
        <f t="shared" si="55"/>
        <v>881.72624213359745</v>
      </c>
      <c r="S96" s="62">
        <f ca="1">AVERAGE(OFFSET($R$3,0,0,'Données projet'!$E$9+1,1))-AVERAGE(OFFSET($H$3,0,0,'Données projet'!$E$9+1,1))</f>
        <v>383.26814640166805</v>
      </c>
      <c r="T96" s="62">
        <f t="shared" si="88"/>
        <v>233.71216103405249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2.8</v>
      </c>
      <c r="AI96" s="14">
        <f>IF('Données projet'!$A$62&gt;35,AI95+AH96-AQ95,IF(A96&lt;'Données projet'!$A$62,$AF$205^A96,IF(A96='Données projet'!$A$62,'Données projet'!$B$62,AI95+AH96-AQ95)))</f>
        <v>167.39999999999998</v>
      </c>
      <c r="AJ96" s="14">
        <f>AI96*VLOOKUP('Données projet'!$B$10,Paramètres!$A$1:$I$89,3,0)*VLOOKUP('Données projet'!$B$10,Paramètres!$A$1:$I$89,5,0)</f>
        <v>180.18935999999997</v>
      </c>
      <c r="AK96" s="14">
        <f t="shared" si="89"/>
        <v>45.36431269940843</v>
      </c>
      <c r="AL96" s="22">
        <f t="shared" si="58"/>
        <v>392.83931328480293</v>
      </c>
      <c r="AM96" s="62">
        <f t="shared" si="59"/>
        <v>686.17264661813624</v>
      </c>
      <c r="AN96" s="62">
        <f ca="1">AVERAGE(OFFSET($AM$3,0,0,'Données projet'!$E$10+1,1))-AVERAGE(OFFSET($H$3,0,0,'Données projet'!$E$10+1,1))</f>
        <v>205.99910063756408</v>
      </c>
      <c r="AO96" s="62">
        <f t="shared" si="90"/>
        <v>128.95330275493671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293.3333333333353</v>
      </c>
      <c r="BI96" s="62">
        <f ca="1">AVERAGE(OFFSET($BH$3,0,0,'Données projet'!$E$11+1,1))-AVERAGE(OFFSET($H$3,0,0,'Données projet'!$E$11+1,1))</f>
        <v>222.20580087523689</v>
      </c>
      <c r="BJ96" s="62">
        <f t="shared" si="92"/>
        <v>232.08940427392253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2.8741306902581112</v>
      </c>
      <c r="BQ96" s="23">
        <f>EXP(-LN(2)/25)*BQ95+(1-EXP(-LN(2)/25))/(LN(2)/25)*Calculateur!BL96*Calculateur!BN96*VLOOKUP('Données projet'!$B$11,Paramètres!$A$1:$I$89,3,0)*0.475*44/12</f>
        <v>2.8655073906522324</v>
      </c>
      <c r="BR96" s="23">
        <f>EXP(-LN(2)/2)*BR95+(1-EXP(-LN(2)/2))/(LN(2)/2)*BL96*BO96*VLOOKUP('Données projet'!$B$11,Paramètres!$A$1:$I$89,3,0)*0.475*44/12</f>
        <v>2.0875732308815365E-9</v>
      </c>
      <c r="BS96" s="24">
        <f t="shared" si="63"/>
        <v>5.7396380829979172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8.1391025641025667</v>
      </c>
      <c r="BY96" s="13">
        <f>IF('Données projet'!$A$114&gt;35,BY95+BX96-CG95,IF(A96&lt;'Données projet'!$A$114,$BV$205^A96,IF(A96='Données projet'!$A$114,'Données projet'!$B$114,BY95+BX96-CG95)))</f>
        <v>349.03461538461568</v>
      </c>
      <c r="BZ96" s="14">
        <f>BY96*VLOOKUP('Données projet'!$B$12,Paramètres!$A$1:$I$89,3,0)*VLOOKUP('Données projet'!$B$12,Paramètres!$A$1:$I$89,5,0)</f>
        <v>163.34820000000013</v>
      </c>
      <c r="CA96" s="14">
        <f t="shared" si="93"/>
        <v>41.596798587958098</v>
      </c>
      <c r="CB96" s="22">
        <f t="shared" si="64"/>
        <v>356.94587254069387</v>
      </c>
      <c r="CC96" s="62">
        <f t="shared" si="65"/>
        <v>650.27920587402718</v>
      </c>
      <c r="CD96" s="62">
        <f ca="1">AVERAGE(OFFSET($CC$3,0,0,'Données projet'!$E$12+1,1))-AVERAGE(OFFSET($H$3,0,0,'Données projet'!$E$12+1,1))</f>
        <v>179.14256291235466</v>
      </c>
      <c r="CE96" s="62">
        <f t="shared" si="94"/>
        <v>107.5256983607585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-2.8421709430404007E-13</v>
      </c>
      <c r="CU96" s="18">
        <f>CT96*VLOOKUP('Données projet'!$B$13,Paramètres!$A$1:$I$89,3,0)*VLOOKUP('Données projet'!$B$13,Paramètres!$A$1:$I$89,5,0)</f>
        <v>-1.69961822393816E-13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237.03649693529445</v>
      </c>
      <c r="CZ96" s="62">
        <f t="shared" si="96"/>
        <v>191.04289411674887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1.7329168623077093E-9</v>
      </c>
      <c r="DI96" s="24">
        <f t="shared" si="69"/>
        <v>1.7329168623077093E-9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3.5</v>
      </c>
      <c r="DO96" s="13">
        <f>IF('Données projet'!$A$166&gt;35,DO95+DN96-DW95,IF(A96&lt;'Données projet'!$A$166,$DL$205^A96,IF(A96='Données projet'!$A$166,'Données projet'!$B$166,DO95+DN96-DW95)))</f>
        <v>243.88000000000011</v>
      </c>
      <c r="DP96" s="18">
        <f>DO96*VLOOKUP('Données projet'!$B$14,Paramètres!$A$1:$I$89,3,0)*VLOOKUP('Données projet'!$B$14,Paramètres!$A$1:$I$89,5,0)</f>
        <v>280.94976000000014</v>
      </c>
      <c r="DQ96" s="14">
        <f t="shared" si="97"/>
        <v>67.167680898044523</v>
      </c>
      <c r="DR96" s="22">
        <f t="shared" si="70"/>
        <v>606.30454289742772</v>
      </c>
      <c r="DS96" s="62">
        <f t="shared" si="71"/>
        <v>899.63787623076109</v>
      </c>
      <c r="DT96" s="62">
        <f ca="1">AVERAGE(OFFSET($DS$3,0,0,'Données projet'!$E$14+1,1))-AVERAGE(OFFSET($H$3,0,0,'Données projet'!$E$14+1,1))</f>
        <v>431.38469096974364</v>
      </c>
      <c r="DU96" s="62">
        <f t="shared" si="98"/>
        <v>295.48627059086647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0.17077348434115414</v>
      </c>
      <c r="EC96" s="23">
        <f>EXP(-LN(2)/2)*EC95+(1-EXP(-LN(2)/2))/(LN(2)/2)*DW96*DZ96*VLOOKUP('Données projet'!$B$14,Paramètres!$A$1:$I$89,3,0)*0.475*44/12</f>
        <v>1.2638902102762448E-9</v>
      </c>
      <c r="ED96" s="24">
        <f t="shared" si="72"/>
        <v>0.17077348560504435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2.8</v>
      </c>
      <c r="EJ96" s="13">
        <f>IF('Données projet'!$A$192&gt;35,EJ95+EI96-ER95,IF(A96&lt;'Données projet'!$A$192,$EG$205^A96,IF(A96='Données projet'!$A$192,'Données projet'!$B$192,EJ95+EI96-ER95)))</f>
        <v>167.39999999999998</v>
      </c>
      <c r="EK96" s="18">
        <f>EJ96*VLOOKUP('Données projet'!$B$15,Paramètres!$A$1:$I$89,3,0)*VLOOKUP('Données projet'!$B$15,Paramètres!$A$1:$I$89,5,0)</f>
        <v>190.63511999999997</v>
      </c>
      <c r="EL96" s="14">
        <f t="shared" si="99"/>
        <v>47.680341582025619</v>
      </c>
      <c r="EM96" s="22">
        <f t="shared" si="73"/>
        <v>415.06609558869451</v>
      </c>
      <c r="EN96" s="62">
        <f t="shared" si="74"/>
        <v>708.39942892202782</v>
      </c>
      <c r="EO96" s="62">
        <f ca="1">AVERAGE(OFFSET($EN$3,0,0,'Données projet'!$E$15+1,1))-AVERAGE(OFFSET($H$3,0,0,'Données projet'!$E$15+1,1))</f>
        <v>220.03635832253951</v>
      </c>
      <c r="EP96" s="62">
        <f t="shared" si="100"/>
        <v>136.30639155882233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5.5</v>
      </c>
      <c r="FE96" s="13">
        <f>IF('Données projet'!$A$218&gt;35,FE95+FD96-FM95,IF(A96&lt;'Données projet'!$A$218,$FB$205^A96,IF(A96='Données projet'!$A$218,'Données projet'!$B$218,FE95+FD96-FM95)))</f>
        <v>428.50000000000051</v>
      </c>
      <c r="FF96" s="18">
        <f>FE96*VLOOKUP('Données projet'!$B$16,Paramètres!$A$1:$I$89,3,0)*VLOOKUP('Données projet'!$B$16,Paramètres!$A$1:$I$89,5,0)</f>
        <v>447.86820000000057</v>
      </c>
      <c r="FG96" s="14">
        <f t="shared" si="101"/>
        <v>101.41645032000613</v>
      </c>
      <c r="FH96" s="22">
        <f t="shared" si="76"/>
        <v>956.67076597401149</v>
      </c>
      <c r="FI96" s="62">
        <f t="shared" si="77"/>
        <v>1250.0040993073449</v>
      </c>
      <c r="FJ96" s="62">
        <f ca="1">AVERAGE(OFFSET($FI$3,0,0,'Données projet'!$E$16+1,1))-AVERAGE(OFFSET($H$3,0,0,'Données projet'!$E$16+1,1))</f>
        <v>641.62708445664862</v>
      </c>
      <c r="FK96" s="62">
        <f t="shared" si="102"/>
        <v>379.46845863546929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7.1438365865838106E-9</v>
      </c>
      <c r="FT96" s="24">
        <f t="shared" si="78"/>
        <v>7.1438365865838106E-9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2.8</v>
      </c>
      <c r="FZ96" s="13">
        <f>IF('Données projet'!$A$244&gt;35,FZ95+FY96-GH95,IF(A96&lt;'Données projet'!$A$244,$FW$205^A96,IF(A96='Données projet'!$A$244,'Données projet'!$B$244,FZ95+FY96-GH95)))</f>
        <v>167.39999999999998</v>
      </c>
      <c r="GA96" s="18">
        <f>FZ96*VLOOKUP('Données projet'!$B$17,Paramètres!$A$1:$I$89,3,0)*VLOOKUP('Données projet'!$B$17,Paramètres!$A$1:$I$89,5,0)</f>
        <v>161.90927999999997</v>
      </c>
      <c r="GB96" s="14">
        <f t="shared" si="103"/>
        <v>41.272861077810653</v>
      </c>
      <c r="GC96" s="22">
        <f t="shared" si="79"/>
        <v>353.87556237718678</v>
      </c>
      <c r="GD96" s="62">
        <f t="shared" si="80"/>
        <v>647.2088957105201</v>
      </c>
      <c r="GE96" s="62">
        <f ca="1">AVERAGE(OFFSET($GD$3,0,0,'Données projet'!$E$17+1,1))-AVERAGE(OFFSET($H$3,0,0,'Données projet'!$E$17+1,1))</f>
        <v>181.39066880931728</v>
      </c>
      <c r="GF96" s="62">
        <f t="shared" si="104"/>
        <v>116.06078566855524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-1.7053025658242404E-13</v>
      </c>
      <c r="GV96" s="18">
        <f>GU96*VLOOKUP('Données projet'!$B$18,Paramètres!$A$1:$I$89,3,0)*VLOOKUP('Données projet'!$B$18,Paramètres!$A$1:$I$89,5,0)</f>
        <v>-1.4897523215040567E-13</v>
      </c>
      <c r="GW96" s="14" t="e">
        <f t="shared" si="105"/>
        <v>#NUM!</v>
      </c>
      <c r="GX96" s="22" t="e">
        <f t="shared" si="82"/>
        <v>#NUM!</v>
      </c>
      <c r="GY96" s="62" t="e">
        <f t="shared" si="83"/>
        <v>#NUM!</v>
      </c>
      <c r="GZ96" s="62">
        <f ca="1">AVERAGE(OFFSET($GY$3,0,0,'Données projet'!$E$18+1,1))-AVERAGE(OFFSET($H$3,0,0,'Données projet'!$E$18+1,1))</f>
        <v>152.84277478695606</v>
      </c>
      <c r="HA96" s="62">
        <f t="shared" si="106"/>
        <v>179.22995976651015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9">
        <f t="shared" si="56"/>
        <v>372.10288182746245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277.43039999999996</v>
      </c>
      <c r="P97" s="14">
        <f t="shared" si="87"/>
        <v>66.423687500715673</v>
      </c>
      <c r="Q97" s="22">
        <f t="shared" si="54"/>
        <v>598.87920239707967</v>
      </c>
      <c r="R97" s="62">
        <f t="shared" si="55"/>
        <v>892.21253573041304</v>
      </c>
      <c r="S97" s="62">
        <f ca="1">AVERAGE(OFFSET($R$3,0,0,'Données projet'!$E$9+1,1))-AVERAGE(OFFSET($H$3,0,0,'Données projet'!$E$9+1,1))</f>
        <v>383.26814640166805</v>
      </c>
      <c r="T97" s="62">
        <f t="shared" si="88"/>
        <v>233.71216103405249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2.8</v>
      </c>
      <c r="AI97" s="14">
        <f>IF('Données projet'!$A$62&gt;35,AI96+AH97-AQ96,IF(A97&lt;'Données projet'!$A$62,$AF$205^A97,IF(A97='Données projet'!$A$62,'Données projet'!$B$62,AI96+AH97-AQ96)))</f>
        <v>170.2</v>
      </c>
      <c r="AJ97" s="14">
        <f>AI97*VLOOKUP('Données projet'!$B$10,Paramètres!$A$1:$I$89,3,0)*VLOOKUP('Données projet'!$B$10,Paramètres!$A$1:$I$89,5,0)</f>
        <v>183.20327999999998</v>
      </c>
      <c r="AK97" s="14">
        <f t="shared" si="89"/>
        <v>46.034123659865585</v>
      </c>
      <c r="AL97" s="22">
        <f t="shared" si="58"/>
        <v>399.25514470759913</v>
      </c>
      <c r="AM97" s="62">
        <f t="shared" si="59"/>
        <v>692.58847804093239</v>
      </c>
      <c r="AN97" s="62">
        <f ca="1">AVERAGE(OFFSET($AM$3,0,0,'Données projet'!$E$10+1,1))-AVERAGE(OFFSET($H$3,0,0,'Données projet'!$E$10+1,1))</f>
        <v>205.99910063756408</v>
      </c>
      <c r="AO97" s="62">
        <f t="shared" si="90"/>
        <v>128.95330275493671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293.3333333333353</v>
      </c>
      <c r="BI97" s="62">
        <f ca="1">AVERAGE(OFFSET($BH$3,0,0,'Données projet'!$E$11+1,1))-AVERAGE(OFFSET($H$3,0,0,'Données projet'!$E$11+1,1))</f>
        <v>222.20580087523689</v>
      </c>
      <c r="BJ97" s="62">
        <f t="shared" si="92"/>
        <v>232.08940427392253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2.8177707404687715</v>
      </c>
      <c r="BQ97" s="23">
        <f>EXP(-LN(2)/25)*BQ96+(1-EXP(-LN(2)/25))/(LN(2)/25)*Calculateur!BL97*Calculateur!BN97*VLOOKUP('Données projet'!$B$11,Paramètres!$A$1:$I$89,3,0)*0.475*44/12</f>
        <v>2.7871499403643627</v>
      </c>
      <c r="BR97" s="23">
        <f>EXP(-LN(2)/2)*BR96+(1-EXP(-LN(2)/2))/(LN(2)/2)*BL97*BO97*VLOOKUP('Données projet'!$B$11,Paramètres!$A$1:$I$89,3,0)*0.475*44/12</f>
        <v>1.4761371877798447E-9</v>
      </c>
      <c r="BS97" s="24">
        <f t="shared" si="63"/>
        <v>5.6049206823092712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8.1391025641025667</v>
      </c>
      <c r="BY97" s="13">
        <f>IF('Données projet'!$A$114&gt;35,BY96+BX97-CG96,IF(A97&lt;'Données projet'!$A$114,$BV$205^A97,IF(A97='Données projet'!$A$114,'Données projet'!$B$114,BY96+BX97-CG96)))</f>
        <v>357.17371794871826</v>
      </c>
      <c r="BZ97" s="14">
        <f>BY97*VLOOKUP('Données projet'!$B$12,Paramètres!$A$1:$I$89,3,0)*VLOOKUP('Données projet'!$B$12,Paramètres!$A$1:$I$89,5,0)</f>
        <v>167.15730000000016</v>
      </c>
      <c r="CA97" s="14">
        <f t="shared" si="93"/>
        <v>42.452729847677681</v>
      </c>
      <c r="CB97" s="22">
        <f t="shared" si="64"/>
        <v>365.07080198470561</v>
      </c>
      <c r="CC97" s="62">
        <f t="shared" si="65"/>
        <v>658.40413531803893</v>
      </c>
      <c r="CD97" s="62">
        <f ca="1">AVERAGE(OFFSET($CC$3,0,0,'Données projet'!$E$12+1,1))-AVERAGE(OFFSET($H$3,0,0,'Données projet'!$E$12+1,1))</f>
        <v>179.14256291235466</v>
      </c>
      <c r="CE97" s="62">
        <f t="shared" si="94"/>
        <v>107.5256983607585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-2.8421709430404007E-13</v>
      </c>
      <c r="CU97" s="18">
        <f>CT97*VLOOKUP('Données projet'!$B$13,Paramètres!$A$1:$I$89,3,0)*VLOOKUP('Données projet'!$B$13,Paramètres!$A$1:$I$89,5,0)</f>
        <v>-1.69961822393816E-13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237.03649693529445</v>
      </c>
      <c r="CZ97" s="62">
        <f t="shared" si="96"/>
        <v>191.04289411674887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1.2253572645702959E-9</v>
      </c>
      <c r="DI97" s="24">
        <f t="shared" si="69"/>
        <v>1.2253572645702959E-9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3.5</v>
      </c>
      <c r="DO97" s="13">
        <f>IF('Données projet'!$A$166&gt;35,DO96+DN97-DW96,IF(A97&lt;'Données projet'!$A$166,$DL$205^A97,IF(A97='Données projet'!$A$166,'Données projet'!$B$166,DO96+DN97-DW96)))</f>
        <v>247.38000000000011</v>
      </c>
      <c r="DP97" s="18">
        <f>DO97*VLOOKUP('Données projet'!$B$14,Paramètres!$A$1:$I$89,3,0)*VLOOKUP('Données projet'!$B$14,Paramètres!$A$1:$I$89,5,0)</f>
        <v>284.98176000000012</v>
      </c>
      <c r="DQ97" s="14">
        <f t="shared" si="97"/>
        <v>68.018714971267968</v>
      </c>
      <c r="DR97" s="22">
        <f t="shared" si="70"/>
        <v>614.80916057495858</v>
      </c>
      <c r="DS97" s="62">
        <f t="shared" si="71"/>
        <v>908.14249390829195</v>
      </c>
      <c r="DT97" s="62">
        <f ca="1">AVERAGE(OFFSET($DS$3,0,0,'Données projet'!$E$14+1,1))-AVERAGE(OFFSET($H$3,0,0,'Données projet'!$E$14+1,1))</f>
        <v>431.38469096974364</v>
      </c>
      <c r="DU97" s="62">
        <f t="shared" si="98"/>
        <v>295.48627059086647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0.16610367443125804</v>
      </c>
      <c r="EC97" s="23">
        <f>EXP(-LN(2)/2)*EC96+(1-EXP(-LN(2)/2))/(LN(2)/2)*DW97*DZ97*VLOOKUP('Données projet'!$B$14,Paramètres!$A$1:$I$89,3,0)*0.475*44/12</f>
        <v>8.9370533836162418E-10</v>
      </c>
      <c r="ED97" s="24">
        <f t="shared" si="72"/>
        <v>0.16610367532496337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2.8</v>
      </c>
      <c r="EJ97" s="13">
        <f>IF('Données projet'!$A$192&gt;35,EJ96+EI97-ER96,IF(A97&lt;'Données projet'!$A$192,$EG$205^A97,IF(A97='Données projet'!$A$192,'Données projet'!$B$192,EJ96+EI97-ER96)))</f>
        <v>170.2</v>
      </c>
      <c r="EK97" s="18">
        <f>EJ97*VLOOKUP('Données projet'!$B$15,Paramètres!$A$1:$I$89,3,0)*VLOOKUP('Données projet'!$B$15,Paramètres!$A$1:$I$89,5,0)</f>
        <v>193.82375999999999</v>
      </c>
      <c r="EL97" s="14">
        <f t="shared" si="99"/>
        <v>48.384349060362233</v>
      </c>
      <c r="EM97" s="22">
        <f t="shared" si="73"/>
        <v>421.84578994679754</v>
      </c>
      <c r="EN97" s="62">
        <f t="shared" si="74"/>
        <v>715.17912328013085</v>
      </c>
      <c r="EO97" s="62">
        <f ca="1">AVERAGE(OFFSET($EN$3,0,0,'Données projet'!$E$15+1,1))-AVERAGE(OFFSET($H$3,0,0,'Données projet'!$E$15+1,1))</f>
        <v>220.03635832253951</v>
      </c>
      <c r="EP97" s="62">
        <f t="shared" si="100"/>
        <v>136.30639155882233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5.5</v>
      </c>
      <c r="FE97" s="13">
        <f>IF('Données projet'!$A$218&gt;35,FE96+FD97-FM96,IF(A97&lt;'Données projet'!$A$218,$FB$205^A97,IF(A97='Données projet'!$A$218,'Données projet'!$B$218,FE96+FD97-FM96)))</f>
        <v>434.00000000000051</v>
      </c>
      <c r="FF97" s="18">
        <f>FE97*VLOOKUP('Données projet'!$B$16,Paramètres!$A$1:$I$89,3,0)*VLOOKUP('Données projet'!$B$16,Paramètres!$A$1:$I$89,5,0)</f>
        <v>453.61680000000058</v>
      </c>
      <c r="FG97" s="14">
        <f t="shared" si="101"/>
        <v>102.56580208383768</v>
      </c>
      <c r="FH97" s="22">
        <f t="shared" si="76"/>
        <v>968.6846986293516</v>
      </c>
      <c r="FI97" s="62">
        <f t="shared" si="77"/>
        <v>1262.018031962685</v>
      </c>
      <c r="FJ97" s="62">
        <f ca="1">AVERAGE(OFFSET($FI$3,0,0,'Données projet'!$E$16+1,1))-AVERAGE(OFFSET($H$3,0,0,'Données projet'!$E$16+1,1))</f>
        <v>641.62708445664862</v>
      </c>
      <c r="FK97" s="62">
        <f t="shared" si="102"/>
        <v>379.46845863546929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5.0514552940619711E-9</v>
      </c>
      <c r="FT97" s="24">
        <f t="shared" si="78"/>
        <v>5.0514552940619711E-9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2.8</v>
      </c>
      <c r="FZ97" s="13">
        <f>IF('Données projet'!$A$244&gt;35,FZ96+FY97-GH96,IF(A97&lt;'Données projet'!$A$244,$FW$205^A97,IF(A97='Données projet'!$A$244,'Données projet'!$B$244,FZ96+FY97-GH96)))</f>
        <v>170.2</v>
      </c>
      <c r="GA97" s="18">
        <f>FZ97*VLOOKUP('Données projet'!$B$17,Paramètres!$A$1:$I$89,3,0)*VLOOKUP('Données projet'!$B$17,Paramètres!$A$1:$I$89,5,0)</f>
        <v>164.61743999999999</v>
      </c>
      <c r="GB97" s="14">
        <f t="shared" si="103"/>
        <v>41.882261134249809</v>
      </c>
      <c r="GC97" s="22">
        <f t="shared" si="79"/>
        <v>359.65364614215167</v>
      </c>
      <c r="GD97" s="62">
        <f t="shared" si="80"/>
        <v>652.98697947548499</v>
      </c>
      <c r="GE97" s="62">
        <f ca="1">AVERAGE(OFFSET($GD$3,0,0,'Données projet'!$E$17+1,1))-AVERAGE(OFFSET($H$3,0,0,'Données projet'!$E$17+1,1))</f>
        <v>181.39066880931728</v>
      </c>
      <c r="GF97" s="62">
        <f t="shared" si="104"/>
        <v>116.06078566855524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-1.7053025658242404E-13</v>
      </c>
      <c r="GV97" s="18">
        <f>GU97*VLOOKUP('Données projet'!$B$18,Paramètres!$A$1:$I$89,3,0)*VLOOKUP('Données projet'!$B$18,Paramètres!$A$1:$I$89,5,0)</f>
        <v>-1.4897523215040567E-13</v>
      </c>
      <c r="GW97" s="14" t="e">
        <f t="shared" si="105"/>
        <v>#NUM!</v>
      </c>
      <c r="GX97" s="22" t="e">
        <f t="shared" si="82"/>
        <v>#NUM!</v>
      </c>
      <c r="GY97" s="62" t="e">
        <f t="shared" si="83"/>
        <v>#NUM!</v>
      </c>
      <c r="GZ97" s="62">
        <f ca="1">AVERAGE(OFFSET($GY$3,0,0,'Données projet'!$E$18+1,1))-AVERAGE(OFFSET($H$3,0,0,'Données projet'!$E$18+1,1))</f>
        <v>152.84277478695606</v>
      </c>
      <c r="HA97" s="62">
        <f t="shared" si="106"/>
        <v>179.22995976651015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9">
        <f t="shared" si="56"/>
        <v>373.29852183370838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282.399</v>
      </c>
      <c r="P98" s="14">
        <f t="shared" si="87"/>
        <v>67.473734542548371</v>
      </c>
      <c r="Q98" s="22">
        <f t="shared" si="54"/>
        <v>609.36167932827175</v>
      </c>
      <c r="R98" s="62">
        <f t="shared" si="55"/>
        <v>902.69501266160501</v>
      </c>
      <c r="S98" s="62">
        <f ca="1">AVERAGE(OFFSET($R$3,0,0,'Données projet'!$E$9+1,1))-AVERAGE(OFFSET($H$3,0,0,'Données projet'!$E$9+1,1))</f>
        <v>383.26814640166805</v>
      </c>
      <c r="T98" s="62">
        <f t="shared" si="88"/>
        <v>233.71216103405249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173</v>
      </c>
      <c r="AG98" s="13">
        <f>VLOOKUP(A98,'Données projet'!$A$61:$I$81,9,0)</f>
        <v>2.8</v>
      </c>
      <c r="AH98" s="13">
        <f t="array" ref="AH98">INDEX(AG:AG,MIN(IF(ISNUMBER(AG98:AG294),ROW(AG98:AG294),"")))</f>
        <v>2.8</v>
      </c>
      <c r="AI98" s="14">
        <f>IF('Données projet'!$A$62&gt;35,AI97+AH98-AQ97,IF(A98&lt;'Données projet'!$A$62,$AF$205^A98,IF(A98='Données projet'!$A$62,'Données projet'!$B$62,AI97+AH98-AQ97)))</f>
        <v>173</v>
      </c>
      <c r="AJ98" s="14">
        <f>AI98*VLOOKUP('Données projet'!$B$10,Paramètres!$A$1:$I$89,3,0)*VLOOKUP('Données projet'!$B$10,Paramètres!$A$1:$I$89,5,0)</f>
        <v>186.21719999999999</v>
      </c>
      <c r="AK98" s="14">
        <f t="shared" si="89"/>
        <v>46.702653149673253</v>
      </c>
      <c r="AL98" s="22">
        <f t="shared" si="58"/>
        <v>405.66874423568089</v>
      </c>
      <c r="AM98" s="62">
        <f t="shared" si="59"/>
        <v>699.0020775690142</v>
      </c>
      <c r="AN98" s="62">
        <f ca="1">AVERAGE(OFFSET($AM$3,0,0,'Données projet'!$E$10+1,1))-AVERAGE(OFFSET($H$3,0,0,'Données projet'!$E$10+1,1))</f>
        <v>205.99910063756408</v>
      </c>
      <c r="AO98" s="62">
        <f t="shared" si="90"/>
        <v>128.95330275493671</v>
      </c>
      <c r="AP98" s="16">
        <f>IF(ISNA(VLOOKUP(A98,'Données projet'!$A$61:$I$81,3,0)),0,VLOOKUP(A98,'Données projet'!$A$61:$I$81,3,0))</f>
        <v>7</v>
      </c>
      <c r="AQ98" s="16">
        <f>IF(ISNA(VLOOKUP(A98,'Données projet'!$A$61:$I$81,4,0)),0,VLOOKUP(A98,'Données projet'!$A$61:$I$81,4,0))</f>
        <v>18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293.3333333333353</v>
      </c>
      <c r="BI98" s="62">
        <f ca="1">AVERAGE(OFFSET($BH$3,0,0,'Données projet'!$E$11+1,1))-AVERAGE(OFFSET($H$3,0,0,'Données projet'!$E$11+1,1))</f>
        <v>222.20580087523689</v>
      </c>
      <c r="BJ98" s="62">
        <f t="shared" si="92"/>
        <v>232.08940427392253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2.7625159749186259</v>
      </c>
      <c r="BQ98" s="23">
        <f>EXP(-LN(2)/25)*BQ97+(1-EXP(-LN(2)/25))/(LN(2)/25)*Calculateur!BL98*Calculateur!BN98*VLOOKUP('Données projet'!$B$11,Paramètres!$A$1:$I$89,3,0)*0.475*44/12</f>
        <v>2.7109351786752538</v>
      </c>
      <c r="BR98" s="23">
        <f>EXP(-LN(2)/2)*BR97+(1-EXP(-LN(2)/2))/(LN(2)/2)*BL98*BO98*VLOOKUP('Données projet'!$B$11,Paramètres!$A$1:$I$89,3,0)*0.475*44/12</f>
        <v>1.0437866154407682E-9</v>
      </c>
      <c r="BS98" s="24">
        <f t="shared" si="63"/>
        <v>5.4734511546376661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8.1391025641025667</v>
      </c>
      <c r="BY98" s="13">
        <f>IF('Données projet'!$A$114&gt;35,BY97+BX98-CG97,IF(A98&lt;'Données projet'!$A$114,$BV$205^A98,IF(A98='Données projet'!$A$114,'Données projet'!$B$114,BY97+BX98-CG97)))</f>
        <v>365.31282051282085</v>
      </c>
      <c r="BZ98" s="14">
        <f>BY98*VLOOKUP('Données projet'!$B$12,Paramètres!$A$1:$I$89,3,0)*VLOOKUP('Données projet'!$B$12,Paramètres!$A$1:$I$89,5,0)</f>
        <v>170.96640000000016</v>
      </c>
      <c r="CA98" s="14">
        <f t="shared" si="93"/>
        <v>43.306393578795678</v>
      </c>
      <c r="CB98" s="22">
        <f t="shared" si="64"/>
        <v>373.19178214973607</v>
      </c>
      <c r="CC98" s="62">
        <f t="shared" si="65"/>
        <v>666.52511548306938</v>
      </c>
      <c r="CD98" s="62">
        <f ca="1">AVERAGE(OFFSET($CC$3,0,0,'Données projet'!$E$12+1,1))-AVERAGE(OFFSET($H$3,0,0,'Données projet'!$E$12+1,1))</f>
        <v>179.14256291235466</v>
      </c>
      <c r="CE98" s="62">
        <f t="shared" si="94"/>
        <v>107.5256983607585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-2.8421709430404007E-13</v>
      </c>
      <c r="CU98" s="18">
        <f>CT98*VLOOKUP('Données projet'!$B$13,Paramètres!$A$1:$I$89,3,0)*VLOOKUP('Données projet'!$B$13,Paramètres!$A$1:$I$89,5,0)</f>
        <v>-1.69961822393816E-13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237.03649693529445</v>
      </c>
      <c r="CZ98" s="62">
        <f t="shared" si="96"/>
        <v>191.04289411674887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8.6645843115385467E-10</v>
      </c>
      <c r="DI98" s="24">
        <f t="shared" si="69"/>
        <v>8.6645843115385467E-10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3.5</v>
      </c>
      <c r="DO98" s="13">
        <f>IF('Données projet'!$A$166&gt;35,DO97+DN98-DW97,IF(A98&lt;'Données projet'!$A$166,$DL$205^A98,IF(A98='Données projet'!$A$166,'Données projet'!$B$166,DO97+DN98-DW97)))</f>
        <v>250.88000000000011</v>
      </c>
      <c r="DP98" s="18">
        <f>DO98*VLOOKUP('Données projet'!$B$14,Paramètres!$A$1:$I$89,3,0)*VLOOKUP('Données projet'!$B$14,Paramètres!$A$1:$I$89,5,0)</f>
        <v>289.0137600000001</v>
      </c>
      <c r="DQ98" s="14">
        <f t="shared" si="97"/>
        <v>68.868348615326042</v>
      </c>
      <c r="DR98" s="22">
        <f t="shared" si="70"/>
        <v>623.31133917169302</v>
      </c>
      <c r="DS98" s="62">
        <f t="shared" si="71"/>
        <v>916.64467250502639</v>
      </c>
      <c r="DT98" s="62">
        <f ca="1">AVERAGE(OFFSET($DS$3,0,0,'Données projet'!$E$14+1,1))-AVERAGE(OFFSET($H$3,0,0,'Données projet'!$E$14+1,1))</f>
        <v>431.38469096974364</v>
      </c>
      <c r="DU98" s="62">
        <f t="shared" si="98"/>
        <v>295.48627059086647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0.16156156071892269</v>
      </c>
      <c r="EC98" s="23">
        <f>EXP(-LN(2)/2)*EC97+(1-EXP(-LN(2)/2))/(LN(2)/2)*DW98*DZ98*VLOOKUP('Données projet'!$B$14,Paramètres!$A$1:$I$89,3,0)*0.475*44/12</f>
        <v>6.319451051381224E-10</v>
      </c>
      <c r="ED98" s="24">
        <f t="shared" si="72"/>
        <v>0.1615615613508678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173</v>
      </c>
      <c r="EH98" s="13">
        <f>VLOOKUP(A98,'Données projet'!$A$191:$I$211,9,0)</f>
        <v>2.8</v>
      </c>
      <c r="EI98" s="13">
        <f t="array" ref="EI98">INDEX(EH:EH,MIN(IF(ISNUMBER(EH98:EH294),ROW(EH98:EH294),"")))</f>
        <v>2.8</v>
      </c>
      <c r="EJ98" s="13">
        <f>IF('Données projet'!$A$192&gt;35,EJ97+EI98-ER97,IF(A98&lt;'Données projet'!$A$192,$EG$205^A98,IF(A98='Données projet'!$A$192,'Données projet'!$B$192,EJ97+EI98-ER97)))</f>
        <v>173</v>
      </c>
      <c r="EK98" s="18">
        <f>EJ98*VLOOKUP('Données projet'!$B$15,Paramètres!$A$1:$I$89,3,0)*VLOOKUP('Données projet'!$B$15,Paramètres!$A$1:$I$89,5,0)</f>
        <v>197.01239999999999</v>
      </c>
      <c r="EL98" s="14">
        <f t="shared" si="99"/>
        <v>49.087009643867567</v>
      </c>
      <c r="EM98" s="22">
        <f t="shared" si="73"/>
        <v>428.62313846306932</v>
      </c>
      <c r="EN98" s="62">
        <f t="shared" si="74"/>
        <v>721.95647179640264</v>
      </c>
      <c r="EO98" s="62">
        <f ca="1">AVERAGE(OFFSET($EN$3,0,0,'Données projet'!$E$15+1,1))-AVERAGE(OFFSET($H$3,0,0,'Données projet'!$E$15+1,1))</f>
        <v>220.03635832253951</v>
      </c>
      <c r="EP98" s="62">
        <f t="shared" si="100"/>
        <v>136.30639155882233</v>
      </c>
      <c r="EQ98" s="16">
        <f>IF(ISNA(VLOOKUP(A98,'Données projet'!$A$191:$I$211,3,0)),0,VLOOKUP(A98,'Données projet'!$A$191:$I$211,3,0))</f>
        <v>7</v>
      </c>
      <c r="ER98" s="16">
        <f>IF(ISNA(VLOOKUP(A98,'Données projet'!$A$191:$I$211,4,0)),0,VLOOKUP(A98,'Données projet'!$A$191:$I$211,4,0))</f>
        <v>18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5.5</v>
      </c>
      <c r="FE98" s="13">
        <f>IF('Données projet'!$A$218&gt;35,FE97+FD98-FM97,IF(A98&lt;'Données projet'!$A$218,$FB$205^A98,IF(A98='Données projet'!$A$218,'Données projet'!$B$218,FE97+FD98-FM97)))</f>
        <v>439.50000000000051</v>
      </c>
      <c r="FF98" s="18">
        <f>FE98*VLOOKUP('Données projet'!$B$16,Paramètres!$A$1:$I$89,3,0)*VLOOKUP('Données projet'!$B$16,Paramètres!$A$1:$I$89,5,0)</f>
        <v>459.36540000000059</v>
      </c>
      <c r="FG98" s="14">
        <f t="shared" si="101"/>
        <v>103.71345962330915</v>
      </c>
      <c r="FH98" s="22">
        <f t="shared" si="76"/>
        <v>980.69568051059775</v>
      </c>
      <c r="FI98" s="62">
        <f t="shared" si="77"/>
        <v>1274.0290138439311</v>
      </c>
      <c r="FJ98" s="62">
        <f ca="1">AVERAGE(OFFSET($FI$3,0,0,'Données projet'!$E$16+1,1))-AVERAGE(OFFSET($H$3,0,0,'Données projet'!$E$16+1,1))</f>
        <v>641.62708445664862</v>
      </c>
      <c r="FK98" s="62">
        <f t="shared" si="102"/>
        <v>379.46845863546929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3.5719182932919053E-9</v>
      </c>
      <c r="FT98" s="24">
        <f t="shared" si="78"/>
        <v>3.5719182932919053E-9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173</v>
      </c>
      <c r="FX98" s="13">
        <f>VLOOKUP(A98,'Données projet'!$A$243:$I$263,9,0)</f>
        <v>2.8</v>
      </c>
      <c r="FY98" s="13">
        <f t="array" ref="FY98">INDEX(FX:FX,MIN(IF(ISNUMBER(FX98:FX294),ROW(FX98:FX294),"")))</f>
        <v>2.8</v>
      </c>
      <c r="FZ98" s="13">
        <f>IF('Données projet'!$A$244&gt;35,FZ97+FY98-GH97,IF(A98&lt;'Données projet'!$A$244,$FW$205^A98,IF(A98='Données projet'!$A$244,'Données projet'!$B$244,FZ97+FY98-GH97)))</f>
        <v>173</v>
      </c>
      <c r="GA98" s="18">
        <f>FZ98*VLOOKUP('Données projet'!$B$17,Paramètres!$A$1:$I$89,3,0)*VLOOKUP('Données projet'!$B$17,Paramètres!$A$1:$I$89,5,0)</f>
        <v>167.32560000000001</v>
      </c>
      <c r="GB98" s="14">
        <f t="shared" si="103"/>
        <v>42.490495297127609</v>
      </c>
      <c r="GC98" s="22">
        <f t="shared" si="79"/>
        <v>365.42969930916388</v>
      </c>
      <c r="GD98" s="62">
        <f t="shared" si="80"/>
        <v>658.76303264249714</v>
      </c>
      <c r="GE98" s="62">
        <f ca="1">AVERAGE(OFFSET($GD$3,0,0,'Données projet'!$E$17+1,1))-AVERAGE(OFFSET($H$3,0,0,'Données projet'!$E$17+1,1))</f>
        <v>181.39066880931728</v>
      </c>
      <c r="GF98" s="62">
        <f t="shared" si="104"/>
        <v>116.06078566855524</v>
      </c>
      <c r="GG98" s="16">
        <f>IF(ISNA(VLOOKUP(A98,'Données projet'!$A$243:$I$263,3,0)),0,VLOOKUP(A98,'Données projet'!$A$243:$I$263,3,0))</f>
        <v>7</v>
      </c>
      <c r="GH98" s="16">
        <f>IF(ISNA(VLOOKUP(A98,'Données projet'!$A$243:$I$263,4,0)),0,VLOOKUP(A98,'Données projet'!$A$243:$I$263,4,0))</f>
        <v>18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-1.7053025658242404E-13</v>
      </c>
      <c r="GV98" s="18">
        <f>GU98*VLOOKUP('Données projet'!$B$18,Paramètres!$A$1:$I$89,3,0)*VLOOKUP('Données projet'!$B$18,Paramètres!$A$1:$I$89,5,0)</f>
        <v>-1.4897523215040567E-13</v>
      </c>
      <c r="GW98" s="14" t="e">
        <f t="shared" si="105"/>
        <v>#NUM!</v>
      </c>
      <c r="GX98" s="22" t="e">
        <f t="shared" si="82"/>
        <v>#NUM!</v>
      </c>
      <c r="GY98" s="62" t="e">
        <f t="shared" si="83"/>
        <v>#NUM!</v>
      </c>
      <c r="GZ98" s="62">
        <f ca="1">AVERAGE(OFFSET($GY$3,0,0,'Données projet'!$E$18+1,1))-AVERAGE(OFFSET($H$3,0,0,'Données projet'!$E$18+1,1))</f>
        <v>152.84277478695606</v>
      </c>
      <c r="HA98" s="62">
        <f t="shared" si="106"/>
        <v>179.22995976651015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9">
        <f t="shared" si="56"/>
        <v>374.49386220805047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287.36759999999992</v>
      </c>
      <c r="P99" s="14">
        <f t="shared" si="87"/>
        <v>68.521633201565123</v>
      </c>
      <c r="Q99" s="22">
        <f t="shared" ref="Q99:Q130" si="107">(O99+P99)*0.475*44/12</f>
        <v>619.84041449272581</v>
      </c>
      <c r="R99" s="62">
        <f t="shared" si="55"/>
        <v>913.17374782605907</v>
      </c>
      <c r="S99" s="62">
        <f ca="1">AVERAGE(OFFSET($R$3,0,0,'Données projet'!$E$9+1,1))-AVERAGE(OFFSET($H$3,0,0,'Données projet'!$E$9+1,1))</f>
        <v>383.26814640166805</v>
      </c>
      <c r="T99" s="62">
        <f t="shared" si="88"/>
        <v>233.71216103405249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</v>
      </c>
      <c r="AI99" s="14">
        <f>IF('Données projet'!$A$62&gt;35,AI98+AH99-AQ98,IF(A99&lt;'Données projet'!$A$62,$AF$205^A99,IF(A99='Données projet'!$A$62,'Données projet'!$B$62,AI98+AH99-AQ98)))</f>
        <v>158</v>
      </c>
      <c r="AJ99" s="14">
        <f>AI99*VLOOKUP('Données projet'!$B$10,Paramètres!$A$1:$I$89,3,0)*VLOOKUP('Données projet'!$B$10,Paramètres!$A$1:$I$89,5,0)</f>
        <v>170.0712</v>
      </c>
      <c r="AK99" s="14">
        <f t="shared" si="89"/>
        <v>43.10596962815594</v>
      </c>
      <c r="AL99" s="22">
        <f t="shared" si="58"/>
        <v>371.28357043570492</v>
      </c>
      <c r="AM99" s="62">
        <f t="shared" si="59"/>
        <v>664.61690376903823</v>
      </c>
      <c r="AN99" s="62">
        <f ca="1">AVERAGE(OFFSET($AM$3,0,0,'Données projet'!$E$10+1,1))-AVERAGE(OFFSET($H$3,0,0,'Données projet'!$E$10+1,1))</f>
        <v>205.99910063756408</v>
      </c>
      <c r="AO99" s="62">
        <f t="shared" si="90"/>
        <v>128.95330275493671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293.3333333333353</v>
      </c>
      <c r="BI99" s="62">
        <f ca="1">AVERAGE(OFFSET($BH$3,0,0,'Données projet'!$E$11+1,1))-AVERAGE(OFFSET($H$3,0,0,'Données projet'!$E$11+1,1))</f>
        <v>222.20580087523689</v>
      </c>
      <c r="BJ99" s="62">
        <f t="shared" si="92"/>
        <v>232.08940427392253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2.7083447216188397</v>
      </c>
      <c r="BQ99" s="23">
        <f>EXP(-LN(2)/25)*BQ98+(1-EXP(-LN(2)/25))/(LN(2)/25)*Calculateur!BL99*Calculateur!BN99*VLOOKUP('Données projet'!$B$11,Paramètres!$A$1:$I$89,3,0)*0.475*44/12</f>
        <v>2.636804513652494</v>
      </c>
      <c r="BR99" s="23">
        <f>EXP(-LN(2)/2)*BR98+(1-EXP(-LN(2)/2))/(LN(2)/2)*BL99*BO99*VLOOKUP('Données projet'!$B$11,Paramètres!$A$1:$I$89,3,0)*0.475*44/12</f>
        <v>7.3806859388992234E-10</v>
      </c>
      <c r="BS99" s="24">
        <f t="shared" si="63"/>
        <v>5.3451492360094024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8.1391025641025667</v>
      </c>
      <c r="BY99" s="13">
        <f>IF('Données projet'!$A$114&gt;35,BY98+BX99-CG98,IF(A99&lt;'Données projet'!$A$114,$BV$205^A99,IF(A99='Données projet'!$A$114,'Données projet'!$B$114,BY98+BX99-CG98)))</f>
        <v>373.45192307692344</v>
      </c>
      <c r="BZ99" s="14">
        <f>BY99*VLOOKUP('Données projet'!$B$12,Paramètres!$A$1:$I$89,3,0)*VLOOKUP('Données projet'!$B$12,Paramètres!$A$1:$I$89,5,0)</f>
        <v>174.77550000000016</v>
      </c>
      <c r="CA99" s="14">
        <f t="shared" si="93"/>
        <v>44.157846118321132</v>
      </c>
      <c r="CB99" s="22">
        <f t="shared" si="64"/>
        <v>381.30891115607625</v>
      </c>
      <c r="CC99" s="62">
        <f t="shared" si="65"/>
        <v>674.64224448940956</v>
      </c>
      <c r="CD99" s="62">
        <f ca="1">AVERAGE(OFFSET($CC$3,0,0,'Données projet'!$E$12+1,1))-AVERAGE(OFFSET($H$3,0,0,'Données projet'!$E$12+1,1))</f>
        <v>179.14256291235466</v>
      </c>
      <c r="CE99" s="62">
        <f t="shared" si="94"/>
        <v>107.5256983607585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-2.8421709430404007E-13</v>
      </c>
      <c r="CU99" s="18">
        <f>CT99*VLOOKUP('Données projet'!$B$13,Paramètres!$A$1:$I$89,3,0)*VLOOKUP('Données projet'!$B$13,Paramètres!$A$1:$I$89,5,0)</f>
        <v>-1.69961822393816E-13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237.03649693529445</v>
      </c>
      <c r="CZ99" s="62">
        <f t="shared" si="96"/>
        <v>191.04289411674887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6.1267863228514796E-10</v>
      </c>
      <c r="DI99" s="24">
        <f t="shared" si="69"/>
        <v>6.1267863228514796E-10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3.5</v>
      </c>
      <c r="DO99" s="13">
        <f>IF('Données projet'!$A$166&gt;35,DO98+DN99-DW98,IF(A99&lt;'Données projet'!$A$166,$DL$205^A99,IF(A99='Données projet'!$A$166,'Données projet'!$B$166,DO98+DN99-DW98)))</f>
        <v>254.38000000000011</v>
      </c>
      <c r="DP99" s="18">
        <f>DO99*VLOOKUP('Données projet'!$B$14,Paramètres!$A$1:$I$89,3,0)*VLOOKUP('Données projet'!$B$14,Paramètres!$A$1:$I$89,5,0)</f>
        <v>293.04576000000009</v>
      </c>
      <c r="DQ99" s="14">
        <f t="shared" si="97"/>
        <v>69.71660362531324</v>
      </c>
      <c r="DR99" s="22">
        <f t="shared" si="70"/>
        <v>631.81111664742082</v>
      </c>
      <c r="DS99" s="62">
        <f t="shared" si="71"/>
        <v>925.14444998075419</v>
      </c>
      <c r="DT99" s="62">
        <f ca="1">AVERAGE(OFFSET($DS$3,0,0,'Données projet'!$E$14+1,1))-AVERAGE(OFFSET($H$3,0,0,'Données projet'!$E$14+1,1))</f>
        <v>431.38469096974364</v>
      </c>
      <c r="DU99" s="62">
        <f t="shared" si="98"/>
        <v>295.48627059086647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0.15714365134491054</v>
      </c>
      <c r="EC99" s="23">
        <f>EXP(-LN(2)/2)*EC98+(1-EXP(-LN(2)/2))/(LN(2)/2)*DW99*DZ99*VLOOKUP('Données projet'!$B$14,Paramètres!$A$1:$I$89,3,0)*0.475*44/12</f>
        <v>4.4685266918081209E-10</v>
      </c>
      <c r="ED99" s="24">
        <f t="shared" si="72"/>
        <v>0.15714365179176321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</v>
      </c>
      <c r="EJ99" s="13">
        <f>IF('Données projet'!$A$192&gt;35,EJ98+EI99-ER98,IF(A99&lt;'Données projet'!$A$192,$EG$205^A99,IF(A99='Données projet'!$A$192,'Données projet'!$B$192,EJ98+EI99-ER98)))</f>
        <v>158</v>
      </c>
      <c r="EK99" s="18">
        <f>EJ99*VLOOKUP('Données projet'!$B$15,Paramètres!$A$1:$I$89,3,0)*VLOOKUP('Données projet'!$B$15,Paramètres!$A$1:$I$89,5,0)</f>
        <v>179.93040000000002</v>
      </c>
      <c r="EL99" s="14">
        <f t="shared" si="99"/>
        <v>45.306701100349692</v>
      </c>
      <c r="EM99" s="22">
        <f t="shared" si="73"/>
        <v>392.28795108310914</v>
      </c>
      <c r="EN99" s="62">
        <f t="shared" si="74"/>
        <v>685.62128441644245</v>
      </c>
      <c r="EO99" s="62">
        <f ca="1">AVERAGE(OFFSET($EN$3,0,0,'Données projet'!$E$15+1,1))-AVERAGE(OFFSET($H$3,0,0,'Données projet'!$E$15+1,1))</f>
        <v>220.03635832253951</v>
      </c>
      <c r="EP99" s="62">
        <f t="shared" si="100"/>
        <v>136.30639155882233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5.5</v>
      </c>
      <c r="FE99" s="13">
        <f>IF('Données projet'!$A$218&gt;35,FE98+FD99-FM98,IF(A99&lt;'Données projet'!$A$218,$FB$205^A99,IF(A99='Données projet'!$A$218,'Données projet'!$B$218,FE98+FD99-FM98)))</f>
        <v>445.00000000000051</v>
      </c>
      <c r="FF99" s="18">
        <f>FE99*VLOOKUP('Données projet'!$B$16,Paramètres!$A$1:$I$89,3,0)*VLOOKUP('Données projet'!$B$16,Paramètres!$A$1:$I$89,5,0)</f>
        <v>465.1140000000006</v>
      </c>
      <c r="FG99" s="14">
        <f t="shared" si="101"/>
        <v>104.85944659222979</v>
      </c>
      <c r="FH99" s="22">
        <f t="shared" si="76"/>
        <v>992.70375281480131</v>
      </c>
      <c r="FI99" s="62">
        <f t="shared" si="77"/>
        <v>1286.0370861481347</v>
      </c>
      <c r="FJ99" s="62">
        <f ca="1">AVERAGE(OFFSET($FI$3,0,0,'Données projet'!$E$16+1,1))-AVERAGE(OFFSET($H$3,0,0,'Données projet'!$E$16+1,1))</f>
        <v>641.62708445664862</v>
      </c>
      <c r="FK99" s="62">
        <f t="shared" si="102"/>
        <v>379.46845863546929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2.5257276470309855E-9</v>
      </c>
      <c r="FT99" s="24">
        <f t="shared" si="78"/>
        <v>2.5257276470309855E-9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3</v>
      </c>
      <c r="FZ99" s="13">
        <f>IF('Données projet'!$A$244&gt;35,FZ98+FY99-GH98,IF(A99&lt;'Données projet'!$A$244,$FW$205^A99,IF(A99='Données projet'!$A$244,'Données projet'!$B$244,FZ98+FY99-GH98)))</f>
        <v>158</v>
      </c>
      <c r="GA99" s="18">
        <f>FZ99*VLOOKUP('Données projet'!$B$17,Paramètres!$A$1:$I$89,3,0)*VLOOKUP('Données projet'!$B$17,Paramètres!$A$1:$I$89,5,0)</f>
        <v>152.8176</v>
      </c>
      <c r="GB99" s="14">
        <f t="shared" si="103"/>
        <v>39.218200171484227</v>
      </c>
      <c r="GC99" s="22">
        <f t="shared" si="79"/>
        <v>334.46235196533502</v>
      </c>
      <c r="GD99" s="62">
        <f t="shared" si="80"/>
        <v>627.79568529866833</v>
      </c>
      <c r="GE99" s="62">
        <f ca="1">AVERAGE(OFFSET($GD$3,0,0,'Données projet'!$E$17+1,1))-AVERAGE(OFFSET($H$3,0,0,'Données projet'!$E$17+1,1))</f>
        <v>181.39066880931728</v>
      </c>
      <c r="GF99" s="62">
        <f t="shared" si="104"/>
        <v>116.06078566855524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-1.7053025658242404E-13</v>
      </c>
      <c r="GV99" s="18">
        <f>GU99*VLOOKUP('Données projet'!$B$18,Paramètres!$A$1:$I$89,3,0)*VLOOKUP('Données projet'!$B$18,Paramètres!$A$1:$I$89,5,0)</f>
        <v>-1.4897523215040567E-13</v>
      </c>
      <c r="GW99" s="14" t="e">
        <f t="shared" si="105"/>
        <v>#NUM!</v>
      </c>
      <c r="GX99" s="22" t="e">
        <f t="shared" si="82"/>
        <v>#NUM!</v>
      </c>
      <c r="GY99" s="62" t="e">
        <f t="shared" si="83"/>
        <v>#NUM!</v>
      </c>
      <c r="GZ99" s="62">
        <f ca="1">AVERAGE(OFFSET($GY$3,0,0,'Données projet'!$E$18+1,1))-AVERAGE(OFFSET($H$3,0,0,'Données projet'!$E$18+1,1))</f>
        <v>152.84277478695606</v>
      </c>
      <c r="HA99" s="62">
        <f t="shared" si="106"/>
        <v>179.22995976651015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9">
        <f t="shared" si="56"/>
        <v>375.68890643297289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292.33619999999996</v>
      </c>
      <c r="P100" s="14">
        <f t="shared" si="87"/>
        <v>69.56742490962327</v>
      </c>
      <c r="Q100" s="22">
        <f t="shared" si="107"/>
        <v>630.31548005092702</v>
      </c>
      <c r="R100" s="62">
        <f t="shared" si="55"/>
        <v>923.64881338426039</v>
      </c>
      <c r="S100" s="62">
        <f ca="1">AVERAGE(OFFSET($R$3,0,0,'Données projet'!$E$9+1,1))-AVERAGE(OFFSET($H$3,0,0,'Données projet'!$E$9+1,1))</f>
        <v>383.26814640166805</v>
      </c>
      <c r="T100" s="62">
        <f t="shared" si="88"/>
        <v>233.71216103405249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</v>
      </c>
      <c r="AI100" s="14">
        <f>IF('Données projet'!$A$62&gt;35,AI99+AH100-AQ99,IF(A100&lt;'Données projet'!$A$62,$AF$205^A100,IF(A100='Données projet'!$A$62,'Données projet'!$B$62,AI99+AH100-AQ99)))</f>
        <v>161</v>
      </c>
      <c r="AJ100" s="14">
        <f>AI100*VLOOKUP('Données projet'!$B$10,Paramètres!$A$1:$I$89,3,0)*VLOOKUP('Données projet'!$B$10,Paramètres!$A$1:$I$89,5,0)</f>
        <v>173.3004</v>
      </c>
      <c r="AK100" s="14">
        <f t="shared" si="89"/>
        <v>43.82837416766705</v>
      </c>
      <c r="AL100" s="22">
        <f t="shared" si="58"/>
        <v>378.1659483420201</v>
      </c>
      <c r="AM100" s="62">
        <f t="shared" si="59"/>
        <v>671.49928167535336</v>
      </c>
      <c r="AN100" s="62">
        <f ca="1">AVERAGE(OFFSET($AM$3,0,0,'Données projet'!$E$10+1,1))-AVERAGE(OFFSET($H$3,0,0,'Données projet'!$E$10+1,1))</f>
        <v>205.99910063756408</v>
      </c>
      <c r="AO100" s="62">
        <f t="shared" si="90"/>
        <v>128.95330275493671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293.3333333333353</v>
      </c>
      <c r="BI100" s="62">
        <f ca="1">AVERAGE(OFFSET($BH$3,0,0,'Données projet'!$E$11+1,1))-AVERAGE(OFFSET($H$3,0,0,'Données projet'!$E$11+1,1))</f>
        <v>222.20580087523689</v>
      </c>
      <c r="BJ100" s="62">
        <f t="shared" si="92"/>
        <v>232.08940427392253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2.65523573355506</v>
      </c>
      <c r="BQ100" s="23">
        <f>EXP(-LN(2)/25)*BQ99+(1-EXP(-LN(2)/25))/(LN(2)/25)*Calculateur!BL100*Calculateur!BN100*VLOOKUP('Données projet'!$B$11,Paramètres!$A$1:$I$89,3,0)*0.475*44/12</f>
        <v>2.5647009555631435</v>
      </c>
      <c r="BR100" s="23">
        <f>EXP(-LN(2)/2)*BR99+(1-EXP(-LN(2)/2))/(LN(2)/2)*BL100*BO100*VLOOKUP('Données projet'!$B$11,Paramètres!$A$1:$I$89,3,0)*0.475*44/12</f>
        <v>5.2189330772038412E-10</v>
      </c>
      <c r="BS100" s="24">
        <f t="shared" si="63"/>
        <v>5.2199366896400967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8.1391025641025667</v>
      </c>
      <c r="BY100" s="13">
        <f>IF('Données projet'!$A$114&gt;35,BY99+BX100-CG99,IF(A100&lt;'Données projet'!$A$114,$BV$205^A100,IF(A100='Données projet'!$A$114,'Données projet'!$B$114,BY99+BX100-CG99)))</f>
        <v>381.59102564102602</v>
      </c>
      <c r="BZ100" s="14">
        <f>BY100*VLOOKUP('Données projet'!$B$12,Paramètres!$A$1:$I$89,3,0)*VLOOKUP('Données projet'!$B$12,Paramètres!$A$1:$I$89,5,0)</f>
        <v>178.58460000000019</v>
      </c>
      <c r="CA100" s="14">
        <f t="shared" si="93"/>
        <v>45.007141207375291</v>
      </c>
      <c r="CB100" s="22">
        <f t="shared" si="64"/>
        <v>389.4222826028456</v>
      </c>
      <c r="CC100" s="62">
        <f t="shared" si="65"/>
        <v>682.75561593617886</v>
      </c>
      <c r="CD100" s="62">
        <f ca="1">AVERAGE(OFFSET($CC$3,0,0,'Données projet'!$E$12+1,1))-AVERAGE(OFFSET($H$3,0,0,'Données projet'!$E$12+1,1))</f>
        <v>179.14256291235466</v>
      </c>
      <c r="CE100" s="62">
        <f t="shared" si="94"/>
        <v>107.5256983607585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-2.8421709430404007E-13</v>
      </c>
      <c r="CU100" s="18">
        <f>CT100*VLOOKUP('Données projet'!$B$13,Paramètres!$A$1:$I$89,3,0)*VLOOKUP('Données projet'!$B$13,Paramètres!$A$1:$I$89,5,0)</f>
        <v>-1.69961822393816E-13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237.03649693529445</v>
      </c>
      <c r="CZ100" s="62">
        <f t="shared" si="96"/>
        <v>191.04289411674887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4.3322921557692733E-10</v>
      </c>
      <c r="DI100" s="24">
        <f t="shared" si="69"/>
        <v>4.3322921557692733E-10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3.5</v>
      </c>
      <c r="DO100" s="13">
        <f>IF('Données projet'!$A$166&gt;35,DO99+DN100-DW99,IF(A100&lt;'Données projet'!$A$166,$DL$205^A100,IF(A100='Données projet'!$A$166,'Données projet'!$B$166,DO99+DN100-DW99)))</f>
        <v>257.88000000000011</v>
      </c>
      <c r="DP100" s="18">
        <f>DO100*VLOOKUP('Données projet'!$B$14,Paramètres!$A$1:$I$89,3,0)*VLOOKUP('Données projet'!$B$14,Paramètres!$A$1:$I$89,5,0)</f>
        <v>297.07776000000013</v>
      </c>
      <c r="DQ100" s="14">
        <f t="shared" si="97"/>
        <v>70.563501162111791</v>
      </c>
      <c r="DR100" s="22">
        <f t="shared" si="70"/>
        <v>640.30852985734498</v>
      </c>
      <c r="DS100" s="62">
        <f t="shared" si="71"/>
        <v>933.64186319067835</v>
      </c>
      <c r="DT100" s="62">
        <f ca="1">AVERAGE(OFFSET($DS$3,0,0,'Données projet'!$E$14+1,1))-AVERAGE(OFFSET($H$3,0,0,'Données projet'!$E$14+1,1))</f>
        <v>431.38469096974364</v>
      </c>
      <c r="DU100" s="62">
        <f t="shared" si="98"/>
        <v>295.48627059086647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0.1528465499350585</v>
      </c>
      <c r="EC100" s="23">
        <f>EXP(-LN(2)/2)*EC99+(1-EXP(-LN(2)/2))/(LN(2)/2)*DW100*DZ100*VLOOKUP('Données projet'!$B$14,Paramètres!$A$1:$I$89,3,0)*0.475*44/12</f>
        <v>3.159725525690612E-10</v>
      </c>
      <c r="ED100" s="24">
        <f t="shared" si="72"/>
        <v>0.15284655025103105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</v>
      </c>
      <c r="EJ100" s="13">
        <f>IF('Données projet'!$A$192&gt;35,EJ99+EI100-ER99,IF(A100&lt;'Données projet'!$A$192,$EG$205^A100,IF(A100='Données projet'!$A$192,'Données projet'!$B$192,EJ99+EI100-ER99)))</f>
        <v>161</v>
      </c>
      <c r="EK100" s="18">
        <f>EJ100*VLOOKUP('Données projet'!$B$15,Paramètres!$A$1:$I$89,3,0)*VLOOKUP('Données projet'!$B$15,Paramètres!$A$1:$I$89,5,0)</f>
        <v>183.3468</v>
      </c>
      <c r="EL100" s="14">
        <f t="shared" si="99"/>
        <v>46.06598726946973</v>
      </c>
      <c r="EM100" s="22">
        <f t="shared" si="73"/>
        <v>399.56060449432636</v>
      </c>
      <c r="EN100" s="62">
        <f t="shared" si="74"/>
        <v>692.89393782765967</v>
      </c>
      <c r="EO100" s="62">
        <f ca="1">AVERAGE(OFFSET($EN$3,0,0,'Données projet'!$E$15+1,1))-AVERAGE(OFFSET($H$3,0,0,'Données projet'!$E$15+1,1))</f>
        <v>220.03635832253951</v>
      </c>
      <c r="EP100" s="62">
        <f t="shared" si="100"/>
        <v>136.30639155882233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5.5</v>
      </c>
      <c r="FE100" s="13">
        <f>IF('Données projet'!$A$218&gt;35,FE99+FD100-FM99,IF(A100&lt;'Données projet'!$A$218,$FB$205^A100,IF(A100='Données projet'!$A$218,'Données projet'!$B$218,FE99+FD100-FM99)))</f>
        <v>450.50000000000051</v>
      </c>
      <c r="FF100" s="18">
        <f>FE100*VLOOKUP('Données projet'!$B$16,Paramètres!$A$1:$I$89,3,0)*VLOOKUP('Données projet'!$B$16,Paramètres!$A$1:$I$89,5,0)</f>
        <v>470.86260000000061</v>
      </c>
      <c r="FG100" s="14">
        <f t="shared" si="101"/>
        <v>106.00378602607606</v>
      </c>
      <c r="FH100" s="22">
        <f t="shared" si="76"/>
        <v>1004.7089556620837</v>
      </c>
      <c r="FI100" s="62">
        <f t="shared" si="77"/>
        <v>1298.042288995417</v>
      </c>
      <c r="FJ100" s="62">
        <f ca="1">AVERAGE(OFFSET($FI$3,0,0,'Données projet'!$E$16+1,1))-AVERAGE(OFFSET($H$3,0,0,'Données projet'!$E$16+1,1))</f>
        <v>641.62708445664862</v>
      </c>
      <c r="FK100" s="62">
        <f t="shared" si="102"/>
        <v>379.46845863546929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1.7859591466459526E-9</v>
      </c>
      <c r="FT100" s="24">
        <f t="shared" si="78"/>
        <v>1.7859591466459526E-9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3</v>
      </c>
      <c r="FZ100" s="13">
        <f>IF('Données projet'!$A$244&gt;35,FZ99+FY100-GH99,IF(A100&lt;'Données projet'!$A$244,$FW$205^A100,IF(A100='Données projet'!$A$244,'Données projet'!$B$244,FZ99+FY100-GH99)))</f>
        <v>161</v>
      </c>
      <c r="GA100" s="18">
        <f>FZ100*VLOOKUP('Données projet'!$B$17,Paramètres!$A$1:$I$89,3,0)*VLOOKUP('Données projet'!$B$17,Paramètres!$A$1:$I$89,5,0)</f>
        <v>155.7192</v>
      </c>
      <c r="GB100" s="14">
        <f t="shared" si="103"/>
        <v>39.875450340770094</v>
      </c>
      <c r="GC100" s="22">
        <f t="shared" si="79"/>
        <v>340.66068267684119</v>
      </c>
      <c r="GD100" s="62">
        <f t="shared" si="80"/>
        <v>633.99401601017451</v>
      </c>
      <c r="GE100" s="62">
        <f ca="1">AVERAGE(OFFSET($GD$3,0,0,'Données projet'!$E$17+1,1))-AVERAGE(OFFSET($H$3,0,0,'Données projet'!$E$17+1,1))</f>
        <v>181.39066880931728</v>
      </c>
      <c r="GF100" s="62">
        <f t="shared" si="104"/>
        <v>116.06078566855524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-1.7053025658242404E-13</v>
      </c>
      <c r="GV100" s="18">
        <f>GU100*VLOOKUP('Données projet'!$B$18,Paramètres!$A$1:$I$89,3,0)*VLOOKUP('Données projet'!$B$18,Paramètres!$A$1:$I$89,5,0)</f>
        <v>-1.4897523215040567E-13</v>
      </c>
      <c r="GW100" s="14" t="e">
        <f t="shared" si="105"/>
        <v>#NUM!</v>
      </c>
      <c r="GX100" s="22" t="e">
        <f t="shared" si="82"/>
        <v>#NUM!</v>
      </c>
      <c r="GY100" s="62" t="e">
        <f t="shared" si="83"/>
        <v>#NUM!</v>
      </c>
      <c r="GZ100" s="62">
        <f ca="1">AVERAGE(OFFSET($GY$3,0,0,'Données projet'!$E$18+1,1))-AVERAGE(OFFSET($H$3,0,0,'Données projet'!$E$18+1,1))</f>
        <v>152.84277478695606</v>
      </c>
      <c r="HA100" s="62">
        <f t="shared" si="106"/>
        <v>179.22995976651015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9">
        <f t="shared" si="56"/>
        <v>376.88365791501889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297.30479999999989</v>
      </c>
      <c r="P101" s="14">
        <f t="shared" si="87"/>
        <v>70.611149609504906</v>
      </c>
      <c r="Q101" s="22">
        <f t="shared" si="107"/>
        <v>640.78694556988739</v>
      </c>
      <c r="R101" s="62">
        <f t="shared" si="55"/>
        <v>934.12027890322065</v>
      </c>
      <c r="S101" s="62">
        <f ca="1">AVERAGE(OFFSET($R$3,0,0,'Données projet'!$E$9+1,1))-AVERAGE(OFFSET($H$3,0,0,'Données projet'!$E$9+1,1))</f>
        <v>383.26814640166805</v>
      </c>
      <c r="T101" s="62">
        <f t="shared" si="88"/>
        <v>233.71216103405249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</v>
      </c>
      <c r="AI101" s="14">
        <f>IF('Données projet'!$A$62&gt;35,AI100+AH101-AQ100,IF(A101&lt;'Données projet'!$A$62,$AF$205^A101,IF(A101='Données projet'!$A$62,'Données projet'!$B$62,AI100+AH101-AQ100)))</f>
        <v>164</v>
      </c>
      <c r="AJ101" s="14">
        <f>AI101*VLOOKUP('Données projet'!$B$10,Paramètres!$A$1:$I$89,3,0)*VLOOKUP('Données projet'!$B$10,Paramètres!$A$1:$I$89,5,0)</f>
        <v>176.52959999999999</v>
      </c>
      <c r="AK101" s="14">
        <f t="shared" si="89"/>
        <v>44.549213454343487</v>
      </c>
      <c r="AL101" s="22">
        <f t="shared" si="58"/>
        <v>385.04560009964825</v>
      </c>
      <c r="AM101" s="62">
        <f t="shared" si="59"/>
        <v>678.37893343298151</v>
      </c>
      <c r="AN101" s="62">
        <f ca="1">AVERAGE(OFFSET($AM$3,0,0,'Données projet'!$E$10+1,1))-AVERAGE(OFFSET($H$3,0,0,'Données projet'!$E$10+1,1))</f>
        <v>205.99910063756408</v>
      </c>
      <c r="AO101" s="62">
        <f t="shared" si="90"/>
        <v>128.95330275493671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293.3333333333353</v>
      </c>
      <c r="BI101" s="62">
        <f ca="1">AVERAGE(OFFSET($BH$3,0,0,'Données projet'!$E$11+1,1))-AVERAGE(OFFSET($H$3,0,0,'Données projet'!$E$11+1,1))</f>
        <v>222.20580087523689</v>
      </c>
      <c r="BJ101" s="62">
        <f t="shared" si="92"/>
        <v>232.08940427392253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2.6031681803539271</v>
      </c>
      <c r="BQ101" s="23">
        <f>EXP(-LN(2)/25)*BQ100+(1-EXP(-LN(2)/25))/(LN(2)/25)*Calculateur!BL101*Calculateur!BN101*VLOOKUP('Données projet'!$B$11,Paramètres!$A$1:$I$89,3,0)*0.475*44/12</f>
        <v>2.4945690730615078</v>
      </c>
      <c r="BR101" s="23">
        <f>EXP(-LN(2)/2)*BR100+(1-EXP(-LN(2)/2))/(LN(2)/2)*BL101*BO101*VLOOKUP('Données projet'!$B$11,Paramètres!$A$1:$I$89,3,0)*0.475*44/12</f>
        <v>3.6903429694496117E-10</v>
      </c>
      <c r="BS101" s="24">
        <f t="shared" si="63"/>
        <v>5.0977372537844694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8.1391025641025667</v>
      </c>
      <c r="BY101" s="13">
        <f>IF('Données projet'!$A$114&gt;35,BY100+BX101-CG100,IF(A101&lt;'Données projet'!$A$114,$BV$205^A101,IF(A101='Données projet'!$A$114,'Données projet'!$B$114,BY100+BX101-CG100)))</f>
        <v>389.73012820512861</v>
      </c>
      <c r="BZ101" s="14">
        <f>BY101*VLOOKUP('Données projet'!$B$12,Paramètres!$A$1:$I$89,3,0)*VLOOKUP('Données projet'!$B$12,Paramètres!$A$1:$I$89,5,0)</f>
        <v>182.39370000000019</v>
      </c>
      <c r="CA101" s="14">
        <f t="shared" si="93"/>
        <v>45.854330163580819</v>
      </c>
      <c r="CB101" s="22">
        <f t="shared" si="64"/>
        <v>397.53198586823692</v>
      </c>
      <c r="CC101" s="62">
        <f t="shared" si="65"/>
        <v>690.86531920157017</v>
      </c>
      <c r="CD101" s="62">
        <f ca="1">AVERAGE(OFFSET($CC$3,0,0,'Données projet'!$E$12+1,1))-AVERAGE(OFFSET($H$3,0,0,'Données projet'!$E$12+1,1))</f>
        <v>179.14256291235466</v>
      </c>
      <c r="CE101" s="62">
        <f t="shared" si="94"/>
        <v>107.5256983607585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-2.8421709430404007E-13</v>
      </c>
      <c r="CU101" s="18">
        <f>CT101*VLOOKUP('Données projet'!$B$13,Paramètres!$A$1:$I$89,3,0)*VLOOKUP('Données projet'!$B$13,Paramètres!$A$1:$I$89,5,0)</f>
        <v>-1.69961822393816E-13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237.03649693529445</v>
      </c>
      <c r="CZ101" s="62">
        <f t="shared" si="96"/>
        <v>191.04289411674887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3.0633931614257398E-10</v>
      </c>
      <c r="DI101" s="24">
        <f t="shared" si="69"/>
        <v>3.0633931614257398E-10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3.5</v>
      </c>
      <c r="DO101" s="13">
        <f>IF('Données projet'!$A$166&gt;35,DO100+DN101-DW100,IF(A101&lt;'Données projet'!$A$166,$DL$205^A101,IF(A101='Données projet'!$A$166,'Données projet'!$B$166,DO100+DN101-DW100)))</f>
        <v>261.38000000000011</v>
      </c>
      <c r="DP101" s="18">
        <f>DO101*VLOOKUP('Données projet'!$B$14,Paramètres!$A$1:$I$89,3,0)*VLOOKUP('Données projet'!$B$14,Paramètres!$A$1:$I$89,5,0)</f>
        <v>301.10976000000011</v>
      </c>
      <c r="DQ101" s="14">
        <f t="shared" si="97"/>
        <v>71.409061779198311</v>
      </c>
      <c r="DR101" s="22">
        <f t="shared" si="70"/>
        <v>648.80361459877054</v>
      </c>
      <c r="DS101" s="62">
        <f t="shared" si="71"/>
        <v>942.13694793210379</v>
      </c>
      <c r="DT101" s="62">
        <f ca="1">AVERAGE(OFFSET($DS$3,0,0,'Données projet'!$E$14+1,1))-AVERAGE(OFFSET($H$3,0,0,'Données projet'!$E$14+1,1))</f>
        <v>431.38469096974364</v>
      </c>
      <c r="DU101" s="62">
        <f t="shared" si="98"/>
        <v>295.48627059086647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0.1486669529892336</v>
      </c>
      <c r="EC101" s="23">
        <f>EXP(-LN(2)/2)*EC100+(1-EXP(-LN(2)/2))/(LN(2)/2)*DW101*DZ101*VLOOKUP('Données projet'!$B$14,Paramètres!$A$1:$I$89,3,0)*0.475*44/12</f>
        <v>2.2342633459040604E-10</v>
      </c>
      <c r="ED101" s="24">
        <f t="shared" si="72"/>
        <v>0.14866695321265994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</v>
      </c>
      <c r="EJ101" s="13">
        <f>IF('Données projet'!$A$192&gt;35,EJ100+EI101-ER100,IF(A101&lt;'Données projet'!$A$192,$EG$205^A101,IF(A101='Données projet'!$A$192,'Données projet'!$B$192,EJ100+EI101-ER100)))</f>
        <v>164</v>
      </c>
      <c r="EK101" s="18">
        <f>EJ101*VLOOKUP('Données projet'!$B$15,Paramètres!$A$1:$I$89,3,0)*VLOOKUP('Données projet'!$B$15,Paramètres!$A$1:$I$89,5,0)</f>
        <v>186.76320000000001</v>
      </c>
      <c r="EL101" s="14">
        <f t="shared" si="99"/>
        <v>46.823628273362345</v>
      </c>
      <c r="EM101" s="22">
        <f t="shared" si="73"/>
        <v>406.83039257610608</v>
      </c>
      <c r="EN101" s="62">
        <f t="shared" si="74"/>
        <v>700.16372590943934</v>
      </c>
      <c r="EO101" s="62">
        <f ca="1">AVERAGE(OFFSET($EN$3,0,0,'Données projet'!$E$15+1,1))-AVERAGE(OFFSET($H$3,0,0,'Données projet'!$E$15+1,1))</f>
        <v>220.03635832253951</v>
      </c>
      <c r="EP101" s="62">
        <f t="shared" si="100"/>
        <v>136.30639155882233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5.5</v>
      </c>
      <c r="FE101" s="13">
        <f>IF('Données projet'!$A$218&gt;35,FE100+FD101-FM100,IF(A101&lt;'Données projet'!$A$218,$FB$205^A101,IF(A101='Données projet'!$A$218,'Données projet'!$B$218,FE100+FD101-FM100)))</f>
        <v>456.00000000000051</v>
      </c>
      <c r="FF101" s="18">
        <f>FE101*VLOOKUP('Données projet'!$B$16,Paramètres!$A$1:$I$89,3,0)*VLOOKUP('Données projet'!$B$16,Paramètres!$A$1:$I$89,5,0)</f>
        <v>476.61120000000062</v>
      </c>
      <c r="FG101" s="14">
        <f t="shared" si="101"/>
        <v>107.14650036550354</v>
      </c>
      <c r="FH101" s="22">
        <f t="shared" si="76"/>
        <v>1016.7113281365864</v>
      </c>
      <c r="FI101" s="62">
        <f t="shared" si="77"/>
        <v>1310.0446614699197</v>
      </c>
      <c r="FJ101" s="62">
        <f ca="1">AVERAGE(OFFSET($FI$3,0,0,'Données projet'!$E$16+1,1))-AVERAGE(OFFSET($H$3,0,0,'Données projet'!$E$16+1,1))</f>
        <v>641.62708445664862</v>
      </c>
      <c r="FK101" s="62">
        <f t="shared" si="102"/>
        <v>379.46845863546929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1.2628638235154928E-9</v>
      </c>
      <c r="FT101" s="24">
        <f t="shared" si="78"/>
        <v>1.2628638235154928E-9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3</v>
      </c>
      <c r="FZ101" s="13">
        <f>IF('Données projet'!$A$244&gt;35,FZ100+FY101-GH100,IF(A101&lt;'Données projet'!$A$244,$FW$205^A101,IF(A101='Données projet'!$A$244,'Données projet'!$B$244,FZ100+FY101-GH100)))</f>
        <v>164</v>
      </c>
      <c r="GA101" s="18">
        <f>FZ101*VLOOKUP('Données projet'!$B$17,Paramètres!$A$1:$I$89,3,0)*VLOOKUP('Données projet'!$B$17,Paramètres!$A$1:$I$89,5,0)</f>
        <v>158.6208</v>
      </c>
      <c r="GB101" s="14">
        <f t="shared" si="103"/>
        <v>40.531276428901542</v>
      </c>
      <c r="GC101" s="22">
        <f t="shared" si="79"/>
        <v>346.8565331136702</v>
      </c>
      <c r="GD101" s="62">
        <f t="shared" si="80"/>
        <v>640.18986644700351</v>
      </c>
      <c r="GE101" s="62">
        <f ca="1">AVERAGE(OFFSET($GD$3,0,0,'Données projet'!$E$17+1,1))-AVERAGE(OFFSET($H$3,0,0,'Données projet'!$E$17+1,1))</f>
        <v>181.39066880931728</v>
      </c>
      <c r="GF101" s="62">
        <f t="shared" si="104"/>
        <v>116.06078566855524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-1.7053025658242404E-13</v>
      </c>
      <c r="GV101" s="18">
        <f>GU101*VLOOKUP('Données projet'!$B$18,Paramètres!$A$1:$I$89,3,0)*VLOOKUP('Données projet'!$B$18,Paramètres!$A$1:$I$89,5,0)</f>
        <v>-1.4897523215040567E-13</v>
      </c>
      <c r="GW101" s="14" t="e">
        <f t="shared" si="105"/>
        <v>#NUM!</v>
      </c>
      <c r="GX101" s="22" t="e">
        <f t="shared" si="82"/>
        <v>#NUM!</v>
      </c>
      <c r="GY101" s="62" t="e">
        <f t="shared" si="83"/>
        <v>#NUM!</v>
      </c>
      <c r="GZ101" s="62">
        <f ca="1">AVERAGE(OFFSET($GY$3,0,0,'Données projet'!$E$18+1,1))-AVERAGE(OFFSET($H$3,0,0,'Données projet'!$E$18+1,1))</f>
        <v>152.84277478695606</v>
      </c>
      <c r="HA101" s="62">
        <f t="shared" si="106"/>
        <v>179.22995976651015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9">
        <f t="shared" si="56"/>
        <v>378.07811998720388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302.27339999999987</v>
      </c>
      <c r="P102" s="14">
        <f t="shared" si="87"/>
        <v>71.652845832409739</v>
      </c>
      <c r="Q102" s="22">
        <f t="shared" si="107"/>
        <v>651.25487815811346</v>
      </c>
      <c r="R102" s="62">
        <f t="shared" si="55"/>
        <v>944.58821149144683</v>
      </c>
      <c r="S102" s="62">
        <f ca="1">AVERAGE(OFFSET($R$3,0,0,'Données projet'!$E$9+1,1))-AVERAGE(OFFSET($H$3,0,0,'Données projet'!$E$9+1,1))</f>
        <v>383.26814640166805</v>
      </c>
      <c r="T102" s="62">
        <f t="shared" si="88"/>
        <v>233.71216103405249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</v>
      </c>
      <c r="AI102" s="14">
        <f>IF('Données projet'!$A$62&gt;35,AI101+AH102-AQ101,IF(A102&lt;'Données projet'!$A$62,$AF$205^A102,IF(A102='Données projet'!$A$62,'Données projet'!$B$62,AI101+AH102-AQ101)))</f>
        <v>167</v>
      </c>
      <c r="AJ102" s="14">
        <f>AI102*VLOOKUP('Données projet'!$B$10,Paramètres!$A$1:$I$89,3,0)*VLOOKUP('Données projet'!$B$10,Paramètres!$A$1:$I$89,5,0)</f>
        <v>179.75879999999998</v>
      </c>
      <c r="AK102" s="14">
        <f t="shared" si="89"/>
        <v>45.268519423286527</v>
      </c>
      <c r="AL102" s="22">
        <f t="shared" si="58"/>
        <v>391.92258132889066</v>
      </c>
      <c r="AM102" s="62">
        <f t="shared" si="59"/>
        <v>685.25591466222397</v>
      </c>
      <c r="AN102" s="62">
        <f ca="1">AVERAGE(OFFSET($AM$3,0,0,'Données projet'!$E$10+1,1))-AVERAGE(OFFSET($H$3,0,0,'Données projet'!$E$10+1,1))</f>
        <v>205.99910063756408</v>
      </c>
      <c r="AO102" s="62">
        <f t="shared" si="90"/>
        <v>128.95330275493671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293.3333333333353</v>
      </c>
      <c r="BI102" s="62">
        <f ca="1">AVERAGE(OFFSET($BH$3,0,0,'Données projet'!$E$11+1,1))-AVERAGE(OFFSET($H$3,0,0,'Données projet'!$E$11+1,1))</f>
        <v>222.20580087523689</v>
      </c>
      <c r="BJ102" s="62">
        <f t="shared" si="92"/>
        <v>232.08940427392253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2.5521216401129969</v>
      </c>
      <c r="BQ102" s="23">
        <f>EXP(-LN(2)/25)*BQ101+(1-EXP(-LN(2)/25))/(LN(2)/25)*Calculateur!BL102*Calculateur!BN102*VLOOKUP('Données projet'!$B$11,Paramètres!$A$1:$I$89,3,0)*0.475*44/12</f>
        <v>2.4263549505749546</v>
      </c>
      <c r="BR102" s="23">
        <f>EXP(-LN(2)/2)*BR101+(1-EXP(-LN(2)/2))/(LN(2)/2)*BL102*BO102*VLOOKUP('Données projet'!$B$11,Paramètres!$A$1:$I$89,3,0)*0.475*44/12</f>
        <v>2.6094665386019206E-10</v>
      </c>
      <c r="BS102" s="24">
        <f t="shared" si="63"/>
        <v>4.9784765909488984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>
        <f>VLOOKUP(A102,'Données projet'!$A$113:$I$133,2,0)</f>
        <v>397.8692307692308</v>
      </c>
      <c r="BW102" s="13">
        <f>VLOOKUP(A102,'Données projet'!$A$113:$I$133,9,0)</f>
        <v>8.1391025641025667</v>
      </c>
      <c r="BX102" s="13">
        <f t="array" ref="BX102">INDEX(BW:BW,MIN(IF(ISNUMBER(BW102:BW298),ROW(BW102:BW298),"")))</f>
        <v>8.1391025641025667</v>
      </c>
      <c r="BY102" s="13">
        <f>IF('Données projet'!$A$114&gt;35,BY101+BX102-CG101,IF(A102&lt;'Données projet'!$A$114,$BV$205^A102,IF(A102='Données projet'!$A$114,'Données projet'!$B$114,BY101+BX102-CG101)))</f>
        <v>397.86923076923119</v>
      </c>
      <c r="BZ102" s="14">
        <f>BY102*VLOOKUP('Données projet'!$B$12,Paramètres!$A$1:$I$89,3,0)*VLOOKUP('Données projet'!$B$12,Paramètres!$A$1:$I$89,5,0)</f>
        <v>186.2028000000002</v>
      </c>
      <c r="CA102" s="14">
        <f t="shared" si="93"/>
        <v>46.699462038644228</v>
      </c>
      <c r="CB102" s="22">
        <f t="shared" si="64"/>
        <v>405.6381063839724</v>
      </c>
      <c r="CC102" s="62">
        <f t="shared" si="65"/>
        <v>698.97143971730566</v>
      </c>
      <c r="CD102" s="62">
        <f ca="1">AVERAGE(OFFSET($CC$3,0,0,'Données projet'!$E$12+1,1))-AVERAGE(OFFSET($H$3,0,0,'Données projet'!$E$12+1,1))</f>
        <v>179.14256291235466</v>
      </c>
      <c r="CE102" s="62">
        <f t="shared" si="94"/>
        <v>107.5256983607585</v>
      </c>
      <c r="CF102" s="16">
        <f>IF(ISNA(VLOOKUP(A102,'Données projet'!$A$113:$I$133,3,0)),0,VLOOKUP(A102,'Données projet'!$A$113:$I$133,3,0))</f>
        <v>5</v>
      </c>
      <c r="CG102" s="16">
        <f>IF(ISNA(VLOOKUP(A102,'Données projet'!$A$113:$I$133,4,0)),0,VLOOKUP(A102,'Données projet'!$A$113:$I$133,4,0))</f>
        <v>198.32307692307691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-2.8421709430404007E-13</v>
      </c>
      <c r="CU102" s="18">
        <f>CT102*VLOOKUP('Données projet'!$B$13,Paramètres!$A$1:$I$89,3,0)*VLOOKUP('Données projet'!$B$13,Paramètres!$A$1:$I$89,5,0)</f>
        <v>-1.69961822393816E-13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237.03649693529445</v>
      </c>
      <c r="CZ102" s="62">
        <f t="shared" si="96"/>
        <v>191.04289411674887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2.1661460778846367E-10</v>
      </c>
      <c r="DI102" s="24">
        <f t="shared" si="69"/>
        <v>2.1661460778846367E-10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3.5</v>
      </c>
      <c r="DO102" s="13">
        <f>IF('Données projet'!$A$166&gt;35,DO101+DN102-DW101,IF(A102&lt;'Données projet'!$A$166,$DL$205^A102,IF(A102='Données projet'!$A$166,'Données projet'!$B$166,DO101+DN102-DW101)))</f>
        <v>264.88000000000011</v>
      </c>
      <c r="DP102" s="18">
        <f>DO102*VLOOKUP('Données projet'!$B$14,Paramètres!$A$1:$I$89,3,0)*VLOOKUP('Données projet'!$B$14,Paramètres!$A$1:$I$89,5,0)</f>
        <v>305.14176000000009</v>
      </c>
      <c r="DQ102" s="14">
        <f t="shared" si="97"/>
        <v>72.253305447974668</v>
      </c>
      <c r="DR102" s="22">
        <f t="shared" si="70"/>
        <v>657.29640565522266</v>
      </c>
      <c r="DS102" s="62">
        <f t="shared" si="71"/>
        <v>950.62973898855603</v>
      </c>
      <c r="DT102" s="62">
        <f ca="1">AVERAGE(OFFSET($DS$3,0,0,'Données projet'!$E$14+1,1))-AVERAGE(OFFSET($H$3,0,0,'Données projet'!$E$14+1,1))</f>
        <v>431.38469096974364</v>
      </c>
      <c r="DU102" s="62">
        <f t="shared" si="98"/>
        <v>295.48627059086647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0.14460164734168773</v>
      </c>
      <c r="EC102" s="23">
        <f>EXP(-LN(2)/2)*EC101+(1-EXP(-LN(2)/2))/(LN(2)/2)*DW102*DZ102*VLOOKUP('Données projet'!$B$14,Paramètres!$A$1:$I$89,3,0)*0.475*44/12</f>
        <v>1.579862762845306E-10</v>
      </c>
      <c r="ED102" s="24">
        <f t="shared" si="72"/>
        <v>0.144601647499674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</v>
      </c>
      <c r="EJ102" s="13">
        <f>IF('Données projet'!$A$192&gt;35,EJ101+EI102-ER101,IF(A102&lt;'Données projet'!$A$192,$EG$205^A102,IF(A102='Données projet'!$A$192,'Données projet'!$B$192,EJ101+EI102-ER101)))</f>
        <v>167</v>
      </c>
      <c r="EK102" s="18">
        <f>EJ102*VLOOKUP('Données projet'!$B$15,Paramètres!$A$1:$I$89,3,0)*VLOOKUP('Données projet'!$B$15,Paramètres!$A$1:$I$89,5,0)</f>
        <v>190.17959999999999</v>
      </c>
      <c r="EL102" s="14">
        <f t="shared" si="99"/>
        <v>47.579657677542855</v>
      </c>
      <c r="EM102" s="22">
        <f t="shared" si="73"/>
        <v>414.09737378838713</v>
      </c>
      <c r="EN102" s="62">
        <f t="shared" si="74"/>
        <v>707.43070712172039</v>
      </c>
      <c r="EO102" s="62">
        <f ca="1">AVERAGE(OFFSET($EN$3,0,0,'Données projet'!$E$15+1,1))-AVERAGE(OFFSET($H$3,0,0,'Données projet'!$E$15+1,1))</f>
        <v>220.03635832253951</v>
      </c>
      <c r="EP102" s="62">
        <f t="shared" si="100"/>
        <v>136.30639155882233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5.5</v>
      </c>
      <c r="FE102" s="13">
        <f>IF('Données projet'!$A$218&gt;35,FE101+FD102-FM101,IF(A102&lt;'Données projet'!$A$218,$FB$205^A102,IF(A102='Données projet'!$A$218,'Données projet'!$B$218,FE101+FD102-FM101)))</f>
        <v>461.50000000000051</v>
      </c>
      <c r="FF102" s="18">
        <f>FE102*VLOOKUP('Données projet'!$B$16,Paramètres!$A$1:$I$89,3,0)*VLOOKUP('Données projet'!$B$16,Paramètres!$A$1:$I$89,5,0)</f>
        <v>482.35980000000063</v>
      </c>
      <c r="FG102" s="14">
        <f t="shared" si="101"/>
        <v>108.28761147869126</v>
      </c>
      <c r="FH102" s="22">
        <f t="shared" si="76"/>
        <v>1028.7109083253883</v>
      </c>
      <c r="FI102" s="62">
        <f t="shared" si="77"/>
        <v>1322.0442416587216</v>
      </c>
      <c r="FJ102" s="62">
        <f ca="1">AVERAGE(OFFSET($FI$3,0,0,'Données projet'!$E$16+1,1))-AVERAGE(OFFSET($H$3,0,0,'Données projet'!$E$16+1,1))</f>
        <v>641.62708445664862</v>
      </c>
      <c r="FK102" s="62">
        <f t="shared" si="102"/>
        <v>379.46845863546929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8.9297957332297632E-10</v>
      </c>
      <c r="FT102" s="24">
        <f t="shared" si="78"/>
        <v>8.9297957332297632E-10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3</v>
      </c>
      <c r="FZ102" s="13">
        <f>IF('Données projet'!$A$244&gt;35,FZ101+FY102-GH101,IF(A102&lt;'Données projet'!$A$244,$FW$205^A102,IF(A102='Données projet'!$A$244,'Données projet'!$B$244,FZ101+FY102-GH101)))</f>
        <v>167</v>
      </c>
      <c r="GA102" s="18">
        <f>FZ102*VLOOKUP('Données projet'!$B$17,Paramètres!$A$1:$I$89,3,0)*VLOOKUP('Données projet'!$B$17,Paramètres!$A$1:$I$89,5,0)</f>
        <v>161.5224</v>
      </c>
      <c r="GB102" s="14">
        <f t="shared" si="103"/>
        <v>41.185707490721896</v>
      </c>
      <c r="GC102" s="22">
        <f t="shared" si="79"/>
        <v>353.04995387967392</v>
      </c>
      <c r="GD102" s="62">
        <f t="shared" si="80"/>
        <v>646.38328721300718</v>
      </c>
      <c r="GE102" s="62">
        <f ca="1">AVERAGE(OFFSET($GD$3,0,0,'Données projet'!$E$17+1,1))-AVERAGE(OFFSET($H$3,0,0,'Données projet'!$E$17+1,1))</f>
        <v>181.39066880931728</v>
      </c>
      <c r="GF102" s="62">
        <f t="shared" si="104"/>
        <v>116.06078566855524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-1.7053025658242404E-13</v>
      </c>
      <c r="GV102" s="18">
        <f>GU102*VLOOKUP('Données projet'!$B$18,Paramètres!$A$1:$I$89,3,0)*VLOOKUP('Données projet'!$B$18,Paramètres!$A$1:$I$89,5,0)</f>
        <v>-1.4897523215040567E-13</v>
      </c>
      <c r="GW102" s="14" t="e">
        <f t="shared" si="105"/>
        <v>#NUM!</v>
      </c>
      <c r="GX102" s="22" t="e">
        <f t="shared" si="82"/>
        <v>#NUM!</v>
      </c>
      <c r="GY102" s="62" t="e">
        <f t="shared" si="83"/>
        <v>#NUM!</v>
      </c>
      <c r="GZ102" s="62">
        <f ca="1">AVERAGE(OFFSET($GY$3,0,0,'Données projet'!$E$18+1,1))-AVERAGE(OFFSET($H$3,0,0,'Données projet'!$E$18+1,1))</f>
        <v>152.84277478695606</v>
      </c>
      <c r="HA102" s="62">
        <f t="shared" si="106"/>
        <v>179.22995976651015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9">
        <f t="shared" si="56"/>
        <v>379.27229591132925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307.24199999999985</v>
      </c>
      <c r="P103" s="14">
        <f t="shared" si="87"/>
        <v>72.692550770207774</v>
      </c>
      <c r="Q103" s="22">
        <f t="shared" si="107"/>
        <v>661.71934259144484</v>
      </c>
      <c r="R103" s="62">
        <f t="shared" si="55"/>
        <v>955.05267592477821</v>
      </c>
      <c r="S103" s="62">
        <f ca="1">AVERAGE(OFFSET($R$3,0,0,'Données projet'!$E$9+1,1))-AVERAGE(OFFSET($H$3,0,0,'Données projet'!$E$9+1,1))</f>
        <v>383.26814640166805</v>
      </c>
      <c r="T103" s="62">
        <f t="shared" si="88"/>
        <v>233.71216103405249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170</v>
      </c>
      <c r="AG103" s="13">
        <f>VLOOKUP(A103,'Données projet'!$A$61:$I$81,9,0)</f>
        <v>3</v>
      </c>
      <c r="AH103" s="13">
        <f t="array" ref="AH103">INDEX(AG:AG,MIN(IF(ISNUMBER(AG103:AG299),ROW(AG103:AG299),"")))</f>
        <v>3</v>
      </c>
      <c r="AI103" s="14">
        <f>IF('Données projet'!$A$62&gt;35,AI102+AH103-AQ102,IF(A103&lt;'Données projet'!$A$62,$AF$205^A103,IF(A103='Données projet'!$A$62,'Données projet'!$B$62,AI102+AH103-AQ102)))</f>
        <v>170</v>
      </c>
      <c r="AJ103" s="14">
        <f>AI103*VLOOKUP('Données projet'!$B$10,Paramètres!$A$1:$I$89,3,0)*VLOOKUP('Données projet'!$B$10,Paramètres!$A$1:$I$89,5,0)</f>
        <v>182.988</v>
      </c>
      <c r="AK103" s="14">
        <f t="shared" si="89"/>
        <v>45.986322796524831</v>
      </c>
      <c r="AL103" s="22">
        <f t="shared" si="58"/>
        <v>398.79694553728069</v>
      </c>
      <c r="AM103" s="62">
        <f t="shared" si="59"/>
        <v>692.13027887061401</v>
      </c>
      <c r="AN103" s="62">
        <f ca="1">AVERAGE(OFFSET($AM$3,0,0,'Données projet'!$E$10+1,1))-AVERAGE(OFFSET($H$3,0,0,'Données projet'!$E$10+1,1))</f>
        <v>205.99910063756408</v>
      </c>
      <c r="AO103" s="62">
        <f t="shared" si="90"/>
        <v>128.95330275493671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293.3333333333353</v>
      </c>
      <c r="BI103" s="62">
        <f ca="1">AVERAGE(OFFSET($BH$3,0,0,'Données projet'!$E$11+1,1))-AVERAGE(OFFSET($H$3,0,0,'Données projet'!$E$11+1,1))</f>
        <v>222.20580087523689</v>
      </c>
      <c r="BJ103" s="62">
        <f t="shared" si="92"/>
        <v>232.08940427392253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2.5020760913908759</v>
      </c>
      <c r="BQ103" s="23">
        <f>EXP(-LN(2)/25)*BQ102+(1-EXP(-LN(2)/25))/(LN(2)/25)*Calculateur!BL103*Calculateur!BN103*VLOOKUP('Données projet'!$B$11,Paramètres!$A$1:$I$89,3,0)*0.475*44/12</f>
        <v>2.3600061468550213</v>
      </c>
      <c r="BR103" s="23">
        <f>EXP(-LN(2)/2)*BR102+(1-EXP(-LN(2)/2))/(LN(2)/2)*BL103*BO103*VLOOKUP('Données projet'!$B$11,Paramètres!$A$1:$I$89,3,0)*0.475*44/12</f>
        <v>1.8451714847248058E-10</v>
      </c>
      <c r="BS103" s="24">
        <f t="shared" si="63"/>
        <v>4.8620822384304141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5.6546153846153828</v>
      </c>
      <c r="BY103" s="13">
        <f>IF('Données projet'!$A$114&gt;35,BY102+BX103-CG102,IF(A103&lt;'Données projet'!$A$114,$BV$205^A103,IF(A103='Données projet'!$A$114,'Données projet'!$B$114,BY102+BX103-CG102)))</f>
        <v>205.20076923076968</v>
      </c>
      <c r="BZ103" s="14">
        <f>BY103*VLOOKUP('Données projet'!$B$12,Paramètres!$A$1:$I$89,3,0)*VLOOKUP('Données projet'!$B$12,Paramètres!$A$1:$I$89,5,0)</f>
        <v>96.033960000000206</v>
      </c>
      <c r="CA103" s="14">
        <f t="shared" si="93"/>
        <v>26.014929381475952</v>
      </c>
      <c r="CB103" s="22">
        <f t="shared" si="64"/>
        <v>212.56848233940431</v>
      </c>
      <c r="CC103" s="62">
        <f t="shared" si="65"/>
        <v>505.9018156727376</v>
      </c>
      <c r="CD103" s="62">
        <f ca="1">AVERAGE(OFFSET($CC$3,0,0,'Données projet'!$E$12+1,1))-AVERAGE(OFFSET($H$3,0,0,'Données projet'!$E$12+1,1))</f>
        <v>179.14256291235466</v>
      </c>
      <c r="CE103" s="62">
        <f t="shared" si="94"/>
        <v>107.5256983607585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-2.8421709430404007E-13</v>
      </c>
      <c r="CU103" s="18">
        <f>CT103*VLOOKUP('Données projet'!$B$13,Paramètres!$A$1:$I$89,3,0)*VLOOKUP('Données projet'!$B$13,Paramètres!$A$1:$I$89,5,0)</f>
        <v>-1.69961822393816E-13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237.03649693529445</v>
      </c>
      <c r="CZ103" s="62">
        <f t="shared" si="96"/>
        <v>191.04289411674887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1.5316965807128699E-10</v>
      </c>
      <c r="DI103" s="24">
        <f t="shared" si="69"/>
        <v>1.5316965807128699E-10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268.38</v>
      </c>
      <c r="DM103" s="13">
        <f>VLOOKUP(A103,'Données projet'!$A$165:$I$185,9,0)</f>
        <v>3.5</v>
      </c>
      <c r="DN103" s="13">
        <f t="array" ref="DN103">INDEX(DM:DM,MIN(IF(ISNUMBER(DM103:DM299),ROW(DM103:DM299),"")))</f>
        <v>3.5</v>
      </c>
      <c r="DO103" s="13">
        <f>IF('Données projet'!$A$166&gt;35,DO102+DN103-DW102,IF(A103&lt;'Données projet'!$A$166,$DL$205^A103,IF(A103='Données projet'!$A$166,'Données projet'!$B$166,DO102+DN103-DW102)))</f>
        <v>268.38000000000011</v>
      </c>
      <c r="DP103" s="18">
        <f>DO103*VLOOKUP('Données projet'!$B$14,Paramètres!$A$1:$I$89,3,0)*VLOOKUP('Données projet'!$B$14,Paramètres!$A$1:$I$89,5,0)</f>
        <v>309.17376000000007</v>
      </c>
      <c r="DQ103" s="14">
        <f t="shared" si="97"/>
        <v>73.096251581720765</v>
      </c>
      <c r="DR103" s="22">
        <f t="shared" si="70"/>
        <v>665.7869368381638</v>
      </c>
      <c r="DS103" s="62">
        <f t="shared" si="71"/>
        <v>959.12027017149717</v>
      </c>
      <c r="DT103" s="62">
        <f ca="1">AVERAGE(OFFSET($DS$3,0,0,'Données projet'!$E$14+1,1))-AVERAGE(OFFSET($H$3,0,0,'Données projet'!$E$14+1,1))</f>
        <v>431.38469096974364</v>
      </c>
      <c r="DU103" s="62">
        <f t="shared" si="98"/>
        <v>295.48627059086647</v>
      </c>
      <c r="DV103" s="16">
        <f>IF(ISNA(VLOOKUP(A103,'Données projet'!$A$165:$I$185,3,0)),0,VLOOKUP(A103,'Données projet'!$A$165:$I$185,3,0))</f>
        <v>10</v>
      </c>
      <c r="DW103" s="16">
        <f>IF(ISNA(VLOOKUP(A103,'Données projet'!$A$165:$I$185,4,0)),0,VLOOKUP(A103,'Données projet'!$A$165:$I$185,4,0))</f>
        <v>21.9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0.14064750769085915</v>
      </c>
      <c r="EC103" s="23">
        <f>EXP(-LN(2)/2)*EC102+(1-EXP(-LN(2)/2))/(LN(2)/2)*DW103*DZ103*VLOOKUP('Données projet'!$B$14,Paramètres!$A$1:$I$89,3,0)*0.475*44/12</f>
        <v>1.1171316729520302E-10</v>
      </c>
      <c r="ED103" s="24">
        <f t="shared" si="72"/>
        <v>0.14064750780257232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170</v>
      </c>
      <c r="EH103" s="13">
        <f>VLOOKUP(A103,'Données projet'!$A$191:$I$211,9,0)</f>
        <v>3</v>
      </c>
      <c r="EI103" s="13">
        <f t="array" ref="EI103">INDEX(EH:EH,MIN(IF(ISNUMBER(EH103:EH299),ROW(EH103:EH299),"")))</f>
        <v>3</v>
      </c>
      <c r="EJ103" s="13">
        <f>IF('Données projet'!$A$192&gt;35,EJ102+EI103-ER102,IF(A103&lt;'Données projet'!$A$192,$EG$205^A103,IF(A103='Données projet'!$A$192,'Données projet'!$B$192,EJ102+EI103-ER102)))</f>
        <v>170</v>
      </c>
      <c r="EK103" s="18">
        <f>EJ103*VLOOKUP('Données projet'!$B$15,Paramètres!$A$1:$I$89,3,0)*VLOOKUP('Données projet'!$B$15,Paramètres!$A$1:$I$89,5,0)</f>
        <v>193.596</v>
      </c>
      <c r="EL103" s="14">
        <f t="shared" si="99"/>
        <v>48.33410777252201</v>
      </c>
      <c r="EM103" s="22">
        <f t="shared" si="73"/>
        <v>421.36160437047585</v>
      </c>
      <c r="EN103" s="62">
        <f t="shared" si="74"/>
        <v>714.69493770380916</v>
      </c>
      <c r="EO103" s="62">
        <f ca="1">AVERAGE(OFFSET($EN$3,0,0,'Données projet'!$E$15+1,1))-AVERAGE(OFFSET($H$3,0,0,'Données projet'!$E$15+1,1))</f>
        <v>220.03635832253951</v>
      </c>
      <c r="EP103" s="62">
        <f t="shared" si="100"/>
        <v>136.30639155882233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467</v>
      </c>
      <c r="FC103" s="13">
        <f>VLOOKUP(A103,'Données projet'!$A$217:$I$237,9,0)</f>
        <v>5.5</v>
      </c>
      <c r="FD103" s="13">
        <f t="array" ref="FD103">INDEX(FC:FC,MIN(IF(ISNUMBER(FC103:FC299),ROW(FC103:FC299),"")))</f>
        <v>5.5</v>
      </c>
      <c r="FE103" s="13">
        <f>IF('Données projet'!$A$218&gt;35,FE102+FD103-FM102,IF(A103&lt;'Données projet'!$A$218,$FB$205^A103,IF(A103='Données projet'!$A$218,'Données projet'!$B$218,FE102+FD103-FM102)))</f>
        <v>467.00000000000051</v>
      </c>
      <c r="FF103" s="18">
        <f>FE103*VLOOKUP('Données projet'!$B$16,Paramètres!$A$1:$I$89,3,0)*VLOOKUP('Données projet'!$B$16,Paramètres!$A$1:$I$89,5,0)</f>
        <v>488.10840000000064</v>
      </c>
      <c r="FG103" s="14">
        <f t="shared" si="101"/>
        <v>109.42714068259107</v>
      </c>
      <c r="FH103" s="22">
        <f t="shared" si="76"/>
        <v>1040.7077333555139</v>
      </c>
      <c r="FI103" s="62">
        <f t="shared" si="77"/>
        <v>1334.0410666888472</v>
      </c>
      <c r="FJ103" s="62">
        <f ca="1">AVERAGE(OFFSET($FI$3,0,0,'Données projet'!$E$16+1,1))-AVERAGE(OFFSET($H$3,0,0,'Données projet'!$E$16+1,1))</f>
        <v>641.62708445664862</v>
      </c>
      <c r="FK103" s="62">
        <f t="shared" si="102"/>
        <v>379.46845863546929</v>
      </c>
      <c r="FL103" s="16">
        <f>IF(ISNA(VLOOKUP(A103,'Données projet'!$A$217:$I$237,3,0)),0,VLOOKUP(A103,'Données projet'!$A$217:$I$237,3,0))</f>
        <v>8</v>
      </c>
      <c r="FM103" s="16">
        <f>IF(ISNA(VLOOKUP(A103,'Données projet'!$A$217:$I$237,4,0)),0,VLOOKUP(A103,'Données projet'!$A$217:$I$237,4,0))</f>
        <v>32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6.3143191175774638E-10</v>
      </c>
      <c r="FT103" s="24">
        <f t="shared" si="78"/>
        <v>6.3143191175774638E-10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170</v>
      </c>
      <c r="FX103" s="13">
        <f>VLOOKUP(A103,'Données projet'!$A$243:$I$263,9,0)</f>
        <v>3</v>
      </c>
      <c r="FY103" s="13">
        <f t="array" ref="FY103">INDEX(FX:FX,MIN(IF(ISNUMBER(FX103:FX299),ROW(FX103:FX299),"")))</f>
        <v>3</v>
      </c>
      <c r="FZ103" s="13">
        <f>IF('Données projet'!$A$244&gt;35,FZ102+FY103-GH102,IF(A103&lt;'Données projet'!$A$244,$FW$205^A103,IF(A103='Données projet'!$A$244,'Données projet'!$B$244,FZ102+FY103-GH102)))</f>
        <v>170</v>
      </c>
      <c r="GA103" s="18">
        <f>FZ103*VLOOKUP('Données projet'!$B$17,Paramètres!$A$1:$I$89,3,0)*VLOOKUP('Données projet'!$B$17,Paramètres!$A$1:$I$89,5,0)</f>
        <v>164.42400000000001</v>
      </c>
      <c r="GB103" s="14">
        <f t="shared" si="103"/>
        <v>41.838771477410226</v>
      </c>
      <c r="GC103" s="22">
        <f t="shared" si="79"/>
        <v>359.24099365648948</v>
      </c>
      <c r="GD103" s="62">
        <f t="shared" si="80"/>
        <v>652.57432698982279</v>
      </c>
      <c r="GE103" s="62">
        <f ca="1">AVERAGE(OFFSET($GD$3,0,0,'Données projet'!$E$17+1,1))-AVERAGE(OFFSET($H$3,0,0,'Données projet'!$E$17+1,1))</f>
        <v>181.39066880931728</v>
      </c>
      <c r="GF103" s="62">
        <f t="shared" si="104"/>
        <v>116.06078566855524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-1.7053025658242404E-13</v>
      </c>
      <c r="GV103" s="18">
        <f>GU103*VLOOKUP('Données projet'!$B$18,Paramètres!$A$1:$I$89,3,0)*VLOOKUP('Données projet'!$B$18,Paramètres!$A$1:$I$89,5,0)</f>
        <v>-1.4897523215040567E-13</v>
      </c>
      <c r="GW103" s="14" t="e">
        <f t="shared" si="105"/>
        <v>#NUM!</v>
      </c>
      <c r="GX103" s="22" t="e">
        <f t="shared" si="82"/>
        <v>#NUM!</v>
      </c>
      <c r="GY103" s="62" t="e">
        <f t="shared" si="83"/>
        <v>#NUM!</v>
      </c>
      <c r="GZ103" s="62">
        <f ca="1">AVERAGE(OFFSET($GY$3,0,0,'Données projet'!$E$18+1,1))-AVERAGE(OFFSET($H$3,0,0,'Données projet'!$E$18+1,1))</f>
        <v>152.84277478695606</v>
      </c>
      <c r="HA103" s="62">
        <f t="shared" si="106"/>
        <v>179.22995976651015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9">
        <f t="shared" si="56"/>
        <v>380.46618888020032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269.1155999999998</v>
      </c>
      <c r="P104" s="14">
        <f t="shared" si="87"/>
        <v>64.661541462287076</v>
      </c>
      <c r="Q104" s="22">
        <f t="shared" si="107"/>
        <v>581.3285213801496</v>
      </c>
      <c r="R104" s="62">
        <f t="shared" si="55"/>
        <v>874.66185471348285</v>
      </c>
      <c r="S104" s="62">
        <f ca="1">AVERAGE(OFFSET($R$3,0,0,'Données projet'!$E$9+1,1))-AVERAGE(OFFSET($H$3,0,0,'Données projet'!$E$9+1,1))</f>
        <v>383.26814640166805</v>
      </c>
      <c r="T104" s="62">
        <f t="shared" si="88"/>
        <v>233.71216103405249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2.8</v>
      </c>
      <c r="AI104" s="14">
        <f>IF('Données projet'!$A$62&gt;35,AI103+AH104-AQ103,IF(A104&lt;'Données projet'!$A$62,$AF$205^A104,IF(A104='Données projet'!$A$62,'Données projet'!$B$62,AI103+AH104-AQ103)))</f>
        <v>172.8</v>
      </c>
      <c r="AJ104" s="14">
        <f>AI104*VLOOKUP('Données projet'!$B$10,Paramètres!$A$1:$I$89,3,0)*VLOOKUP('Données projet'!$B$10,Paramètres!$A$1:$I$89,5,0)</f>
        <v>186.00192000000001</v>
      </c>
      <c r="AK104" s="14">
        <f t="shared" si="89"/>
        <v>46.654943043246</v>
      </c>
      <c r="AL104" s="22">
        <f t="shared" si="58"/>
        <v>405.21070313365345</v>
      </c>
      <c r="AM104" s="62">
        <f t="shared" si="59"/>
        <v>698.54403646698677</v>
      </c>
      <c r="AN104" s="62">
        <f ca="1">AVERAGE(OFFSET($AM$3,0,0,'Données projet'!$E$10+1,1))-AVERAGE(OFFSET($H$3,0,0,'Données projet'!$E$10+1,1))</f>
        <v>205.99910063756408</v>
      </c>
      <c r="AO104" s="62">
        <f t="shared" si="90"/>
        <v>128.95330275493671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293.3333333333353</v>
      </c>
      <c r="BI104" s="62">
        <f ca="1">AVERAGE(OFFSET($BH$3,0,0,'Données projet'!$E$11+1,1))-AVERAGE(OFFSET($H$3,0,0,'Données projet'!$E$11+1,1))</f>
        <v>222.20580087523689</v>
      </c>
      <c r="BJ104" s="62">
        <f t="shared" si="92"/>
        <v>232.08940427392253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2.4530119053544253</v>
      </c>
      <c r="BQ104" s="23">
        <f>EXP(-LN(2)/25)*BQ103+(1-EXP(-LN(2)/25))/(LN(2)/25)*Calculateur!BL104*Calculateur!BN104*VLOOKUP('Données projet'!$B$11,Paramètres!$A$1:$I$89,3,0)*0.475*44/12</f>
        <v>2.2954716546619411</v>
      </c>
      <c r="BR104" s="23">
        <f>EXP(-LN(2)/2)*BR103+(1-EXP(-LN(2)/2))/(LN(2)/2)*BL104*BO104*VLOOKUP('Données projet'!$B$11,Paramètres!$A$1:$I$89,3,0)*0.475*44/12</f>
        <v>1.3047332693009603E-10</v>
      </c>
      <c r="BS104" s="24">
        <f t="shared" si="63"/>
        <v>4.7484835601468394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5.6546153846153828</v>
      </c>
      <c r="BY104" s="13">
        <f>IF('Données projet'!$A$114&gt;35,BY103+BX104-CG103,IF(A104&lt;'Données projet'!$A$114,$BV$205^A104,IF(A104='Données projet'!$A$114,'Données projet'!$B$114,BY103+BX104-CG103)))</f>
        <v>210.85538461538505</v>
      </c>
      <c r="BZ104" s="14">
        <f>BY104*VLOOKUP('Données projet'!$B$12,Paramètres!$A$1:$I$89,3,0)*VLOOKUP('Données projet'!$B$12,Paramètres!$A$1:$I$89,5,0)</f>
        <v>98.680320000000208</v>
      </c>
      <c r="CA104" s="14">
        <f t="shared" si="93"/>
        <v>26.647359319385743</v>
      </c>
      <c r="CB104" s="22">
        <f t="shared" si="64"/>
        <v>218.27904148126387</v>
      </c>
      <c r="CC104" s="62">
        <f t="shared" si="65"/>
        <v>511.61237481459716</v>
      </c>
      <c r="CD104" s="62">
        <f ca="1">AVERAGE(OFFSET($CC$3,0,0,'Données projet'!$E$12+1,1))-AVERAGE(OFFSET($H$3,0,0,'Données projet'!$E$12+1,1))</f>
        <v>179.14256291235466</v>
      </c>
      <c r="CE104" s="62">
        <f t="shared" si="94"/>
        <v>107.5256983607585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-2.8421709430404007E-13</v>
      </c>
      <c r="CU104" s="18">
        <f>CT104*VLOOKUP('Données projet'!$B$13,Paramètres!$A$1:$I$89,3,0)*VLOOKUP('Données projet'!$B$13,Paramètres!$A$1:$I$89,5,0)</f>
        <v>-1.69961822393816E-13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237.03649693529445</v>
      </c>
      <c r="CZ104" s="62">
        <f t="shared" si="96"/>
        <v>191.04289411674887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1.0830730389423183E-10</v>
      </c>
      <c r="DI104" s="24">
        <f t="shared" si="69"/>
        <v>1.0830730389423183E-10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3.3200000000000016</v>
      </c>
      <c r="DO104" s="13">
        <f>IF('Données projet'!$A$166&gt;35,DO103+DN104-DW103,IF(A104&lt;'Données projet'!$A$166,$DL$205^A104,IF(A104='Données projet'!$A$166,'Données projet'!$B$166,DO103+DN104-DW103)))</f>
        <v>249.8000000000001</v>
      </c>
      <c r="DP104" s="18">
        <f>DO104*VLOOKUP('Données projet'!$B$14,Paramètres!$A$1:$I$89,3,0)*VLOOKUP('Données projet'!$B$14,Paramètres!$A$1:$I$89,5,0)</f>
        <v>287.76960000000008</v>
      </c>
      <c r="DQ104" s="14">
        <f t="shared" si="97"/>
        <v>68.606324018756425</v>
      </c>
      <c r="DR104" s="22">
        <f t="shared" si="70"/>
        <v>620.68806766600085</v>
      </c>
      <c r="DS104" s="62">
        <f t="shared" si="71"/>
        <v>914.02140099933422</v>
      </c>
      <c r="DT104" s="62">
        <f ca="1">AVERAGE(OFFSET($DS$3,0,0,'Données projet'!$E$14+1,1))-AVERAGE(OFFSET($H$3,0,0,'Données projet'!$E$14+1,1))</f>
        <v>431.38469096974364</v>
      </c>
      <c r="DU104" s="62">
        <f t="shared" si="98"/>
        <v>295.48627059086647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0.13680149419672163</v>
      </c>
      <c r="EC104" s="23">
        <f>EXP(-LN(2)/2)*EC103+(1-EXP(-LN(2)/2))/(LN(2)/2)*DW104*DZ104*VLOOKUP('Données projet'!$B$14,Paramètres!$A$1:$I$89,3,0)*0.475*44/12</f>
        <v>7.89931381422653E-11</v>
      </c>
      <c r="ED104" s="24">
        <f t="shared" si="72"/>
        <v>0.13680149427571478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2.8</v>
      </c>
      <c r="EJ104" s="13">
        <f>IF('Données projet'!$A$192&gt;35,EJ103+EI104-ER103,IF(A104&lt;'Données projet'!$A$192,$EG$205^A104,IF(A104='Données projet'!$A$192,'Données projet'!$B$192,EJ103+EI104-ER103)))</f>
        <v>172.8</v>
      </c>
      <c r="EK104" s="18">
        <f>EJ104*VLOOKUP('Données projet'!$B$15,Paramètres!$A$1:$I$89,3,0)*VLOOKUP('Données projet'!$B$15,Paramètres!$A$1:$I$89,5,0)</f>
        <v>196.78464000000002</v>
      </c>
      <c r="EL104" s="14">
        <f t="shared" si="99"/>
        <v>49.036863746442876</v>
      </c>
      <c r="EM104" s="22">
        <f t="shared" si="73"/>
        <v>428.1391190250547</v>
      </c>
      <c r="EN104" s="62">
        <f t="shared" si="74"/>
        <v>721.47245235838795</v>
      </c>
      <c r="EO104" s="62">
        <f ca="1">AVERAGE(OFFSET($EN$3,0,0,'Données projet'!$E$15+1,1))-AVERAGE(OFFSET($H$3,0,0,'Données projet'!$E$15+1,1))</f>
        <v>220.03635832253951</v>
      </c>
      <c r="EP104" s="62">
        <f t="shared" si="100"/>
        <v>136.30639155882233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5.0999999999999996</v>
      </c>
      <c r="FE104" s="13">
        <f>IF('Données projet'!$A$218&gt;35,FE103+FD104-FM103,IF(A104&lt;'Données projet'!$A$218,$FB$205^A104,IF(A104='Données projet'!$A$218,'Données projet'!$B$218,FE103+FD104-FM103)))</f>
        <v>440.10000000000053</v>
      </c>
      <c r="FF104" s="18">
        <f>FE104*VLOOKUP('Données projet'!$B$16,Paramètres!$A$1:$I$89,3,0)*VLOOKUP('Données projet'!$B$16,Paramètres!$A$1:$I$89,5,0)</f>
        <v>459.99252000000058</v>
      </c>
      <c r="FG104" s="14">
        <f t="shared" si="101"/>
        <v>103.83855714599257</v>
      </c>
      <c r="FH104" s="22">
        <f t="shared" si="76"/>
        <v>982.005792695938</v>
      </c>
      <c r="FI104" s="62">
        <f t="shared" si="77"/>
        <v>1275.3391260292713</v>
      </c>
      <c r="FJ104" s="62">
        <f ca="1">AVERAGE(OFFSET($FI$3,0,0,'Données projet'!$E$16+1,1))-AVERAGE(OFFSET($H$3,0,0,'Données projet'!$E$16+1,1))</f>
        <v>641.62708445664862</v>
      </c>
      <c r="FK104" s="62">
        <f t="shared" si="102"/>
        <v>379.46845863546929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4.4648978666148816E-10</v>
      </c>
      <c r="FT104" s="24">
        <f t="shared" si="78"/>
        <v>4.4648978666148816E-10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2.8</v>
      </c>
      <c r="FZ104" s="13">
        <f>IF('Données projet'!$A$244&gt;35,FZ103+FY104-GH103,IF(A104&lt;'Données projet'!$A$244,$FW$205^A104,IF(A104='Données projet'!$A$244,'Données projet'!$B$244,FZ103+FY104-GH103)))</f>
        <v>172.8</v>
      </c>
      <c r="GA104" s="18">
        <f>FZ104*VLOOKUP('Données projet'!$B$17,Paramètres!$A$1:$I$89,3,0)*VLOOKUP('Données projet'!$B$17,Paramètres!$A$1:$I$89,5,0)</f>
        <v>167.13216000000003</v>
      </c>
      <c r="GB104" s="14">
        <f t="shared" si="103"/>
        <v>42.447088211746923</v>
      </c>
      <c r="GC104" s="22">
        <f t="shared" si="79"/>
        <v>365.01719063545926</v>
      </c>
      <c r="GD104" s="62">
        <f t="shared" si="80"/>
        <v>658.35052396879257</v>
      </c>
      <c r="GE104" s="62">
        <f ca="1">AVERAGE(OFFSET($GD$3,0,0,'Données projet'!$E$17+1,1))-AVERAGE(OFFSET($H$3,0,0,'Données projet'!$E$17+1,1))</f>
        <v>181.39066880931728</v>
      </c>
      <c r="GF104" s="62">
        <f t="shared" si="104"/>
        <v>116.06078566855524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-1.7053025658242404E-13</v>
      </c>
      <c r="GV104" s="18">
        <f>GU104*VLOOKUP('Données projet'!$B$18,Paramètres!$A$1:$I$89,3,0)*VLOOKUP('Données projet'!$B$18,Paramètres!$A$1:$I$89,5,0)</f>
        <v>-1.4897523215040567E-13</v>
      </c>
      <c r="GW104" s="14" t="e">
        <f t="shared" si="105"/>
        <v>#NUM!</v>
      </c>
      <c r="GX104" s="22" t="e">
        <f t="shared" si="82"/>
        <v>#NUM!</v>
      </c>
      <c r="GY104" s="62" t="e">
        <f t="shared" si="83"/>
        <v>#NUM!</v>
      </c>
      <c r="GZ104" s="62">
        <f ca="1">AVERAGE(OFFSET($GY$3,0,0,'Données projet'!$E$18+1,1))-AVERAGE(OFFSET($H$3,0,0,'Données projet'!$E$18+1,1))</f>
        <v>152.84277478695606</v>
      </c>
      <c r="HA104" s="62">
        <f t="shared" si="106"/>
        <v>179.22995976651015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9">
        <f t="shared" si="56"/>
        <v>381.6598020197543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273.57719999999978</v>
      </c>
      <c r="P105" s="14">
        <f t="shared" si="87"/>
        <v>65.60785888991505</v>
      </c>
      <c r="Q105" s="22">
        <f t="shared" si="107"/>
        <v>590.74731089993509</v>
      </c>
      <c r="R105" s="62">
        <f t="shared" si="55"/>
        <v>884.08064423326846</v>
      </c>
      <c r="S105" s="62">
        <f ca="1">AVERAGE(OFFSET($R$3,0,0,'Données projet'!$E$9+1,1))-AVERAGE(OFFSET($H$3,0,0,'Données projet'!$E$9+1,1))</f>
        <v>383.26814640166805</v>
      </c>
      <c r="T105" s="62">
        <f t="shared" si="88"/>
        <v>233.71216103405249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2.8</v>
      </c>
      <c r="AI105" s="14">
        <f>IF('Données projet'!$A$62&gt;35,AI104+AH105-AQ104,IF(A105&lt;'Données projet'!$A$62,$AF$205^A105,IF(A105='Données projet'!$A$62,'Données projet'!$B$62,AI104+AH105-AQ104)))</f>
        <v>175.60000000000002</v>
      </c>
      <c r="AJ105" s="14">
        <f>AI105*VLOOKUP('Données projet'!$B$10,Paramètres!$A$1:$I$89,3,0)*VLOOKUP('Données projet'!$B$10,Paramètres!$A$1:$I$89,5,0)</f>
        <v>189.01584</v>
      </c>
      <c r="AK105" s="14">
        <f t="shared" si="89"/>
        <v>47.322303328129664</v>
      </c>
      <c r="AL105" s="22">
        <f t="shared" si="58"/>
        <v>411.62226629649246</v>
      </c>
      <c r="AM105" s="62">
        <f t="shared" si="59"/>
        <v>704.95559962982577</v>
      </c>
      <c r="AN105" s="62">
        <f ca="1">AVERAGE(OFFSET($AM$3,0,0,'Données projet'!$E$10+1,1))-AVERAGE(OFFSET($H$3,0,0,'Données projet'!$E$10+1,1))</f>
        <v>205.99910063756408</v>
      </c>
      <c r="AO105" s="62">
        <f t="shared" si="90"/>
        <v>128.95330275493671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293.3333333333353</v>
      </c>
      <c r="BI105" s="62">
        <f ca="1">AVERAGE(OFFSET($BH$3,0,0,'Données projet'!$E$11+1,1))-AVERAGE(OFFSET($H$3,0,0,'Données projet'!$E$11+1,1))</f>
        <v>222.20580087523689</v>
      </c>
      <c r="BJ105" s="62">
        <f t="shared" si="92"/>
        <v>232.08940427392253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2.4049098380799507</v>
      </c>
      <c r="BQ105" s="23">
        <f>EXP(-LN(2)/25)*BQ104+(1-EXP(-LN(2)/25))/(LN(2)/25)*Calculateur!BL105*Calculateur!BN105*VLOOKUP('Données projet'!$B$11,Paramètres!$A$1:$I$89,3,0)*0.475*44/12</f>
        <v>2.2327018615516026</v>
      </c>
      <c r="BR105" s="23">
        <f>EXP(-LN(2)/2)*BR104+(1-EXP(-LN(2)/2))/(LN(2)/2)*BL105*BO105*VLOOKUP('Données projet'!$B$11,Paramètres!$A$1:$I$89,3,0)*0.475*44/12</f>
        <v>9.2258574236240292E-11</v>
      </c>
      <c r="BS105" s="24">
        <f t="shared" si="63"/>
        <v>4.6376116997238119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5.6546153846153828</v>
      </c>
      <c r="BY105" s="13">
        <f>IF('Données projet'!$A$114&gt;35,BY104+BX105-CG104,IF(A105&lt;'Données projet'!$A$114,$BV$205^A105,IF(A105='Données projet'!$A$114,'Données projet'!$B$114,BY104+BX105-CG104)))</f>
        <v>216.51000000000045</v>
      </c>
      <c r="BZ105" s="14">
        <f>BY105*VLOOKUP('Données projet'!$B$12,Paramètres!$A$1:$I$89,3,0)*VLOOKUP('Données projet'!$B$12,Paramètres!$A$1:$I$89,5,0)</f>
        <v>101.32668000000021</v>
      </c>
      <c r="CA105" s="14">
        <f t="shared" si="93"/>
        <v>27.277817919146429</v>
      </c>
      <c r="CB105" s="22">
        <f t="shared" si="64"/>
        <v>223.98616720918039</v>
      </c>
      <c r="CC105" s="62">
        <f t="shared" si="65"/>
        <v>517.31950054251365</v>
      </c>
      <c r="CD105" s="62">
        <f ca="1">AVERAGE(OFFSET($CC$3,0,0,'Données projet'!$E$12+1,1))-AVERAGE(OFFSET($H$3,0,0,'Données projet'!$E$12+1,1))</f>
        <v>179.14256291235466</v>
      </c>
      <c r="CE105" s="62">
        <f t="shared" si="94"/>
        <v>107.5256983607585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-2.8421709430404007E-13</v>
      </c>
      <c r="CU105" s="18">
        <f>CT105*VLOOKUP('Données projet'!$B$13,Paramètres!$A$1:$I$89,3,0)*VLOOKUP('Données projet'!$B$13,Paramètres!$A$1:$I$89,5,0)</f>
        <v>-1.69961822393816E-13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237.03649693529445</v>
      </c>
      <c r="CZ105" s="62">
        <f t="shared" si="96"/>
        <v>191.04289411674887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7.6584829035643495E-11</v>
      </c>
      <c r="DI105" s="24">
        <f t="shared" si="69"/>
        <v>7.6584829035643495E-11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3.3200000000000016</v>
      </c>
      <c r="DO105" s="13">
        <f>IF('Données projet'!$A$166&gt;35,DO104+DN105-DW104,IF(A105&lt;'Données projet'!$A$166,$DL$205^A105,IF(A105='Données projet'!$A$166,'Données projet'!$B$166,DO104+DN105-DW104)))</f>
        <v>253.12000000000009</v>
      </c>
      <c r="DP105" s="18">
        <f>DO105*VLOOKUP('Données projet'!$B$14,Paramètres!$A$1:$I$89,3,0)*VLOOKUP('Données projet'!$B$14,Paramètres!$A$1:$I$89,5,0)</f>
        <v>291.59424000000007</v>
      </c>
      <c r="DQ105" s="14">
        <f t="shared" si="97"/>
        <v>69.411389294465309</v>
      </c>
      <c r="DR105" s="22">
        <f t="shared" si="70"/>
        <v>628.75147102119388</v>
      </c>
      <c r="DS105" s="62">
        <f t="shared" si="71"/>
        <v>922.08480435452725</v>
      </c>
      <c r="DT105" s="62">
        <f ca="1">AVERAGE(OFFSET($DS$3,0,0,'Données projet'!$E$14+1,1))-AVERAGE(OFFSET($H$3,0,0,'Données projet'!$E$14+1,1))</f>
        <v>431.38469096974364</v>
      </c>
      <c r="DU105" s="62">
        <f t="shared" si="98"/>
        <v>295.48627059086647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0.13306065014383436</v>
      </c>
      <c r="EC105" s="23">
        <f>EXP(-LN(2)/2)*EC104+(1-EXP(-LN(2)/2))/(LN(2)/2)*DW105*DZ105*VLOOKUP('Données projet'!$B$14,Paramètres!$A$1:$I$89,3,0)*0.475*44/12</f>
        <v>5.5856583647601511E-11</v>
      </c>
      <c r="ED105" s="24">
        <f t="shared" si="72"/>
        <v>0.13306065019969096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2.8</v>
      </c>
      <c r="EJ105" s="13">
        <f>IF('Données projet'!$A$192&gt;35,EJ104+EI105-ER104,IF(A105&lt;'Données projet'!$A$192,$EG$205^A105,IF(A105='Données projet'!$A$192,'Données projet'!$B$192,EJ104+EI105-ER104)))</f>
        <v>175.60000000000002</v>
      </c>
      <c r="EK105" s="18">
        <f>EJ105*VLOOKUP('Données projet'!$B$15,Paramètres!$A$1:$I$89,3,0)*VLOOKUP('Données projet'!$B$15,Paramètres!$A$1:$I$89,5,0)</f>
        <v>199.97328000000005</v>
      </c>
      <c r="EL105" s="14">
        <f t="shared" si="99"/>
        <v>49.738295432455082</v>
      </c>
      <c r="EM105" s="22">
        <f t="shared" si="73"/>
        <v>434.91432721152597</v>
      </c>
      <c r="EN105" s="62">
        <f t="shared" si="74"/>
        <v>728.24766054485929</v>
      </c>
      <c r="EO105" s="62">
        <f ca="1">AVERAGE(OFFSET($EN$3,0,0,'Données projet'!$E$15+1,1))-AVERAGE(OFFSET($H$3,0,0,'Données projet'!$E$15+1,1))</f>
        <v>220.03635832253951</v>
      </c>
      <c r="EP105" s="62">
        <f t="shared" si="100"/>
        <v>136.30639155882233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5.0999999999999996</v>
      </c>
      <c r="FE105" s="13">
        <f>IF('Données projet'!$A$218&gt;35,FE104+FD105-FM104,IF(A105&lt;'Données projet'!$A$218,$FB$205^A105,IF(A105='Données projet'!$A$218,'Données projet'!$B$218,FE104+FD105-FM104)))</f>
        <v>445.20000000000056</v>
      </c>
      <c r="FF105" s="18">
        <f>FE105*VLOOKUP('Données projet'!$B$16,Paramètres!$A$1:$I$89,3,0)*VLOOKUP('Données projet'!$B$16,Paramètres!$A$1:$I$89,5,0)</f>
        <v>465.32304000000062</v>
      </c>
      <c r="FG105" s="14">
        <f t="shared" si="101"/>
        <v>104.90108766361868</v>
      </c>
      <c r="FH105" s="22">
        <f t="shared" si="76"/>
        <v>993.14035568080362</v>
      </c>
      <c r="FI105" s="62">
        <f t="shared" si="77"/>
        <v>1286.4736890141369</v>
      </c>
      <c r="FJ105" s="62">
        <f ca="1">AVERAGE(OFFSET($FI$3,0,0,'Données projet'!$E$16+1,1))-AVERAGE(OFFSET($H$3,0,0,'Données projet'!$E$16+1,1))</f>
        <v>641.62708445664862</v>
      </c>
      <c r="FK105" s="62">
        <f t="shared" si="102"/>
        <v>379.46845863546929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3.1571595587887319E-10</v>
      </c>
      <c r="FT105" s="24">
        <f t="shared" si="78"/>
        <v>3.1571595587887319E-10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2.8</v>
      </c>
      <c r="FZ105" s="13">
        <f>IF('Données projet'!$A$244&gt;35,FZ104+FY105-GH104,IF(A105&lt;'Données projet'!$A$244,$FW$205^A105,IF(A105='Données projet'!$A$244,'Données projet'!$B$244,FZ104+FY105-GH104)))</f>
        <v>175.60000000000002</v>
      </c>
      <c r="GA105" s="18">
        <f>FZ105*VLOOKUP('Données projet'!$B$17,Paramètres!$A$1:$I$89,3,0)*VLOOKUP('Données projet'!$B$17,Paramètres!$A$1:$I$89,5,0)</f>
        <v>169.84032000000002</v>
      </c>
      <c r="GB105" s="14">
        <f t="shared" si="103"/>
        <v>43.054258621433533</v>
      </c>
      <c r="GC105" s="22">
        <f t="shared" si="79"/>
        <v>370.79139109899671</v>
      </c>
      <c r="GD105" s="62">
        <f t="shared" si="80"/>
        <v>664.12472443233003</v>
      </c>
      <c r="GE105" s="62">
        <f ca="1">AVERAGE(OFFSET($GD$3,0,0,'Données projet'!$E$17+1,1))-AVERAGE(OFFSET($H$3,0,0,'Données projet'!$E$17+1,1))</f>
        <v>181.39066880931728</v>
      </c>
      <c r="GF105" s="62">
        <f t="shared" si="104"/>
        <v>116.06078566855524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-1.7053025658242404E-13</v>
      </c>
      <c r="GV105" s="18">
        <f>GU105*VLOOKUP('Données projet'!$B$18,Paramètres!$A$1:$I$89,3,0)*VLOOKUP('Données projet'!$B$18,Paramètres!$A$1:$I$89,5,0)</f>
        <v>-1.4897523215040567E-13</v>
      </c>
      <c r="GW105" s="14" t="e">
        <f t="shared" si="105"/>
        <v>#NUM!</v>
      </c>
      <c r="GX105" s="22" t="e">
        <f t="shared" si="82"/>
        <v>#NUM!</v>
      </c>
      <c r="GY105" s="62" t="e">
        <f t="shared" si="83"/>
        <v>#NUM!</v>
      </c>
      <c r="GZ105" s="62">
        <f ca="1">AVERAGE(OFFSET($GY$3,0,0,'Données projet'!$E$18+1,1))-AVERAGE(OFFSET($H$3,0,0,'Données projet'!$E$18+1,1))</f>
        <v>152.84277478695606</v>
      </c>
      <c r="HA105" s="62">
        <f t="shared" si="106"/>
        <v>179.22995976651015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9">
        <f t="shared" si="56"/>
        <v>382.85313839110199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278.03879999999975</v>
      </c>
      <c r="P106" s="14">
        <f t="shared" si="87"/>
        <v>66.552381547717744</v>
      </c>
      <c r="Q106" s="22">
        <f t="shared" si="107"/>
        <v>600.16297452894128</v>
      </c>
      <c r="R106" s="62">
        <f t="shared" si="55"/>
        <v>893.49630786227453</v>
      </c>
      <c r="S106" s="62">
        <f ca="1">AVERAGE(OFFSET($R$3,0,0,'Données projet'!$E$9+1,1))-AVERAGE(OFFSET($H$3,0,0,'Données projet'!$E$9+1,1))</f>
        <v>383.26814640166805</v>
      </c>
      <c r="T106" s="62">
        <f t="shared" si="88"/>
        <v>233.71216103405249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2.8</v>
      </c>
      <c r="AI106" s="14">
        <f>IF('Données projet'!$A$62&gt;35,AI105+AH106-AQ105,IF(A106&lt;'Données projet'!$A$62,$AF$205^A106,IF(A106='Données projet'!$A$62,'Données projet'!$B$62,AI105+AH106-AQ105)))</f>
        <v>178.40000000000003</v>
      </c>
      <c r="AJ106" s="14">
        <f>AI106*VLOOKUP('Données projet'!$B$10,Paramètres!$A$1:$I$89,3,0)*VLOOKUP('Données projet'!$B$10,Paramètres!$A$1:$I$89,5,0)</f>
        <v>192.02976000000004</v>
      </c>
      <c r="AK106" s="14">
        <f t="shared" si="89"/>
        <v>47.988426061329989</v>
      </c>
      <c r="AL106" s="22">
        <f t="shared" si="58"/>
        <v>418.03167405681643</v>
      </c>
      <c r="AM106" s="62">
        <f t="shared" si="59"/>
        <v>711.36500739014969</v>
      </c>
      <c r="AN106" s="62">
        <f ca="1">AVERAGE(OFFSET($AM$3,0,0,'Données projet'!$E$10+1,1))-AVERAGE(OFFSET($H$3,0,0,'Données projet'!$E$10+1,1))</f>
        <v>205.99910063756408</v>
      </c>
      <c r="AO106" s="62">
        <f t="shared" si="90"/>
        <v>128.95330275493671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293.3333333333353</v>
      </c>
      <c r="BI106" s="62">
        <f ca="1">AVERAGE(OFFSET($BH$3,0,0,'Données projet'!$E$11+1,1))-AVERAGE(OFFSET($H$3,0,0,'Données projet'!$E$11+1,1))</f>
        <v>222.20580087523689</v>
      </c>
      <c r="BJ106" s="62">
        <f t="shared" si="92"/>
        <v>232.08940427392253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2.3577510230053647</v>
      </c>
      <c r="BQ106" s="23">
        <f>EXP(-LN(2)/25)*BQ105+(1-EXP(-LN(2)/25))/(LN(2)/25)*Calculateur!BL106*Calculateur!BN106*VLOOKUP('Données projet'!$B$11,Paramètres!$A$1:$I$89,3,0)*0.475*44/12</f>
        <v>2.1716485117347859</v>
      </c>
      <c r="BR106" s="23">
        <f>EXP(-LN(2)/2)*BR105+(1-EXP(-LN(2)/2))/(LN(2)/2)*BL106*BO106*VLOOKUP('Données projet'!$B$11,Paramètres!$A$1:$I$89,3,0)*0.475*44/12</f>
        <v>6.5236663465048015E-11</v>
      </c>
      <c r="BS106" s="24">
        <f t="shared" si="63"/>
        <v>4.5293995348053873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5.6546153846153828</v>
      </c>
      <c r="BY106" s="13">
        <f>IF('Données projet'!$A$114&gt;35,BY105+BX106-CG105,IF(A106&lt;'Données projet'!$A$114,$BV$205^A106,IF(A106='Données projet'!$A$114,'Données projet'!$B$114,BY105+BX106-CG105)))</f>
        <v>222.16461538461584</v>
      </c>
      <c r="BZ106" s="14">
        <f>BY106*VLOOKUP('Données projet'!$B$12,Paramètres!$A$1:$I$89,3,0)*VLOOKUP('Données projet'!$B$12,Paramètres!$A$1:$I$89,5,0)</f>
        <v>103.97304000000021</v>
      </c>
      <c r="CA106" s="14">
        <f t="shared" si="93"/>
        <v>27.906362585271903</v>
      </c>
      <c r="CB106" s="22">
        <f t="shared" si="64"/>
        <v>229.68995950268229</v>
      </c>
      <c r="CC106" s="62">
        <f t="shared" si="65"/>
        <v>523.02329283601557</v>
      </c>
      <c r="CD106" s="62">
        <f ca="1">AVERAGE(OFFSET($CC$3,0,0,'Données projet'!$E$12+1,1))-AVERAGE(OFFSET($H$3,0,0,'Données projet'!$E$12+1,1))</f>
        <v>179.14256291235466</v>
      </c>
      <c r="CE106" s="62">
        <f t="shared" si="94"/>
        <v>107.5256983607585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-2.8421709430404007E-13</v>
      </c>
      <c r="CU106" s="18">
        <f>CT106*VLOOKUP('Données projet'!$B$13,Paramètres!$A$1:$I$89,3,0)*VLOOKUP('Données projet'!$B$13,Paramètres!$A$1:$I$89,5,0)</f>
        <v>-1.69961822393816E-13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237.03649693529445</v>
      </c>
      <c r="CZ106" s="62">
        <f t="shared" si="96"/>
        <v>191.04289411674887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5.4153651947115917E-11</v>
      </c>
      <c r="DI106" s="24">
        <f t="shared" si="69"/>
        <v>5.4153651947115917E-11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3.3200000000000016</v>
      </c>
      <c r="DO106" s="13">
        <f>IF('Données projet'!$A$166&gt;35,DO105+DN106-DW105,IF(A106&lt;'Données projet'!$A$166,$DL$205^A106,IF(A106='Données projet'!$A$166,'Données projet'!$B$166,DO105+DN106-DW105)))</f>
        <v>256.44000000000011</v>
      </c>
      <c r="DP106" s="18">
        <f>DO106*VLOOKUP('Données projet'!$B$14,Paramètres!$A$1:$I$89,3,0)*VLOOKUP('Données projet'!$B$14,Paramètres!$A$1:$I$89,5,0)</f>
        <v>295.41888000000012</v>
      </c>
      <c r="DQ106" s="14">
        <f t="shared" si="97"/>
        <v>70.215226346737552</v>
      </c>
      <c r="DR106" s="22">
        <f t="shared" si="70"/>
        <v>636.81273522056802</v>
      </c>
      <c r="DS106" s="62">
        <f t="shared" si="71"/>
        <v>930.14606855390139</v>
      </c>
      <c r="DT106" s="62">
        <f ca="1">AVERAGE(OFFSET($DS$3,0,0,'Données projet'!$E$14+1,1))-AVERAGE(OFFSET($H$3,0,0,'Données projet'!$E$14+1,1))</f>
        <v>431.38469096974364</v>
      </c>
      <c r="DU106" s="62">
        <f t="shared" si="98"/>
        <v>295.48627059086647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0.12942209966829574</v>
      </c>
      <c r="EC106" s="23">
        <f>EXP(-LN(2)/2)*EC105+(1-EXP(-LN(2)/2))/(LN(2)/2)*DW106*DZ106*VLOOKUP('Données projet'!$B$14,Paramètres!$A$1:$I$89,3,0)*0.475*44/12</f>
        <v>3.949656907113265E-11</v>
      </c>
      <c r="ED106" s="24">
        <f t="shared" si="72"/>
        <v>0.12942209970779231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2.8</v>
      </c>
      <c r="EJ106" s="13">
        <f>IF('Données projet'!$A$192&gt;35,EJ105+EI106-ER105,IF(A106&lt;'Données projet'!$A$192,$EG$205^A106,IF(A106='Données projet'!$A$192,'Données projet'!$B$192,EJ105+EI106-ER105)))</f>
        <v>178.40000000000003</v>
      </c>
      <c r="EK106" s="18">
        <f>EJ106*VLOOKUP('Données projet'!$B$15,Paramètres!$A$1:$I$89,3,0)*VLOOKUP('Données projet'!$B$15,Paramètres!$A$1:$I$89,5,0)</f>
        <v>203.16192000000004</v>
      </c>
      <c r="EL106" s="14">
        <f t="shared" si="99"/>
        <v>50.43842638484039</v>
      </c>
      <c r="EM106" s="22">
        <f t="shared" si="73"/>
        <v>441.68726995359702</v>
      </c>
      <c r="EN106" s="62">
        <f t="shared" si="74"/>
        <v>735.02060328693028</v>
      </c>
      <c r="EO106" s="62">
        <f ca="1">AVERAGE(OFFSET($EN$3,0,0,'Données projet'!$E$15+1,1))-AVERAGE(OFFSET($H$3,0,0,'Données projet'!$E$15+1,1))</f>
        <v>220.03635832253951</v>
      </c>
      <c r="EP106" s="62">
        <f t="shared" si="100"/>
        <v>136.30639155882233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5.0999999999999996</v>
      </c>
      <c r="FE106" s="13">
        <f>IF('Données projet'!$A$218&gt;35,FE105+FD106-FM105,IF(A106&lt;'Données projet'!$A$218,$FB$205^A106,IF(A106='Données projet'!$A$218,'Données projet'!$B$218,FE105+FD106-FM105)))</f>
        <v>450.30000000000058</v>
      </c>
      <c r="FF106" s="18">
        <f>FE106*VLOOKUP('Données projet'!$B$16,Paramètres!$A$1:$I$89,3,0)*VLOOKUP('Données projet'!$B$16,Paramètres!$A$1:$I$89,5,0)</f>
        <v>470.65356000000065</v>
      </c>
      <c r="FG106" s="14">
        <f t="shared" si="101"/>
        <v>105.96220228985254</v>
      </c>
      <c r="FH106" s="22">
        <f t="shared" si="76"/>
        <v>1004.2724526548276</v>
      </c>
      <c r="FI106" s="62">
        <f t="shared" si="77"/>
        <v>1297.605785988161</v>
      </c>
      <c r="FJ106" s="62">
        <f ca="1">AVERAGE(OFFSET($FI$3,0,0,'Données projet'!$E$16+1,1))-AVERAGE(OFFSET($H$3,0,0,'Données projet'!$E$16+1,1))</f>
        <v>641.62708445664862</v>
      </c>
      <c r="FK106" s="62">
        <f t="shared" si="102"/>
        <v>379.46845863546929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2.2324489333074408E-10</v>
      </c>
      <c r="FT106" s="24">
        <f t="shared" si="78"/>
        <v>2.2324489333074408E-10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2.8</v>
      </c>
      <c r="FZ106" s="13">
        <f>IF('Données projet'!$A$244&gt;35,FZ105+FY106-GH105,IF(A106&lt;'Données projet'!$A$244,$FW$205^A106,IF(A106='Données projet'!$A$244,'Données projet'!$B$244,FZ105+FY106-GH105)))</f>
        <v>178.40000000000003</v>
      </c>
      <c r="GA106" s="18">
        <f>FZ106*VLOOKUP('Données projet'!$B$17,Paramètres!$A$1:$I$89,3,0)*VLOOKUP('Données projet'!$B$17,Paramètres!$A$1:$I$89,5,0)</f>
        <v>172.54848000000004</v>
      </c>
      <c r="GB106" s="14">
        <f t="shared" si="103"/>
        <v>43.6603030954305</v>
      </c>
      <c r="GC106" s="22">
        <f t="shared" si="79"/>
        <v>376.56363055787483</v>
      </c>
      <c r="GD106" s="62">
        <f t="shared" si="80"/>
        <v>669.89696389120809</v>
      </c>
      <c r="GE106" s="62">
        <f ca="1">AVERAGE(OFFSET($GD$3,0,0,'Données projet'!$E$17+1,1))-AVERAGE(OFFSET($H$3,0,0,'Données projet'!$E$17+1,1))</f>
        <v>181.39066880931728</v>
      </c>
      <c r="GF106" s="62">
        <f t="shared" si="104"/>
        <v>116.06078566855524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-1.7053025658242404E-13</v>
      </c>
      <c r="GV106" s="18">
        <f>GU106*VLOOKUP('Données projet'!$B$18,Paramètres!$A$1:$I$89,3,0)*VLOOKUP('Données projet'!$B$18,Paramètres!$A$1:$I$89,5,0)</f>
        <v>-1.4897523215040567E-13</v>
      </c>
      <c r="GW106" s="14" t="e">
        <f t="shared" si="105"/>
        <v>#NUM!</v>
      </c>
      <c r="GX106" s="22" t="e">
        <f t="shared" si="82"/>
        <v>#NUM!</v>
      </c>
      <c r="GY106" s="62" t="e">
        <f t="shared" si="83"/>
        <v>#NUM!</v>
      </c>
      <c r="GZ106" s="62">
        <f ca="1">AVERAGE(OFFSET($GY$3,0,0,'Données projet'!$E$18+1,1))-AVERAGE(OFFSET($H$3,0,0,'Données projet'!$E$18+1,1))</f>
        <v>152.84277478695606</v>
      </c>
      <c r="HA106" s="62">
        <f t="shared" si="106"/>
        <v>179.22995976651015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9">
        <f t="shared" si="56"/>
        <v>384.04620099248854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282.50039999999973</v>
      </c>
      <c r="P107" s="14">
        <f t="shared" si="87"/>
        <v>67.495141560894311</v>
      </c>
      <c r="Q107" s="22">
        <f t="shared" si="107"/>
        <v>609.57556821855712</v>
      </c>
      <c r="R107" s="62">
        <f t="shared" si="55"/>
        <v>902.90890155189049</v>
      </c>
      <c r="S107" s="62">
        <f ca="1">AVERAGE(OFFSET($R$3,0,0,'Données projet'!$E$9+1,1))-AVERAGE(OFFSET($H$3,0,0,'Données projet'!$E$9+1,1))</f>
        <v>383.26814640166805</v>
      </c>
      <c r="T107" s="62">
        <f t="shared" si="88"/>
        <v>233.71216103405249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2.8</v>
      </c>
      <c r="AI107" s="14">
        <f>IF('Données projet'!$A$62&gt;35,AI106+AH107-AQ106,IF(A107&lt;'Données projet'!$A$62,$AF$205^A107,IF(A107='Données projet'!$A$62,'Données projet'!$B$62,AI106+AH107-AQ106)))</f>
        <v>181.20000000000005</v>
      </c>
      <c r="AJ107" s="14">
        <f>AI107*VLOOKUP('Données projet'!$B$10,Paramètres!$A$1:$I$89,3,0)*VLOOKUP('Données projet'!$B$10,Paramètres!$A$1:$I$89,5,0)</f>
        <v>195.04368000000005</v>
      </c>
      <c r="AK107" s="14">
        <f t="shared" si="89"/>
        <v>48.653332909190283</v>
      </c>
      <c r="AL107" s="22">
        <f t="shared" si="58"/>
        <v>424.43896415017315</v>
      </c>
      <c r="AM107" s="62">
        <f t="shared" si="59"/>
        <v>717.77229748350646</v>
      </c>
      <c r="AN107" s="62">
        <f ca="1">AVERAGE(OFFSET($AM$3,0,0,'Données projet'!$E$10+1,1))-AVERAGE(OFFSET($H$3,0,0,'Données projet'!$E$10+1,1))</f>
        <v>205.99910063756408</v>
      </c>
      <c r="AO107" s="62">
        <f t="shared" si="90"/>
        <v>128.95330275493671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293.3333333333353</v>
      </c>
      <c r="BI107" s="62">
        <f ca="1">AVERAGE(OFFSET($BH$3,0,0,'Données projet'!$E$11+1,1))-AVERAGE(OFFSET($H$3,0,0,'Données projet'!$E$11+1,1))</f>
        <v>222.20580087523689</v>
      </c>
      <c r="BJ107" s="62">
        <f t="shared" si="92"/>
        <v>232.08940427392253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2.3115169635303543</v>
      </c>
      <c r="BQ107" s="23">
        <f>EXP(-LN(2)/25)*BQ106+(1-EXP(-LN(2)/25))/(LN(2)/25)*Calculateur!BL107*Calculateur!BN107*VLOOKUP('Données projet'!$B$11,Paramètres!$A$1:$I$89,3,0)*0.475*44/12</f>
        <v>2.1122646689793663</v>
      </c>
      <c r="BR107" s="23">
        <f>EXP(-LN(2)/2)*BR106+(1-EXP(-LN(2)/2))/(LN(2)/2)*BL107*BO107*VLOOKUP('Données projet'!$B$11,Paramètres!$A$1:$I$89,3,0)*0.475*44/12</f>
        <v>4.6129287118120146E-11</v>
      </c>
      <c r="BS107" s="24">
        <f t="shared" si="63"/>
        <v>4.4237816325558503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5.6546153846153828</v>
      </c>
      <c r="BY107" s="13">
        <f>IF('Données projet'!$A$114&gt;35,BY106+BX107-CG106,IF(A107&lt;'Données projet'!$A$114,$BV$205^A107,IF(A107='Données projet'!$A$114,'Données projet'!$B$114,BY106+BX107-CG106)))</f>
        <v>227.81923076923124</v>
      </c>
      <c r="BZ107" s="14">
        <f>BY107*VLOOKUP('Données projet'!$B$12,Paramètres!$A$1:$I$89,3,0)*VLOOKUP('Données projet'!$B$12,Paramètres!$A$1:$I$89,5,0)</f>
        <v>106.61940000000021</v>
      </c>
      <c r="CA107" s="14">
        <f t="shared" si="93"/>
        <v>28.533047633614832</v>
      </c>
      <c r="CB107" s="22">
        <f t="shared" si="64"/>
        <v>235.39051296187952</v>
      </c>
      <c r="CC107" s="62">
        <f t="shared" si="65"/>
        <v>528.72384629521287</v>
      </c>
      <c r="CD107" s="62">
        <f ca="1">AVERAGE(OFFSET($CC$3,0,0,'Données projet'!$E$12+1,1))-AVERAGE(OFFSET($H$3,0,0,'Données projet'!$E$12+1,1))</f>
        <v>179.14256291235466</v>
      </c>
      <c r="CE107" s="62">
        <f t="shared" si="94"/>
        <v>107.5256983607585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-2.8421709430404007E-13</v>
      </c>
      <c r="CU107" s="18">
        <f>CT107*VLOOKUP('Données projet'!$B$13,Paramètres!$A$1:$I$89,3,0)*VLOOKUP('Données projet'!$B$13,Paramètres!$A$1:$I$89,5,0)</f>
        <v>-1.69961822393816E-13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237.03649693529445</v>
      </c>
      <c r="CZ107" s="62">
        <f t="shared" si="96"/>
        <v>191.04289411674887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3.8292414517821747E-11</v>
      </c>
      <c r="DI107" s="24">
        <f t="shared" si="69"/>
        <v>3.8292414517821747E-11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3.3200000000000016</v>
      </c>
      <c r="DO107" s="13">
        <f>IF('Données projet'!$A$166&gt;35,DO106+DN107-DW106,IF(A107&lt;'Données projet'!$A$166,$DL$205^A107,IF(A107='Données projet'!$A$166,'Données projet'!$B$166,DO106+DN107-DW106)))</f>
        <v>259.7600000000001</v>
      </c>
      <c r="DP107" s="18">
        <f>DO107*VLOOKUP('Données projet'!$B$14,Paramètres!$A$1:$I$89,3,0)*VLOOKUP('Données projet'!$B$14,Paramètres!$A$1:$I$89,5,0)</f>
        <v>299.2435200000001</v>
      </c>
      <c r="DQ107" s="14">
        <f t="shared" si="97"/>
        <v>71.017852915292096</v>
      </c>
      <c r="DR107" s="22">
        <f t="shared" si="70"/>
        <v>644.8718911608006</v>
      </c>
      <c r="DS107" s="62">
        <f t="shared" si="71"/>
        <v>938.20522449413397</v>
      </c>
      <c r="DT107" s="62">
        <f ca="1">AVERAGE(OFFSET($DS$3,0,0,'Données projet'!$E$14+1,1))-AVERAGE(OFFSET($H$3,0,0,'Données projet'!$E$14+1,1))</f>
        <v>431.38469096974364</v>
      </c>
      <c r="DU107" s="62">
        <f t="shared" si="98"/>
        <v>295.48627059086647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0.12588304554685376</v>
      </c>
      <c r="EC107" s="23">
        <f>EXP(-LN(2)/2)*EC106+(1-EXP(-LN(2)/2))/(LN(2)/2)*DW107*DZ107*VLOOKUP('Données projet'!$B$14,Paramètres!$A$1:$I$89,3,0)*0.475*44/12</f>
        <v>2.7928291823800756E-11</v>
      </c>
      <c r="ED107" s="24">
        <f t="shared" si="72"/>
        <v>0.12588304557478205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2.8</v>
      </c>
      <c r="EJ107" s="13">
        <f>IF('Données projet'!$A$192&gt;35,EJ106+EI107-ER106,IF(A107&lt;'Données projet'!$A$192,$EG$205^A107,IF(A107='Données projet'!$A$192,'Données projet'!$B$192,EJ106+EI107-ER106)))</f>
        <v>181.20000000000005</v>
      </c>
      <c r="EK107" s="18">
        <f>EJ107*VLOOKUP('Données projet'!$B$15,Paramètres!$A$1:$I$89,3,0)*VLOOKUP('Données projet'!$B$15,Paramètres!$A$1:$I$89,5,0)</f>
        <v>206.35056000000006</v>
      </c>
      <c r="EL107" s="14">
        <f t="shared" si="99"/>
        <v>51.13727937609535</v>
      </c>
      <c r="EM107" s="22">
        <f t="shared" si="73"/>
        <v>448.45798691336608</v>
      </c>
      <c r="EN107" s="62">
        <f t="shared" si="74"/>
        <v>741.79132024669934</v>
      </c>
      <c r="EO107" s="62">
        <f ca="1">AVERAGE(OFFSET($EN$3,0,0,'Données projet'!$E$15+1,1))-AVERAGE(OFFSET($H$3,0,0,'Données projet'!$E$15+1,1))</f>
        <v>220.03635832253951</v>
      </c>
      <c r="EP107" s="62">
        <f t="shared" si="100"/>
        <v>136.30639155882233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5.0999999999999996</v>
      </c>
      <c r="FE107" s="13">
        <f>IF('Données projet'!$A$218&gt;35,FE106+FD107-FM106,IF(A107&lt;'Données projet'!$A$218,$FB$205^A107,IF(A107='Données projet'!$A$218,'Données projet'!$B$218,FE106+FD107-FM106)))</f>
        <v>455.4000000000006</v>
      </c>
      <c r="FF107" s="18">
        <f>FE107*VLOOKUP('Données projet'!$B$16,Paramètres!$A$1:$I$89,3,0)*VLOOKUP('Données projet'!$B$16,Paramètres!$A$1:$I$89,5,0)</f>
        <v>475.98408000000074</v>
      </c>
      <c r="FG107" s="14">
        <f t="shared" si="101"/>
        <v>107.02191891634529</v>
      </c>
      <c r="FH107" s="22">
        <f t="shared" si="76"/>
        <v>1015.4021147793027</v>
      </c>
      <c r="FI107" s="62">
        <f t="shared" si="77"/>
        <v>1308.735448112636</v>
      </c>
      <c r="FJ107" s="62">
        <f ca="1">AVERAGE(OFFSET($FI$3,0,0,'Données projet'!$E$16+1,1))-AVERAGE(OFFSET($H$3,0,0,'Données projet'!$E$16+1,1))</f>
        <v>641.62708445664862</v>
      </c>
      <c r="FK107" s="62">
        <f t="shared" si="102"/>
        <v>379.46845863546929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1.578579779394366E-10</v>
      </c>
      <c r="FT107" s="24">
        <f t="shared" si="78"/>
        <v>1.578579779394366E-10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2.8</v>
      </c>
      <c r="FZ107" s="13">
        <f>IF('Données projet'!$A$244&gt;35,FZ106+FY107-GH106,IF(A107&lt;'Données projet'!$A$244,$FW$205^A107,IF(A107='Données projet'!$A$244,'Données projet'!$B$244,FZ106+FY107-GH106)))</f>
        <v>181.20000000000005</v>
      </c>
      <c r="GA107" s="18">
        <f>FZ107*VLOOKUP('Données projet'!$B$17,Paramètres!$A$1:$I$89,3,0)*VLOOKUP('Données projet'!$B$17,Paramètres!$A$1:$I$89,5,0)</f>
        <v>175.25664000000003</v>
      </c>
      <c r="GB107" s="14">
        <f t="shared" si="103"/>
        <v>44.265241345972555</v>
      </c>
      <c r="GC107" s="22">
        <f t="shared" si="79"/>
        <v>382.33394334423559</v>
      </c>
      <c r="GD107" s="62">
        <f t="shared" si="80"/>
        <v>675.66727667756891</v>
      </c>
      <c r="GE107" s="62">
        <f ca="1">AVERAGE(OFFSET($GD$3,0,0,'Données projet'!$E$17+1,1))-AVERAGE(OFFSET($H$3,0,0,'Données projet'!$E$17+1,1))</f>
        <v>181.39066880931728</v>
      </c>
      <c r="GF107" s="62">
        <f t="shared" si="104"/>
        <v>116.06078566855524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-1.7053025658242404E-13</v>
      </c>
      <c r="GV107" s="18">
        <f>GU107*VLOOKUP('Données projet'!$B$18,Paramètres!$A$1:$I$89,3,0)*VLOOKUP('Données projet'!$B$18,Paramètres!$A$1:$I$89,5,0)</f>
        <v>-1.4897523215040567E-13</v>
      </c>
      <c r="GW107" s="14" t="e">
        <f t="shared" si="105"/>
        <v>#NUM!</v>
      </c>
      <c r="GX107" s="22" t="e">
        <f t="shared" si="82"/>
        <v>#NUM!</v>
      </c>
      <c r="GY107" s="62" t="e">
        <f t="shared" si="83"/>
        <v>#NUM!</v>
      </c>
      <c r="GZ107" s="62">
        <f ca="1">AVERAGE(OFFSET($GY$3,0,0,'Données projet'!$E$18+1,1))-AVERAGE(OFFSET($H$3,0,0,'Données projet'!$E$18+1,1))</f>
        <v>152.84277478695606</v>
      </c>
      <c r="HA107" s="62">
        <f t="shared" si="106"/>
        <v>179.22995976651015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9">
        <f t="shared" si="56"/>
        <v>385.23899276117606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286.9619999999997</v>
      </c>
      <c r="P108" s="14">
        <f t="shared" si="87"/>
        <v>68.436169981717796</v>
      </c>
      <c r="Q108" s="22">
        <f t="shared" si="107"/>
        <v>618.98514605149137</v>
      </c>
      <c r="R108" s="62">
        <f t="shared" si="55"/>
        <v>912.31847938482474</v>
      </c>
      <c r="S108" s="62">
        <f ca="1">AVERAGE(OFFSET($R$3,0,0,'Données projet'!$E$9+1,1))-AVERAGE(OFFSET($H$3,0,0,'Données projet'!$E$9+1,1))</f>
        <v>383.26814640166805</v>
      </c>
      <c r="T108" s="62">
        <f t="shared" si="88"/>
        <v>233.71216103405249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184</v>
      </c>
      <c r="AG108" s="13">
        <f>VLOOKUP(A108,'Données projet'!$A$61:$I$81,9,0)</f>
        <v>2.8</v>
      </c>
      <c r="AH108" s="13">
        <f t="array" ref="AH108">INDEX(AG:AG,MIN(IF(ISNUMBER(AG108:AG304),ROW(AG108:AG304),"")))</f>
        <v>2.8</v>
      </c>
      <c r="AI108" s="14">
        <f>IF('Données projet'!$A$62&gt;35,AI107+AH108-AQ107,IF(A108&lt;'Données projet'!$A$62,$AF$205^A108,IF(A108='Données projet'!$A$62,'Données projet'!$B$62,AI107+AH108-AQ107)))</f>
        <v>184.00000000000006</v>
      </c>
      <c r="AJ108" s="14">
        <f>AI108*VLOOKUP('Données projet'!$B$10,Paramètres!$A$1:$I$89,3,0)*VLOOKUP('Données projet'!$B$10,Paramètres!$A$1:$I$89,5,0)</f>
        <v>198.05760000000006</v>
      </c>
      <c r="AK108" s="14">
        <f t="shared" si="89"/>
        <v>49.317044830035982</v>
      </c>
      <c r="AL108" s="22">
        <f t="shared" si="58"/>
        <v>430.8441730789794</v>
      </c>
      <c r="AM108" s="62">
        <f t="shared" si="59"/>
        <v>724.17750641231271</v>
      </c>
      <c r="AN108" s="62">
        <f ca="1">AVERAGE(OFFSET($AM$3,0,0,'Données projet'!$E$10+1,1))-AVERAGE(OFFSET($H$3,0,0,'Données projet'!$E$10+1,1))</f>
        <v>205.99910063756408</v>
      </c>
      <c r="AO108" s="62">
        <f t="shared" si="90"/>
        <v>128.95330275493671</v>
      </c>
      <c r="AP108" s="16">
        <f>IF(ISNA(VLOOKUP(A108,'Données projet'!$A$61:$I$81,3,0)),0,VLOOKUP(A108,'Données projet'!$A$61:$I$81,3,0))</f>
        <v>8</v>
      </c>
      <c r="AQ108" s="16">
        <f>IF(ISNA(VLOOKUP(A108,'Données projet'!$A$61:$I$81,4,0)),0,VLOOKUP(A108,'Données projet'!$A$61:$I$81,4,0))</f>
        <v>18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293.3333333333353</v>
      </c>
      <c r="BI108" s="62">
        <f ca="1">AVERAGE(OFFSET($BH$3,0,0,'Données projet'!$E$11+1,1))-AVERAGE(OFFSET($H$3,0,0,'Données projet'!$E$11+1,1))</f>
        <v>222.20580087523689</v>
      </c>
      <c r="BJ108" s="62">
        <f t="shared" si="92"/>
        <v>232.08940427392253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2.2661895257616571</v>
      </c>
      <c r="BQ108" s="23">
        <f>EXP(-LN(2)/25)*BQ107+(1-EXP(-LN(2)/25))/(LN(2)/25)*Calculateur!BL108*Calculateur!BN108*VLOOKUP('Données projet'!$B$11,Paramètres!$A$1:$I$89,3,0)*0.475*44/12</f>
        <v>2.054504680526954</v>
      </c>
      <c r="BR108" s="23">
        <f>EXP(-LN(2)/2)*BR107+(1-EXP(-LN(2)/2))/(LN(2)/2)*BL108*BO108*VLOOKUP('Données projet'!$B$11,Paramètres!$A$1:$I$89,3,0)*0.475*44/12</f>
        <v>3.2618331732524008E-11</v>
      </c>
      <c r="BS108" s="24">
        <f t="shared" si="63"/>
        <v>4.320694206321229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5.6546153846153828</v>
      </c>
      <c r="BY108" s="13">
        <f>IF('Données projet'!$A$114&gt;35,BY107+BX108-CG107,IF(A108&lt;'Données projet'!$A$114,$BV$205^A108,IF(A108='Données projet'!$A$114,'Données projet'!$B$114,BY107+BX108-CG107)))</f>
        <v>233.47384615384664</v>
      </c>
      <c r="BZ108" s="14">
        <f>BY108*VLOOKUP('Données projet'!$B$12,Paramètres!$A$1:$I$89,3,0)*VLOOKUP('Données projet'!$B$12,Paramètres!$A$1:$I$89,5,0)</f>
        <v>109.26576000000023</v>
      </c>
      <c r="CA108" s="14">
        <f t="shared" si="93"/>
        <v>29.15792453003198</v>
      </c>
      <c r="CB108" s="22">
        <f t="shared" si="64"/>
        <v>241.08791722313939</v>
      </c>
      <c r="CC108" s="62">
        <f t="shared" si="65"/>
        <v>534.42125055647273</v>
      </c>
      <c r="CD108" s="62">
        <f ca="1">AVERAGE(OFFSET($CC$3,0,0,'Données projet'!$E$12+1,1))-AVERAGE(OFFSET($H$3,0,0,'Données projet'!$E$12+1,1))</f>
        <v>179.14256291235466</v>
      </c>
      <c r="CE108" s="62">
        <f t="shared" si="94"/>
        <v>107.5256983607585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-2.8421709430404007E-13</v>
      </c>
      <c r="CU108" s="18">
        <f>CT108*VLOOKUP('Données projet'!$B$13,Paramètres!$A$1:$I$89,3,0)*VLOOKUP('Données projet'!$B$13,Paramètres!$A$1:$I$89,5,0)</f>
        <v>-1.69961822393816E-13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237.03649693529445</v>
      </c>
      <c r="CZ108" s="62">
        <f t="shared" si="96"/>
        <v>191.04289411674887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2.7076825973557958E-11</v>
      </c>
      <c r="DI108" s="24">
        <f t="shared" si="69"/>
        <v>2.7076825973557958E-11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3.3200000000000016</v>
      </c>
      <c r="DO108" s="13">
        <f>IF('Données projet'!$A$166&gt;35,DO107+DN108-DW107,IF(A108&lt;'Données projet'!$A$166,$DL$205^A108,IF(A108='Données projet'!$A$166,'Données projet'!$B$166,DO107+DN108-DW107)))</f>
        <v>263.0800000000001</v>
      </c>
      <c r="DP108" s="18">
        <f>DO108*VLOOKUP('Données projet'!$B$14,Paramètres!$A$1:$I$89,3,0)*VLOOKUP('Données projet'!$B$14,Paramètres!$A$1:$I$89,5,0)</f>
        <v>303.06816000000009</v>
      </c>
      <c r="DQ108" s="14">
        <f t="shared" si="97"/>
        <v>71.81928626031052</v>
      </c>
      <c r="DR108" s="22">
        <f t="shared" si="70"/>
        <v>652.92896890337431</v>
      </c>
      <c r="DS108" s="62">
        <f t="shared" si="71"/>
        <v>946.26230223670768</v>
      </c>
      <c r="DT108" s="62">
        <f ca="1">AVERAGE(OFFSET($DS$3,0,0,'Données projet'!$E$14+1,1))-AVERAGE(OFFSET($H$3,0,0,'Données projet'!$E$14+1,1))</f>
        <v>431.38469096974364</v>
      </c>
      <c r="DU108" s="62">
        <f t="shared" si="98"/>
        <v>295.48627059086647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0.12244076704647339</v>
      </c>
      <c r="EC108" s="23">
        <f>EXP(-LN(2)/2)*EC107+(1-EXP(-LN(2)/2))/(LN(2)/2)*DW108*DZ108*VLOOKUP('Données projet'!$B$14,Paramètres!$A$1:$I$89,3,0)*0.475*44/12</f>
        <v>1.9748284535566325E-11</v>
      </c>
      <c r="ED108" s="24">
        <f t="shared" si="72"/>
        <v>0.12244076706622167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184</v>
      </c>
      <c r="EH108" s="13">
        <f>VLOOKUP(A108,'Données projet'!$A$191:$I$211,9,0)</f>
        <v>2.8</v>
      </c>
      <c r="EI108" s="13">
        <f t="array" ref="EI108">INDEX(EH:EH,MIN(IF(ISNUMBER(EH108:EH304),ROW(EH108:EH304),"")))</f>
        <v>2.8</v>
      </c>
      <c r="EJ108" s="13">
        <f>IF('Données projet'!$A$192&gt;35,EJ107+EI108-ER107,IF(A108&lt;'Données projet'!$A$192,$EG$205^A108,IF(A108='Données projet'!$A$192,'Données projet'!$B$192,EJ107+EI108-ER107)))</f>
        <v>184.00000000000006</v>
      </c>
      <c r="EK108" s="18">
        <f>EJ108*VLOOKUP('Données projet'!$B$15,Paramètres!$A$1:$I$89,3,0)*VLOOKUP('Données projet'!$B$15,Paramètres!$A$1:$I$89,5,0)</f>
        <v>209.53920000000008</v>
      </c>
      <c r="EL108" s="14">
        <f t="shared" si="99"/>
        <v>51.83487643455139</v>
      </c>
      <c r="EM108" s="22">
        <f t="shared" si="73"/>
        <v>455.22651645684374</v>
      </c>
      <c r="EN108" s="62">
        <f t="shared" si="74"/>
        <v>748.55984979017705</v>
      </c>
      <c r="EO108" s="62">
        <f ca="1">AVERAGE(OFFSET($EN$3,0,0,'Données projet'!$E$15+1,1))-AVERAGE(OFFSET($H$3,0,0,'Données projet'!$E$15+1,1))</f>
        <v>220.03635832253951</v>
      </c>
      <c r="EP108" s="62">
        <f t="shared" si="100"/>
        <v>136.30639155882233</v>
      </c>
      <c r="EQ108" s="16">
        <f>IF(ISNA(VLOOKUP(A108,'Données projet'!$A$191:$I$211,3,0)),0,VLOOKUP(A108,'Données projet'!$A$191:$I$211,3,0))</f>
        <v>8</v>
      </c>
      <c r="ER108" s="16">
        <f>IF(ISNA(VLOOKUP(A108,'Données projet'!$A$191:$I$211,4,0)),0,VLOOKUP(A108,'Données projet'!$A$191:$I$211,4,0))</f>
        <v>18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5.0999999999999996</v>
      </c>
      <c r="FE108" s="13">
        <f>IF('Données projet'!$A$218&gt;35,FE107+FD108-FM107,IF(A108&lt;'Données projet'!$A$218,$FB$205^A108,IF(A108='Données projet'!$A$218,'Données projet'!$B$218,FE107+FD108-FM107)))</f>
        <v>460.50000000000063</v>
      </c>
      <c r="FF108" s="18">
        <f>FE108*VLOOKUP('Données projet'!$B$16,Paramètres!$A$1:$I$89,3,0)*VLOOKUP('Données projet'!$B$16,Paramètres!$A$1:$I$89,5,0)</f>
        <v>481.31460000000067</v>
      </c>
      <c r="FG108" s="14">
        <f t="shared" si="101"/>
        <v>108.08025501094008</v>
      </c>
      <c r="FH108" s="22">
        <f t="shared" si="76"/>
        <v>1026.5293724773885</v>
      </c>
      <c r="FI108" s="62">
        <f t="shared" si="77"/>
        <v>1319.8627058107218</v>
      </c>
      <c r="FJ108" s="62">
        <f ca="1">AVERAGE(OFFSET($FI$3,0,0,'Données projet'!$E$16+1,1))-AVERAGE(OFFSET($H$3,0,0,'Données projet'!$E$16+1,1))</f>
        <v>641.62708445664862</v>
      </c>
      <c r="FK108" s="62">
        <f t="shared" si="102"/>
        <v>379.46845863546929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1.1162244666537204E-10</v>
      </c>
      <c r="FT108" s="24">
        <f t="shared" si="78"/>
        <v>1.1162244666537204E-10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184</v>
      </c>
      <c r="FX108" s="13">
        <f>VLOOKUP(A108,'Données projet'!$A$243:$I$263,9,0)</f>
        <v>2.8</v>
      </c>
      <c r="FY108" s="13">
        <f t="array" ref="FY108">INDEX(FX:FX,MIN(IF(ISNUMBER(FX108:FX304),ROW(FX108:FX304),"")))</f>
        <v>2.8</v>
      </c>
      <c r="FZ108" s="13">
        <f>IF('Données projet'!$A$244&gt;35,FZ107+FY108-GH107,IF(A108&lt;'Données projet'!$A$244,$FW$205^A108,IF(A108='Données projet'!$A$244,'Données projet'!$B$244,FZ107+FY108-GH107)))</f>
        <v>184.00000000000006</v>
      </c>
      <c r="GA108" s="18">
        <f>FZ108*VLOOKUP('Données projet'!$B$17,Paramètres!$A$1:$I$89,3,0)*VLOOKUP('Données projet'!$B$17,Paramètres!$A$1:$I$89,5,0)</f>
        <v>177.96480000000008</v>
      </c>
      <c r="GB108" s="14">
        <f t="shared" si="103"/>
        <v>44.869092441133326</v>
      </c>
      <c r="GC108" s="22">
        <f t="shared" si="79"/>
        <v>388.10236266830731</v>
      </c>
      <c r="GD108" s="62">
        <f t="shared" si="80"/>
        <v>681.43569600164062</v>
      </c>
      <c r="GE108" s="62">
        <f ca="1">AVERAGE(OFFSET($GD$3,0,0,'Données projet'!$E$17+1,1))-AVERAGE(OFFSET($H$3,0,0,'Données projet'!$E$17+1,1))</f>
        <v>181.39066880931728</v>
      </c>
      <c r="GF108" s="62">
        <f t="shared" si="104"/>
        <v>116.06078566855524</v>
      </c>
      <c r="GG108" s="16">
        <f>IF(ISNA(VLOOKUP(A108,'Données projet'!$A$243:$I$263,3,0)),0,VLOOKUP(A108,'Données projet'!$A$243:$I$263,3,0))</f>
        <v>8</v>
      </c>
      <c r="GH108" s="16">
        <f>IF(ISNA(VLOOKUP(A108,'Données projet'!$A$243:$I$263,4,0)),0,VLOOKUP(A108,'Données projet'!$A$243:$I$263,4,0))</f>
        <v>18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-1.7053025658242404E-13</v>
      </c>
      <c r="GV108" s="18">
        <f>GU108*VLOOKUP('Données projet'!$B$18,Paramètres!$A$1:$I$89,3,0)*VLOOKUP('Données projet'!$B$18,Paramètres!$A$1:$I$89,5,0)</f>
        <v>-1.4897523215040567E-13</v>
      </c>
      <c r="GW108" s="14" t="e">
        <f t="shared" si="105"/>
        <v>#NUM!</v>
      </c>
      <c r="GX108" s="22" t="e">
        <f t="shared" si="82"/>
        <v>#NUM!</v>
      </c>
      <c r="GY108" s="62" t="e">
        <f t="shared" si="83"/>
        <v>#NUM!</v>
      </c>
      <c r="GZ108" s="62">
        <f ca="1">AVERAGE(OFFSET($GY$3,0,0,'Données projet'!$E$18+1,1))-AVERAGE(OFFSET($H$3,0,0,'Données projet'!$E$18+1,1))</f>
        <v>152.84277478695606</v>
      </c>
      <c r="HA108" s="62">
        <f t="shared" si="106"/>
        <v>179.22995976651015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9">
        <f t="shared" si="56"/>
        <v>386.43151657525294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291.42359999999968</v>
      </c>
      <c r="P109" s="14">
        <f t="shared" si="87"/>
        <v>69.375496841482104</v>
      </c>
      <c r="Q109" s="22">
        <f t="shared" si="107"/>
        <v>628.39176033224737</v>
      </c>
      <c r="R109" s="62">
        <f t="shared" si="55"/>
        <v>921.72509366558074</v>
      </c>
      <c r="S109" s="62">
        <f ca="1">AVERAGE(OFFSET($R$3,0,0,'Données projet'!$E$9+1,1))-AVERAGE(OFFSET($H$3,0,0,'Données projet'!$E$9+1,1))</f>
        <v>383.26814640166805</v>
      </c>
      <c r="T109" s="62">
        <f t="shared" si="88"/>
        <v>233.71216103405249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169.00000000000006</v>
      </c>
      <c r="AJ109" s="14">
        <f>AI109*VLOOKUP('Données projet'!$B$10,Paramètres!$A$1:$I$89,3,0)*VLOOKUP('Données projet'!$B$10,Paramètres!$A$1:$I$89,5,0)</f>
        <v>181.91160000000005</v>
      </c>
      <c r="AK109" s="14">
        <f t="shared" si="89"/>
        <v>45.747220111978386</v>
      </c>
      <c r="AL109" s="22">
        <f t="shared" si="58"/>
        <v>396.50577836169577</v>
      </c>
      <c r="AM109" s="62">
        <f t="shared" si="59"/>
        <v>689.83911169502903</v>
      </c>
      <c r="AN109" s="62">
        <f ca="1">AVERAGE(OFFSET($AM$3,0,0,'Données projet'!$E$10+1,1))-AVERAGE(OFFSET($H$3,0,0,'Données projet'!$E$10+1,1))</f>
        <v>205.99910063756408</v>
      </c>
      <c r="AO109" s="62">
        <f t="shared" si="90"/>
        <v>128.95330275493671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293.3333333333353</v>
      </c>
      <c r="BI109" s="62">
        <f ca="1">AVERAGE(OFFSET($BH$3,0,0,'Données projet'!$E$11+1,1))-AVERAGE(OFFSET($H$3,0,0,'Données projet'!$E$11+1,1))</f>
        <v>222.20580087523689</v>
      </c>
      <c r="BJ109" s="62">
        <f t="shared" si="92"/>
        <v>232.08940427392253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2.2217509314005968</v>
      </c>
      <c r="BQ109" s="23">
        <f>EXP(-LN(2)/25)*BQ108+(1-EXP(-LN(2)/25))/(LN(2)/25)*Calculateur!BL109*Calculateur!BN109*VLOOKUP('Données projet'!$B$11,Paramètres!$A$1:$I$89,3,0)*0.475*44/12</f>
        <v>1.998324141996239</v>
      </c>
      <c r="BR109" s="23">
        <f>EXP(-LN(2)/2)*BR108+(1-EXP(-LN(2)/2))/(LN(2)/2)*BL109*BO109*VLOOKUP('Données projet'!$B$11,Paramètres!$A$1:$I$89,3,0)*0.475*44/12</f>
        <v>2.3064643559060073E-11</v>
      </c>
      <c r="BS109" s="24">
        <f t="shared" si="63"/>
        <v>4.2200750734199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5.6546153846153828</v>
      </c>
      <c r="BY109" s="13">
        <f>IF('Données projet'!$A$114&gt;35,BY108+BX109-CG108,IF(A109&lt;'Données projet'!$A$114,$BV$205^A109,IF(A109='Données projet'!$A$114,'Données projet'!$B$114,BY108+BX109-CG108)))</f>
        <v>239.12846153846203</v>
      </c>
      <c r="BZ109" s="14">
        <f>BY109*VLOOKUP('Données projet'!$B$12,Paramètres!$A$1:$I$89,3,0)*VLOOKUP('Données projet'!$B$12,Paramètres!$A$1:$I$89,5,0)</f>
        <v>111.91212000000023</v>
      </c>
      <c r="CA109" s="14">
        <f t="shared" si="93"/>
        <v>29.781042105276512</v>
      </c>
      <c r="CB109" s="22">
        <f t="shared" si="64"/>
        <v>246.78225733335694</v>
      </c>
      <c r="CC109" s="62">
        <f t="shared" si="65"/>
        <v>540.1155906666902</v>
      </c>
      <c r="CD109" s="62">
        <f ca="1">AVERAGE(OFFSET($CC$3,0,0,'Données projet'!$E$12+1,1))-AVERAGE(OFFSET($H$3,0,0,'Données projet'!$E$12+1,1))</f>
        <v>179.14256291235466</v>
      </c>
      <c r="CE109" s="62">
        <f t="shared" si="94"/>
        <v>107.5256983607585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-2.8421709430404007E-13</v>
      </c>
      <c r="CU109" s="18">
        <f>CT109*VLOOKUP('Données projet'!$B$13,Paramètres!$A$1:$I$89,3,0)*VLOOKUP('Données projet'!$B$13,Paramètres!$A$1:$I$89,5,0)</f>
        <v>-1.69961822393816E-13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237.03649693529445</v>
      </c>
      <c r="CZ109" s="62">
        <f t="shared" si="96"/>
        <v>191.04289411674887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1.9146207258910874E-11</v>
      </c>
      <c r="DI109" s="24">
        <f t="shared" si="69"/>
        <v>1.9146207258910874E-11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3.3200000000000016</v>
      </c>
      <c r="DO109" s="13">
        <f>IF('Données projet'!$A$166&gt;35,DO108+DN109-DW108,IF(A109&lt;'Données projet'!$A$166,$DL$205^A109,IF(A109='Données projet'!$A$166,'Données projet'!$B$166,DO108+DN109-DW108)))</f>
        <v>266.40000000000009</v>
      </c>
      <c r="DP109" s="18">
        <f>DO109*VLOOKUP('Données projet'!$B$14,Paramètres!$A$1:$I$89,3,0)*VLOOKUP('Données projet'!$B$14,Paramètres!$A$1:$I$89,5,0)</f>
        <v>306.89280000000008</v>
      </c>
      <c r="DQ109" s="14">
        <f t="shared" si="97"/>
        <v>72.619543181284442</v>
      </c>
      <c r="DR109" s="22">
        <f t="shared" si="70"/>
        <v>660.98399770740377</v>
      </c>
      <c r="DS109" s="62">
        <f t="shared" si="71"/>
        <v>954.31733104073714</v>
      </c>
      <c r="DT109" s="62">
        <f ca="1">AVERAGE(OFFSET($DS$3,0,0,'Données projet'!$E$14+1,1))-AVERAGE(OFFSET($H$3,0,0,'Données projet'!$E$14+1,1))</f>
        <v>431.38469096974364</v>
      </c>
      <c r="DU109" s="62">
        <f t="shared" si="98"/>
        <v>295.48627059086647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0.11909261783270747</v>
      </c>
      <c r="EC109" s="23">
        <f>EXP(-LN(2)/2)*EC108+(1-EXP(-LN(2)/2))/(LN(2)/2)*DW109*DZ109*VLOOKUP('Données projet'!$B$14,Paramètres!$A$1:$I$89,3,0)*0.475*44/12</f>
        <v>1.3964145911900378E-11</v>
      </c>
      <c r="ED109" s="24">
        <f t="shared" si="72"/>
        <v>0.11909261784667162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</v>
      </c>
      <c r="EJ109" s="13">
        <f>IF('Données projet'!$A$192&gt;35,EJ108+EI109-ER108,IF(A109&lt;'Données projet'!$A$192,$EG$205^A109,IF(A109='Données projet'!$A$192,'Données projet'!$B$192,EJ108+EI109-ER108)))</f>
        <v>169.00000000000006</v>
      </c>
      <c r="EK109" s="18">
        <f>EJ109*VLOOKUP('Données projet'!$B$15,Paramètres!$A$1:$I$89,3,0)*VLOOKUP('Données projet'!$B$15,Paramètres!$A$1:$I$89,5,0)</f>
        <v>192.45720000000006</v>
      </c>
      <c r="EL109" s="14">
        <f t="shared" si="99"/>
        <v>48.082797943408153</v>
      </c>
      <c r="EM109" s="22">
        <f t="shared" si="73"/>
        <v>418.94049641810261</v>
      </c>
      <c r="EN109" s="62">
        <f t="shared" si="74"/>
        <v>712.27382975143587</v>
      </c>
      <c r="EO109" s="62">
        <f ca="1">AVERAGE(OFFSET($EN$3,0,0,'Données projet'!$E$15+1,1))-AVERAGE(OFFSET($H$3,0,0,'Données projet'!$E$15+1,1))</f>
        <v>220.03635832253951</v>
      </c>
      <c r="EP109" s="62">
        <f t="shared" si="100"/>
        <v>136.30639155882233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5.0999999999999996</v>
      </c>
      <c r="FE109" s="13">
        <f>IF('Données projet'!$A$218&gt;35,FE108+FD109-FM108,IF(A109&lt;'Données projet'!$A$218,$FB$205^A109,IF(A109='Données projet'!$A$218,'Données projet'!$B$218,FE108+FD109-FM108)))</f>
        <v>465.60000000000065</v>
      </c>
      <c r="FF109" s="18">
        <f>FE109*VLOOKUP('Données projet'!$B$16,Paramètres!$A$1:$I$89,3,0)*VLOOKUP('Données projet'!$B$16,Paramètres!$A$1:$I$89,5,0)</f>
        <v>486.6451200000007</v>
      </c>
      <c r="FG109" s="14">
        <f t="shared" si="101"/>
        <v>109.13722763229086</v>
      </c>
      <c r="FH109" s="22">
        <f t="shared" si="76"/>
        <v>1037.6542554595746</v>
      </c>
      <c r="FI109" s="62">
        <f t="shared" si="77"/>
        <v>1330.9875887929079</v>
      </c>
      <c r="FJ109" s="62">
        <f ca="1">AVERAGE(OFFSET($FI$3,0,0,'Données projet'!$E$16+1,1))-AVERAGE(OFFSET($H$3,0,0,'Données projet'!$E$16+1,1))</f>
        <v>641.62708445664862</v>
      </c>
      <c r="FK109" s="62">
        <f t="shared" si="102"/>
        <v>379.46845863546929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7.8928988969718298E-11</v>
      </c>
      <c r="FT109" s="24">
        <f t="shared" si="78"/>
        <v>7.8928988969718298E-11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3</v>
      </c>
      <c r="FZ109" s="13">
        <f>IF('Données projet'!$A$244&gt;35,FZ108+FY109-GH108,IF(A109&lt;'Données projet'!$A$244,$FW$205^A109,IF(A109='Données projet'!$A$244,'Données projet'!$B$244,FZ108+FY109-GH108)))</f>
        <v>169.00000000000006</v>
      </c>
      <c r="GA109" s="18">
        <f>FZ109*VLOOKUP('Données projet'!$B$17,Paramètres!$A$1:$I$89,3,0)*VLOOKUP('Données projet'!$B$17,Paramètres!$A$1:$I$89,5,0)</f>
        <v>163.45680000000004</v>
      </c>
      <c r="GB109" s="14">
        <f t="shared" si="103"/>
        <v>41.621233697261097</v>
      </c>
      <c r="GC109" s="22">
        <f t="shared" si="79"/>
        <v>357.17757535606319</v>
      </c>
      <c r="GD109" s="62">
        <f t="shared" si="80"/>
        <v>650.5109086893965</v>
      </c>
      <c r="GE109" s="62">
        <f ca="1">AVERAGE(OFFSET($GD$3,0,0,'Données projet'!$E$17+1,1))-AVERAGE(OFFSET($H$3,0,0,'Données projet'!$E$17+1,1))</f>
        <v>181.39066880931728</v>
      </c>
      <c r="GF109" s="62">
        <f t="shared" si="104"/>
        <v>116.06078566855524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-1.7053025658242404E-13</v>
      </c>
      <c r="GV109" s="18">
        <f>GU109*VLOOKUP('Données projet'!$B$18,Paramètres!$A$1:$I$89,3,0)*VLOOKUP('Données projet'!$B$18,Paramètres!$A$1:$I$89,5,0)</f>
        <v>-1.4897523215040567E-13</v>
      </c>
      <c r="GW109" s="14" t="e">
        <f t="shared" si="105"/>
        <v>#NUM!</v>
      </c>
      <c r="GX109" s="22" t="e">
        <f t="shared" si="82"/>
        <v>#NUM!</v>
      </c>
      <c r="GY109" s="62" t="e">
        <f t="shared" si="83"/>
        <v>#NUM!</v>
      </c>
      <c r="GZ109" s="62">
        <f ca="1">AVERAGE(OFFSET($GY$3,0,0,'Données projet'!$E$18+1,1))-AVERAGE(OFFSET($H$3,0,0,'Données projet'!$E$18+1,1))</f>
        <v>152.84277478695606</v>
      </c>
      <c r="HA109" s="62">
        <f t="shared" si="106"/>
        <v>179.22995976651015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9">
        <f t="shared" si="56"/>
        <v>387.62377525537238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295.88519999999966</v>
      </c>
      <c r="P110" s="14">
        <f t="shared" si="87"/>
        <v>70.313151199178748</v>
      </c>
      <c r="Q110" s="22">
        <f t="shared" si="107"/>
        <v>637.79546167190244</v>
      </c>
      <c r="R110" s="62">
        <f t="shared" si="55"/>
        <v>931.12879500523582</v>
      </c>
      <c r="S110" s="62">
        <f ca="1">AVERAGE(OFFSET($R$3,0,0,'Données projet'!$E$9+1,1))-AVERAGE(OFFSET($H$3,0,0,'Données projet'!$E$9+1,1))</f>
        <v>383.26814640166805</v>
      </c>
      <c r="T110" s="62">
        <f t="shared" si="88"/>
        <v>233.71216103405249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172.00000000000006</v>
      </c>
      <c r="AJ110" s="14">
        <f>AI110*VLOOKUP('Données projet'!$B$10,Paramètres!$A$1:$I$89,3,0)*VLOOKUP('Données projet'!$B$10,Paramètres!$A$1:$I$89,5,0)</f>
        <v>185.14080000000007</v>
      </c>
      <c r="AK110" s="14">
        <f t="shared" si="89"/>
        <v>46.464038253813506</v>
      </c>
      <c r="AL110" s="22">
        <f t="shared" si="58"/>
        <v>403.37842662539197</v>
      </c>
      <c r="AM110" s="62">
        <f t="shared" si="59"/>
        <v>696.71175995872522</v>
      </c>
      <c r="AN110" s="62">
        <f ca="1">AVERAGE(OFFSET($AM$3,0,0,'Données projet'!$E$10+1,1))-AVERAGE(OFFSET($H$3,0,0,'Données projet'!$E$10+1,1))</f>
        <v>205.99910063756408</v>
      </c>
      <c r="AO110" s="62">
        <f t="shared" si="90"/>
        <v>128.95330275493671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293.3333333333353</v>
      </c>
      <c r="BI110" s="62">
        <f ca="1">AVERAGE(OFFSET($BH$3,0,0,'Données projet'!$E$11+1,1))-AVERAGE(OFFSET($H$3,0,0,'Données projet'!$E$11+1,1))</f>
        <v>222.20580087523689</v>
      </c>
      <c r="BJ110" s="62">
        <f t="shared" si="92"/>
        <v>232.08940427392253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2.1781837507700907</v>
      </c>
      <c r="BQ110" s="23">
        <f>EXP(-LN(2)/25)*BQ109+(1-EXP(-LN(2)/25))/(LN(2)/25)*Calculateur!BL110*Calculateur!BN110*VLOOKUP('Données projet'!$B$11,Paramètres!$A$1:$I$89,3,0)*0.475*44/12</f>
        <v>1.9436798632460524</v>
      </c>
      <c r="BR110" s="23">
        <f>EXP(-LN(2)/2)*BR109+(1-EXP(-LN(2)/2))/(LN(2)/2)*BL110*BO110*VLOOKUP('Données projet'!$B$11,Paramètres!$A$1:$I$89,3,0)*0.475*44/12</f>
        <v>1.6309165866262004E-11</v>
      </c>
      <c r="BS110" s="24">
        <f t="shared" si="63"/>
        <v>4.1218636140324518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5.6546153846153828</v>
      </c>
      <c r="BY110" s="13">
        <f>IF('Données projet'!$A$114&gt;35,BY109+BX110-CG109,IF(A110&lt;'Données projet'!$A$114,$BV$205^A110,IF(A110='Données projet'!$A$114,'Données projet'!$B$114,BY109+BX110-CG109)))</f>
        <v>244.78307692307743</v>
      </c>
      <c r="BZ110" s="14">
        <f>BY110*VLOOKUP('Données projet'!$B$12,Paramètres!$A$1:$I$89,3,0)*VLOOKUP('Données projet'!$B$12,Paramètres!$A$1:$I$89,5,0)</f>
        <v>114.55848000000023</v>
      </c>
      <c r="CA110" s="14">
        <f t="shared" si="93"/>
        <v>30.402446748991956</v>
      </c>
      <c r="CB110" s="22">
        <f t="shared" si="64"/>
        <v>252.47361408782808</v>
      </c>
      <c r="CC110" s="62">
        <f t="shared" si="65"/>
        <v>545.80694742116134</v>
      </c>
      <c r="CD110" s="62">
        <f ca="1">AVERAGE(OFFSET($CC$3,0,0,'Données projet'!$E$12+1,1))-AVERAGE(OFFSET($H$3,0,0,'Données projet'!$E$12+1,1))</f>
        <v>179.14256291235466</v>
      </c>
      <c r="CE110" s="62">
        <f t="shared" si="94"/>
        <v>107.5256983607585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-2.8421709430404007E-13</v>
      </c>
      <c r="CU110" s="18">
        <f>CT110*VLOOKUP('Données projet'!$B$13,Paramètres!$A$1:$I$89,3,0)*VLOOKUP('Données projet'!$B$13,Paramètres!$A$1:$I$89,5,0)</f>
        <v>-1.69961822393816E-13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237.03649693529445</v>
      </c>
      <c r="CZ110" s="62">
        <f t="shared" si="96"/>
        <v>191.04289411674887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1.3538412986778979E-11</v>
      </c>
      <c r="DI110" s="24">
        <f t="shared" si="69"/>
        <v>1.3538412986778979E-11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3.3200000000000016</v>
      </c>
      <c r="DO110" s="13">
        <f>IF('Données projet'!$A$166&gt;35,DO109+DN110-DW109,IF(A110&lt;'Données projet'!$A$166,$DL$205^A110,IF(A110='Données projet'!$A$166,'Données projet'!$B$166,DO109+DN110-DW109)))</f>
        <v>269.72000000000008</v>
      </c>
      <c r="DP110" s="18">
        <f>DO110*VLOOKUP('Données projet'!$B$14,Paramètres!$A$1:$I$89,3,0)*VLOOKUP('Données projet'!$B$14,Paramètres!$A$1:$I$89,5,0)</f>
        <v>310.71744000000007</v>
      </c>
      <c r="DQ110" s="14">
        <f t="shared" si="97"/>
        <v>73.418640034896853</v>
      </c>
      <c r="DR110" s="22">
        <f t="shared" si="70"/>
        <v>669.03700606077882</v>
      </c>
      <c r="DS110" s="62">
        <f t="shared" si="71"/>
        <v>962.37033939411208</v>
      </c>
      <c r="DT110" s="62">
        <f ca="1">AVERAGE(OFFSET($DS$3,0,0,'Données projet'!$E$14+1,1))-AVERAGE(OFFSET($H$3,0,0,'Données projet'!$E$14+1,1))</f>
        <v>431.38469096974364</v>
      </c>
      <c r="DU110" s="62">
        <f t="shared" si="98"/>
        <v>295.48627059086647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0.1158360239352635</v>
      </c>
      <c r="EC110" s="23">
        <f>EXP(-LN(2)/2)*EC109+(1-EXP(-LN(2)/2))/(LN(2)/2)*DW110*DZ110*VLOOKUP('Données projet'!$B$14,Paramètres!$A$1:$I$89,3,0)*0.475*44/12</f>
        <v>9.8741422677831624E-12</v>
      </c>
      <c r="ED110" s="24">
        <f t="shared" si="72"/>
        <v>0.11583602394513764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</v>
      </c>
      <c r="EJ110" s="13">
        <f>IF('Données projet'!$A$192&gt;35,EJ109+EI110-ER109,IF(A110&lt;'Données projet'!$A$192,$EG$205^A110,IF(A110='Données projet'!$A$192,'Données projet'!$B$192,EJ109+EI110-ER109)))</f>
        <v>172.00000000000006</v>
      </c>
      <c r="EK110" s="18">
        <f>EJ110*VLOOKUP('Données projet'!$B$15,Paramètres!$A$1:$I$89,3,0)*VLOOKUP('Données projet'!$B$15,Paramètres!$A$1:$I$89,5,0)</f>
        <v>195.87360000000007</v>
      </c>
      <c r="EL110" s="14">
        <f t="shared" si="99"/>
        <v>48.836212506996127</v>
      </c>
      <c r="EM110" s="22">
        <f t="shared" si="73"/>
        <v>426.20292344968499</v>
      </c>
      <c r="EN110" s="62">
        <f t="shared" si="74"/>
        <v>719.5362567830183</v>
      </c>
      <c r="EO110" s="62">
        <f ca="1">AVERAGE(OFFSET($EN$3,0,0,'Données projet'!$E$15+1,1))-AVERAGE(OFFSET($H$3,0,0,'Données projet'!$E$15+1,1))</f>
        <v>220.03635832253951</v>
      </c>
      <c r="EP110" s="62">
        <f t="shared" si="100"/>
        <v>136.30639155882233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5.0999999999999996</v>
      </c>
      <c r="FE110" s="13">
        <f>IF('Données projet'!$A$218&gt;35,FE109+FD110-FM109,IF(A110&lt;'Données projet'!$A$218,$FB$205^A110,IF(A110='Données projet'!$A$218,'Données projet'!$B$218,FE109+FD110-FM109)))</f>
        <v>470.70000000000067</v>
      </c>
      <c r="FF110" s="18">
        <f>FE110*VLOOKUP('Données projet'!$B$16,Paramètres!$A$1:$I$89,3,0)*VLOOKUP('Données projet'!$B$16,Paramètres!$A$1:$I$89,5,0)</f>
        <v>491.97564000000079</v>
      </c>
      <c r="FG110" s="14">
        <f t="shared" si="101"/>
        <v>110.192853443823</v>
      </c>
      <c r="FH110" s="22">
        <f t="shared" si="76"/>
        <v>1048.7767927479931</v>
      </c>
      <c r="FI110" s="62">
        <f t="shared" si="77"/>
        <v>1342.1101260813264</v>
      </c>
      <c r="FJ110" s="62">
        <f ca="1">AVERAGE(OFFSET($FI$3,0,0,'Données projet'!$E$16+1,1))-AVERAGE(OFFSET($H$3,0,0,'Données projet'!$E$16+1,1))</f>
        <v>641.62708445664862</v>
      </c>
      <c r="FK110" s="62">
        <f t="shared" si="102"/>
        <v>379.46845863546929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5.581122333268602E-11</v>
      </c>
      <c r="FT110" s="24">
        <f t="shared" si="78"/>
        <v>5.581122333268602E-11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3</v>
      </c>
      <c r="FZ110" s="13">
        <f>IF('Données projet'!$A$244&gt;35,FZ109+FY110-GH109,IF(A110&lt;'Données projet'!$A$244,$FW$205^A110,IF(A110='Données projet'!$A$244,'Données projet'!$B$244,FZ109+FY110-GH109)))</f>
        <v>172.00000000000006</v>
      </c>
      <c r="GA110" s="18">
        <f>FZ110*VLOOKUP('Données projet'!$B$17,Paramètres!$A$1:$I$89,3,0)*VLOOKUP('Données projet'!$B$17,Paramètres!$A$1:$I$89,5,0)</f>
        <v>166.35840000000005</v>
      </c>
      <c r="GB110" s="14">
        <f t="shared" si="103"/>
        <v>42.27340131152765</v>
      </c>
      <c r="GC110" s="22">
        <f t="shared" si="79"/>
        <v>363.3670539509107</v>
      </c>
      <c r="GD110" s="62">
        <f t="shared" si="80"/>
        <v>656.70038728424402</v>
      </c>
      <c r="GE110" s="62">
        <f ca="1">AVERAGE(OFFSET($GD$3,0,0,'Données projet'!$E$17+1,1))-AVERAGE(OFFSET($H$3,0,0,'Données projet'!$E$17+1,1))</f>
        <v>181.39066880931728</v>
      </c>
      <c r="GF110" s="62">
        <f t="shared" si="104"/>
        <v>116.06078566855524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-1.7053025658242404E-13</v>
      </c>
      <c r="GV110" s="18">
        <f>GU110*VLOOKUP('Données projet'!$B$18,Paramètres!$A$1:$I$89,3,0)*VLOOKUP('Données projet'!$B$18,Paramètres!$A$1:$I$89,5,0)</f>
        <v>-1.4897523215040567E-13</v>
      </c>
      <c r="GW110" s="14" t="e">
        <f t="shared" si="105"/>
        <v>#NUM!</v>
      </c>
      <c r="GX110" s="22" t="e">
        <f t="shared" si="82"/>
        <v>#NUM!</v>
      </c>
      <c r="GY110" s="62" t="e">
        <f t="shared" si="83"/>
        <v>#NUM!</v>
      </c>
      <c r="GZ110" s="62">
        <f ca="1">AVERAGE(OFFSET($GY$3,0,0,'Données projet'!$E$18+1,1))-AVERAGE(OFFSET($H$3,0,0,'Données projet'!$E$18+1,1))</f>
        <v>152.84277478695606</v>
      </c>
      <c r="HA110" s="62">
        <f t="shared" si="106"/>
        <v>179.22995976651015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9">
        <f t="shared" si="56"/>
        <v>388.81577156642459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300.34679999999963</v>
      </c>
      <c r="P111" s="14">
        <f t="shared" si="87"/>
        <v>71.249161187153291</v>
      </c>
      <c r="Q111" s="22">
        <f t="shared" si="107"/>
        <v>647.19629906762464</v>
      </c>
      <c r="R111" s="62">
        <f t="shared" si="55"/>
        <v>940.52963240095801</v>
      </c>
      <c r="S111" s="62">
        <f ca="1">AVERAGE(OFFSET($R$3,0,0,'Données projet'!$E$9+1,1))-AVERAGE(OFFSET($H$3,0,0,'Données projet'!$E$9+1,1))</f>
        <v>383.26814640166805</v>
      </c>
      <c r="T111" s="62">
        <f t="shared" si="88"/>
        <v>233.71216103405249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175.00000000000006</v>
      </c>
      <c r="AJ111" s="14">
        <f>AI111*VLOOKUP('Données projet'!$B$10,Paramètres!$A$1:$I$89,3,0)*VLOOKUP('Données projet'!$B$10,Paramètres!$A$1:$I$89,5,0)</f>
        <v>188.37000000000006</v>
      </c>
      <c r="AK111" s="14">
        <f t="shared" si="89"/>
        <v>47.179402486491298</v>
      </c>
      <c r="AL111" s="22">
        <f t="shared" si="58"/>
        <v>410.2485426639725</v>
      </c>
      <c r="AM111" s="62">
        <f t="shared" si="59"/>
        <v>703.58187599730581</v>
      </c>
      <c r="AN111" s="62">
        <f ca="1">AVERAGE(OFFSET($AM$3,0,0,'Données projet'!$E$10+1,1))-AVERAGE(OFFSET($H$3,0,0,'Données projet'!$E$10+1,1))</f>
        <v>205.99910063756408</v>
      </c>
      <c r="AO111" s="62">
        <f t="shared" si="90"/>
        <v>128.95330275493671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293.3333333333353</v>
      </c>
      <c r="BI111" s="62">
        <f ca="1">AVERAGE(OFFSET($BH$3,0,0,'Données projet'!$E$11+1,1))-AVERAGE(OFFSET($H$3,0,0,'Données projet'!$E$11+1,1))</f>
        <v>222.20580087523689</v>
      </c>
      <c r="BJ111" s="62">
        <f t="shared" si="92"/>
        <v>232.08940427392253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2.1354708959783926</v>
      </c>
      <c r="BQ111" s="23">
        <f>EXP(-LN(2)/25)*BQ110+(1-EXP(-LN(2)/25))/(LN(2)/25)*Calculateur!BL111*Calculateur!BN111*VLOOKUP('Données projet'!$B$11,Paramètres!$A$1:$I$89,3,0)*0.475*44/12</f>
        <v>1.8905298351719073</v>
      </c>
      <c r="BR111" s="23">
        <f>EXP(-LN(2)/2)*BR110+(1-EXP(-LN(2)/2))/(LN(2)/2)*BL111*BO111*VLOOKUP('Données projet'!$B$11,Paramètres!$A$1:$I$89,3,0)*0.475*44/12</f>
        <v>1.1532321779530037E-11</v>
      </c>
      <c r="BS111" s="24">
        <f t="shared" si="63"/>
        <v>4.0260007311618322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5.6546153846153828</v>
      </c>
      <c r="BY111" s="13">
        <f>IF('Données projet'!$A$114&gt;35,BY110+BX111-CG110,IF(A111&lt;'Données projet'!$A$114,$BV$205^A111,IF(A111='Données projet'!$A$114,'Données projet'!$B$114,BY110+BX111-CG110)))</f>
        <v>250.43769230769283</v>
      </c>
      <c r="BZ111" s="14">
        <f>BY111*VLOOKUP('Données projet'!$B$12,Paramètres!$A$1:$I$89,3,0)*VLOOKUP('Données projet'!$B$12,Paramètres!$A$1:$I$89,5,0)</f>
        <v>117.20484000000023</v>
      </c>
      <c r="CA111" s="14">
        <f t="shared" si="93"/>
        <v>31.02218258527553</v>
      </c>
      <c r="CB111" s="22">
        <f t="shared" si="64"/>
        <v>258.16206433602196</v>
      </c>
      <c r="CC111" s="62">
        <f t="shared" si="65"/>
        <v>551.49539766935527</v>
      </c>
      <c r="CD111" s="62">
        <f ca="1">AVERAGE(OFFSET($CC$3,0,0,'Données projet'!$E$12+1,1))-AVERAGE(OFFSET($H$3,0,0,'Données projet'!$E$12+1,1))</f>
        <v>179.14256291235466</v>
      </c>
      <c r="CE111" s="62">
        <f t="shared" si="94"/>
        <v>107.5256983607585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-2.8421709430404007E-13</v>
      </c>
      <c r="CU111" s="18">
        <f>CT111*VLOOKUP('Données projet'!$B$13,Paramètres!$A$1:$I$89,3,0)*VLOOKUP('Données projet'!$B$13,Paramètres!$A$1:$I$89,5,0)</f>
        <v>-1.69961822393816E-13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237.03649693529445</v>
      </c>
      <c r="CZ111" s="62">
        <f t="shared" si="96"/>
        <v>191.04289411674887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9.5731036294554369E-12</v>
      </c>
      <c r="DI111" s="24">
        <f t="shared" si="69"/>
        <v>9.5731036294554369E-12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3.3200000000000016</v>
      </c>
      <c r="DO111" s="13">
        <f>IF('Données projet'!$A$166&gt;35,DO110+DN111-DW110,IF(A111&lt;'Données projet'!$A$166,$DL$205^A111,IF(A111='Données projet'!$A$166,'Données projet'!$B$166,DO110+DN111-DW110)))</f>
        <v>273.04000000000008</v>
      </c>
      <c r="DP111" s="18">
        <f>DO111*VLOOKUP('Données projet'!$B$14,Paramètres!$A$1:$I$89,3,0)*VLOOKUP('Données projet'!$B$14,Paramètres!$A$1:$I$89,5,0)</f>
        <v>314.54208000000006</v>
      </c>
      <c r="DQ111" s="14">
        <f t="shared" si="97"/>
        <v>74.216592751997084</v>
      </c>
      <c r="DR111" s="22">
        <f t="shared" si="70"/>
        <v>677.08802170972831</v>
      </c>
      <c r="DS111" s="62">
        <f t="shared" si="71"/>
        <v>970.42135504306157</v>
      </c>
      <c r="DT111" s="62">
        <f ca="1">AVERAGE(OFFSET($DS$3,0,0,'Données projet'!$E$14+1,1))-AVERAGE(OFFSET($H$3,0,0,'Données projet'!$E$14+1,1))</f>
        <v>431.38469096974364</v>
      </c>
      <c r="DU111" s="62">
        <f t="shared" si="98"/>
        <v>295.48627059086647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0.11266848176920197</v>
      </c>
      <c r="EC111" s="23">
        <f>EXP(-LN(2)/2)*EC110+(1-EXP(-LN(2)/2))/(LN(2)/2)*DW111*DZ111*VLOOKUP('Données projet'!$B$14,Paramètres!$A$1:$I$89,3,0)*0.475*44/12</f>
        <v>6.9820729559501889E-12</v>
      </c>
      <c r="ED111" s="24">
        <f t="shared" si="72"/>
        <v>0.11266848177618403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</v>
      </c>
      <c r="EJ111" s="13">
        <f>IF('Données projet'!$A$192&gt;35,EJ110+EI111-ER110,IF(A111&lt;'Données projet'!$A$192,$EG$205^A111,IF(A111='Données projet'!$A$192,'Données projet'!$B$192,EJ110+EI111-ER110)))</f>
        <v>175.00000000000006</v>
      </c>
      <c r="EK111" s="18">
        <f>EJ111*VLOOKUP('Données projet'!$B$15,Paramètres!$A$1:$I$89,3,0)*VLOOKUP('Données projet'!$B$15,Paramètres!$A$1:$I$89,5,0)</f>
        <v>199.29000000000008</v>
      </c>
      <c r="EL111" s="14">
        <f t="shared" si="99"/>
        <v>49.588098933572269</v>
      </c>
      <c r="EM111" s="22">
        <f t="shared" si="73"/>
        <v>433.46268897597179</v>
      </c>
      <c r="EN111" s="62">
        <f t="shared" si="74"/>
        <v>726.79602230930504</v>
      </c>
      <c r="EO111" s="62">
        <f ca="1">AVERAGE(OFFSET($EN$3,0,0,'Données projet'!$E$15+1,1))-AVERAGE(OFFSET($H$3,0,0,'Données projet'!$E$15+1,1))</f>
        <v>220.03635832253951</v>
      </c>
      <c r="EP111" s="62">
        <f t="shared" si="100"/>
        <v>136.30639155882233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5.0999999999999996</v>
      </c>
      <c r="FE111" s="13">
        <f>IF('Données projet'!$A$218&gt;35,FE110+FD111-FM110,IF(A111&lt;'Données projet'!$A$218,$FB$205^A111,IF(A111='Données projet'!$A$218,'Données projet'!$B$218,FE110+FD111-FM110)))</f>
        <v>475.80000000000069</v>
      </c>
      <c r="FF111" s="18">
        <f>FE111*VLOOKUP('Données projet'!$B$16,Paramètres!$A$1:$I$89,3,0)*VLOOKUP('Données projet'!$B$16,Paramètres!$A$1:$I$89,5,0)</f>
        <v>497.30616000000072</v>
      </c>
      <c r="FG111" s="14">
        <f t="shared" si="101"/>
        <v>111.24714872707024</v>
      </c>
      <c r="FH111" s="22">
        <f t="shared" si="76"/>
        <v>1059.8970126996487</v>
      </c>
      <c r="FI111" s="62">
        <f t="shared" si="77"/>
        <v>1353.230346032982</v>
      </c>
      <c r="FJ111" s="62">
        <f ca="1">AVERAGE(OFFSET($FI$3,0,0,'Données projet'!$E$16+1,1))-AVERAGE(OFFSET($H$3,0,0,'Données projet'!$E$16+1,1))</f>
        <v>641.62708445664862</v>
      </c>
      <c r="FK111" s="62">
        <f t="shared" si="102"/>
        <v>379.46845863546929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3.9464494484859149E-11</v>
      </c>
      <c r="FT111" s="24">
        <f t="shared" si="78"/>
        <v>3.9464494484859149E-11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3</v>
      </c>
      <c r="FZ111" s="13">
        <f>IF('Données projet'!$A$244&gt;35,FZ110+FY111-GH110,IF(A111&lt;'Données projet'!$A$244,$FW$205^A111,IF(A111='Données projet'!$A$244,'Données projet'!$B$244,FZ110+FY111-GH110)))</f>
        <v>175.00000000000006</v>
      </c>
      <c r="GA111" s="18">
        <f>FZ111*VLOOKUP('Données projet'!$B$17,Paramètres!$A$1:$I$89,3,0)*VLOOKUP('Données projet'!$B$17,Paramètres!$A$1:$I$89,5,0)</f>
        <v>169.26000000000005</v>
      </c>
      <c r="GB111" s="14">
        <f t="shared" si="103"/>
        <v>42.924246146122314</v>
      </c>
      <c r="GC111" s="22">
        <f t="shared" si="79"/>
        <v>369.55422870449638</v>
      </c>
      <c r="GD111" s="62">
        <f t="shared" si="80"/>
        <v>662.88756203782964</v>
      </c>
      <c r="GE111" s="62">
        <f ca="1">AVERAGE(OFFSET($GD$3,0,0,'Données projet'!$E$17+1,1))-AVERAGE(OFFSET($H$3,0,0,'Données projet'!$E$17+1,1))</f>
        <v>181.39066880931728</v>
      </c>
      <c r="GF111" s="62">
        <f t="shared" si="104"/>
        <v>116.06078566855524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-1.7053025658242404E-13</v>
      </c>
      <c r="GV111" s="18">
        <f>GU111*VLOOKUP('Données projet'!$B$18,Paramètres!$A$1:$I$89,3,0)*VLOOKUP('Données projet'!$B$18,Paramètres!$A$1:$I$89,5,0)</f>
        <v>-1.4897523215040567E-13</v>
      </c>
      <c r="GW111" s="14" t="e">
        <f t="shared" si="105"/>
        <v>#NUM!</v>
      </c>
      <c r="GX111" s="22" t="e">
        <f t="shared" si="82"/>
        <v>#NUM!</v>
      </c>
      <c r="GY111" s="62" t="e">
        <f t="shared" si="83"/>
        <v>#NUM!</v>
      </c>
      <c r="GZ111" s="62">
        <f ca="1">AVERAGE(OFFSET($GY$3,0,0,'Données projet'!$E$18+1,1))-AVERAGE(OFFSET($H$3,0,0,'Données projet'!$E$18+1,1))</f>
        <v>152.84277478695606</v>
      </c>
      <c r="HA111" s="62">
        <f t="shared" si="106"/>
        <v>179.22995976651015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9">
        <f t="shared" si="56"/>
        <v>390.00750821914528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304.80839999999961</v>
      </c>
      <c r="P112" s="14">
        <f t="shared" si="87"/>
        <v>72.183554053972728</v>
      </c>
      <c r="Q112" s="22">
        <f t="shared" si="107"/>
        <v>656.59431997733509</v>
      </c>
      <c r="R112" s="62">
        <f t="shared" si="55"/>
        <v>949.92765331066835</v>
      </c>
      <c r="S112" s="62">
        <f ca="1">AVERAGE(OFFSET($R$3,0,0,'Données projet'!$E$9+1,1))-AVERAGE(OFFSET($H$3,0,0,'Données projet'!$E$9+1,1))</f>
        <v>383.26814640166805</v>
      </c>
      <c r="T112" s="62">
        <f t="shared" si="88"/>
        <v>233.71216103405249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178.00000000000006</v>
      </c>
      <c r="AJ112" s="14">
        <f>AI112*VLOOKUP('Données projet'!$B$10,Paramètres!$A$1:$I$89,3,0)*VLOOKUP('Données projet'!$B$10,Paramètres!$A$1:$I$89,5,0)</f>
        <v>191.59920000000005</v>
      </c>
      <c r="AK112" s="14">
        <f t="shared" si="89"/>
        <v>47.893340610341859</v>
      </c>
      <c r="AL112" s="22">
        <f t="shared" si="58"/>
        <v>417.11617489634546</v>
      </c>
      <c r="AM112" s="62">
        <f t="shared" si="59"/>
        <v>710.44950822967871</v>
      </c>
      <c r="AN112" s="62">
        <f ca="1">AVERAGE(OFFSET($AM$3,0,0,'Données projet'!$E$10+1,1))-AVERAGE(OFFSET($H$3,0,0,'Données projet'!$E$10+1,1))</f>
        <v>205.99910063756408</v>
      </c>
      <c r="AO112" s="62">
        <f t="shared" si="90"/>
        <v>128.95330275493671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293.3333333333353</v>
      </c>
      <c r="BI112" s="62">
        <f ca="1">AVERAGE(OFFSET($BH$3,0,0,'Données projet'!$E$11+1,1))-AVERAGE(OFFSET($H$3,0,0,'Données projet'!$E$11+1,1))</f>
        <v>222.20580087523689</v>
      </c>
      <c r="BJ112" s="62">
        <f t="shared" si="92"/>
        <v>232.08940427392253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2.0935956142168908</v>
      </c>
      <c r="BQ112" s="23">
        <f>EXP(-LN(2)/25)*BQ111+(1-EXP(-LN(2)/25))/(LN(2)/25)*Calculateur!BL112*Calculateur!BN112*VLOOKUP('Données projet'!$B$11,Paramètres!$A$1:$I$89,3,0)*0.475*44/12</f>
        <v>1.8388331974104883</v>
      </c>
      <c r="BR112" s="23">
        <f>EXP(-LN(2)/2)*BR111+(1-EXP(-LN(2)/2))/(LN(2)/2)*BL112*BO112*VLOOKUP('Données projet'!$B$11,Paramètres!$A$1:$I$89,3,0)*0.475*44/12</f>
        <v>8.1545829331310019E-12</v>
      </c>
      <c r="BS112" s="24">
        <f t="shared" si="63"/>
        <v>3.9324288116355337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>
        <f>VLOOKUP(A112,'Données projet'!$A$113:$I$133,2,0)</f>
        <v>256.09230769230771</v>
      </c>
      <c r="BW112" s="13">
        <f>VLOOKUP(A112,'Données projet'!$A$113:$I$133,9,0)</f>
        <v>5.6546153846153828</v>
      </c>
      <c r="BX112" s="13">
        <f t="array" ref="BX112">INDEX(BW:BW,MIN(IF(ISNUMBER(BW112:BW308),ROW(BW112:BW308),"")))</f>
        <v>5.6546153846153828</v>
      </c>
      <c r="BY112" s="13">
        <f>IF('Données projet'!$A$114&gt;35,BY111+BX112-CG111,IF(A112&lt;'Données projet'!$A$114,$BV$205^A112,IF(A112='Données projet'!$A$114,'Données projet'!$B$114,BY111+BX112-CG111)))</f>
        <v>256.09230769230822</v>
      </c>
      <c r="BZ112" s="14">
        <f>BY112*VLOOKUP('Données projet'!$B$12,Paramètres!$A$1:$I$89,3,0)*VLOOKUP('Données projet'!$B$12,Paramètres!$A$1:$I$89,5,0)</f>
        <v>119.85120000000023</v>
      </c>
      <c r="CA112" s="14">
        <f t="shared" si="93"/>
        <v>31.640291631938272</v>
      </c>
      <c r="CB112" s="22">
        <f t="shared" si="64"/>
        <v>263.8476812589596</v>
      </c>
      <c r="CC112" s="62">
        <f t="shared" si="65"/>
        <v>557.18101459229297</v>
      </c>
      <c r="CD112" s="62">
        <f ca="1">AVERAGE(OFFSET($CC$3,0,0,'Données projet'!$E$12+1,1))-AVERAGE(OFFSET($H$3,0,0,'Données projet'!$E$12+1,1))</f>
        <v>179.14256291235466</v>
      </c>
      <c r="CE112" s="62">
        <f t="shared" si="94"/>
        <v>107.5256983607585</v>
      </c>
      <c r="CF112" s="16">
        <f>IF(ISNA(VLOOKUP(A112,'Données projet'!$A$113:$I$133,3,0)),0,VLOOKUP(A112,'Données projet'!$A$113:$I$133,3,0))</f>
        <v>6</v>
      </c>
      <c r="CG112" s="16">
        <f>IF(ISNA(VLOOKUP(A112,'Données projet'!$A$113:$I$133,4,0)),0,VLOOKUP(A112,'Données projet'!$A$113:$I$133,4,0))</f>
        <v>256.09230769230771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-2.8421709430404007E-13</v>
      </c>
      <c r="CU112" s="18">
        <f>CT112*VLOOKUP('Données projet'!$B$13,Paramètres!$A$1:$I$89,3,0)*VLOOKUP('Données projet'!$B$13,Paramètres!$A$1:$I$89,5,0)</f>
        <v>-1.69961822393816E-13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237.03649693529445</v>
      </c>
      <c r="CZ112" s="62">
        <f t="shared" si="96"/>
        <v>191.04289411674887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6.7692064933894896E-12</v>
      </c>
      <c r="DI112" s="24">
        <f t="shared" si="69"/>
        <v>6.7692064933894896E-12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3.3200000000000016</v>
      </c>
      <c r="DO112" s="13">
        <f>IF('Données projet'!$A$166&gt;35,DO111+DN112-DW111,IF(A112&lt;'Données projet'!$A$166,$DL$205^A112,IF(A112='Données projet'!$A$166,'Données projet'!$B$166,DO111+DN112-DW111)))</f>
        <v>276.36000000000007</v>
      </c>
      <c r="DP112" s="18">
        <f>DO112*VLOOKUP('Données projet'!$B$14,Paramètres!$A$1:$I$89,3,0)*VLOOKUP('Données projet'!$B$14,Paramètres!$A$1:$I$89,5,0)</f>
        <v>318.3667200000001</v>
      </c>
      <c r="DQ112" s="14">
        <f t="shared" si="97"/>
        <v>75.013416853728231</v>
      </c>
      <c r="DR112" s="22">
        <f t="shared" si="70"/>
        <v>685.13707168691019</v>
      </c>
      <c r="DS112" s="62">
        <f t="shared" si="71"/>
        <v>978.47040502024356</v>
      </c>
      <c r="DT112" s="62">
        <f ca="1">AVERAGE(OFFSET($DS$3,0,0,'Données projet'!$E$14+1,1))-AVERAGE(OFFSET($H$3,0,0,'Données projet'!$E$14+1,1))</f>
        <v>431.38469096974364</v>
      </c>
      <c r="DU112" s="62">
        <f t="shared" si="98"/>
        <v>295.48627059086647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0.10958755621024519</v>
      </c>
      <c r="EC112" s="23">
        <f>EXP(-LN(2)/2)*EC111+(1-EXP(-LN(2)/2))/(LN(2)/2)*DW112*DZ112*VLOOKUP('Données projet'!$B$14,Paramètres!$A$1:$I$89,3,0)*0.475*44/12</f>
        <v>4.9370711338915812E-12</v>
      </c>
      <c r="ED112" s="24">
        <f t="shared" si="72"/>
        <v>0.10958755621518225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</v>
      </c>
      <c r="EJ112" s="13">
        <f>IF('Données projet'!$A$192&gt;35,EJ111+EI112-ER111,IF(A112&lt;'Données projet'!$A$192,$EG$205^A112,IF(A112='Données projet'!$A$192,'Données projet'!$B$192,EJ111+EI112-ER111)))</f>
        <v>178.00000000000006</v>
      </c>
      <c r="EK112" s="18">
        <f>EJ112*VLOOKUP('Données projet'!$B$15,Paramètres!$A$1:$I$89,3,0)*VLOOKUP('Données projet'!$B$15,Paramètres!$A$1:$I$89,5,0)</f>
        <v>202.70640000000006</v>
      </c>
      <c r="EL112" s="14">
        <f t="shared" si="99"/>
        <v>50.338486442784308</v>
      </c>
      <c r="EM112" s="22">
        <f t="shared" si="73"/>
        <v>440.71984388784944</v>
      </c>
      <c r="EN112" s="62">
        <f t="shared" si="74"/>
        <v>734.05317722118275</v>
      </c>
      <c r="EO112" s="62">
        <f ca="1">AVERAGE(OFFSET($EN$3,0,0,'Données projet'!$E$15+1,1))-AVERAGE(OFFSET($H$3,0,0,'Données projet'!$E$15+1,1))</f>
        <v>220.03635832253951</v>
      </c>
      <c r="EP112" s="62">
        <f t="shared" si="100"/>
        <v>136.30639155882233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5.0999999999999996</v>
      </c>
      <c r="FE112" s="13">
        <f>IF('Données projet'!$A$218&gt;35,FE111+FD112-FM111,IF(A112&lt;'Données projet'!$A$218,$FB$205^A112,IF(A112='Données projet'!$A$218,'Données projet'!$B$218,FE111+FD112-FM111)))</f>
        <v>480.90000000000072</v>
      </c>
      <c r="FF112" s="18">
        <f>FE112*VLOOKUP('Données projet'!$B$16,Paramètres!$A$1:$I$89,3,0)*VLOOKUP('Données projet'!$B$16,Paramètres!$A$1:$I$89,5,0)</f>
        <v>502.63668000000075</v>
      </c>
      <c r="FG112" s="14">
        <f t="shared" si="101"/>
        <v>112.30012939442561</v>
      </c>
      <c r="FH112" s="22">
        <f t="shared" si="76"/>
        <v>1071.014943028626</v>
      </c>
      <c r="FI112" s="62">
        <f t="shared" si="77"/>
        <v>1364.3482763619593</v>
      </c>
      <c r="FJ112" s="62">
        <f ca="1">AVERAGE(OFFSET($FI$3,0,0,'Données projet'!$E$16+1,1))-AVERAGE(OFFSET($H$3,0,0,'Données projet'!$E$16+1,1))</f>
        <v>641.62708445664862</v>
      </c>
      <c r="FK112" s="62">
        <f t="shared" si="102"/>
        <v>379.46845863546929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2.790561166634301E-11</v>
      </c>
      <c r="FT112" s="24">
        <f t="shared" si="78"/>
        <v>2.790561166634301E-11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3</v>
      </c>
      <c r="FZ112" s="13">
        <f>IF('Données projet'!$A$244&gt;35,FZ111+FY112-GH111,IF(A112&lt;'Données projet'!$A$244,$FW$205^A112,IF(A112='Données projet'!$A$244,'Données projet'!$B$244,FZ111+FY112-GH111)))</f>
        <v>178.00000000000006</v>
      </c>
      <c r="GA112" s="18">
        <f>FZ112*VLOOKUP('Données projet'!$B$17,Paramètres!$A$1:$I$89,3,0)*VLOOKUP('Données projet'!$B$17,Paramètres!$A$1:$I$89,5,0)</f>
        <v>172.16160000000005</v>
      </c>
      <c r="GB112" s="14">
        <f t="shared" si="103"/>
        <v>43.57379349403616</v>
      </c>
      <c r="GC112" s="22">
        <f t="shared" si="79"/>
        <v>375.73914366877972</v>
      </c>
      <c r="GD112" s="62">
        <f t="shared" si="80"/>
        <v>669.07247700211303</v>
      </c>
      <c r="GE112" s="62">
        <f ca="1">AVERAGE(OFFSET($GD$3,0,0,'Données projet'!$E$17+1,1))-AVERAGE(OFFSET($H$3,0,0,'Données projet'!$E$17+1,1))</f>
        <v>181.39066880931728</v>
      </c>
      <c r="GF112" s="62">
        <f t="shared" si="104"/>
        <v>116.06078566855524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-1.7053025658242404E-13</v>
      </c>
      <c r="GV112" s="18">
        <f>GU112*VLOOKUP('Données projet'!$B$18,Paramètres!$A$1:$I$89,3,0)*VLOOKUP('Données projet'!$B$18,Paramètres!$A$1:$I$89,5,0)</f>
        <v>-1.4897523215040567E-13</v>
      </c>
      <c r="GW112" s="14" t="e">
        <f t="shared" si="105"/>
        <v>#NUM!</v>
      </c>
      <c r="GX112" s="22" t="e">
        <f t="shared" si="82"/>
        <v>#NUM!</v>
      </c>
      <c r="GY112" s="62" t="e">
        <f t="shared" si="83"/>
        <v>#NUM!</v>
      </c>
      <c r="GZ112" s="62">
        <f ca="1">AVERAGE(OFFSET($GY$3,0,0,'Données projet'!$E$18+1,1))-AVERAGE(OFFSET($H$3,0,0,'Données projet'!$E$18+1,1))</f>
        <v>152.84277478695606</v>
      </c>
      <c r="HA112" s="62">
        <f t="shared" si="106"/>
        <v>179.22995976651015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9">
        <f t="shared" si="56"/>
        <v>391.19898787166267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309.26999999999958</v>
      </c>
      <c r="P113" s="14">
        <f t="shared" si="87"/>
        <v>73.116356204710968</v>
      </c>
      <c r="Q113" s="22">
        <f t="shared" si="107"/>
        <v>665.98957038987078</v>
      </c>
      <c r="R113" s="62">
        <f t="shared" si="55"/>
        <v>959.32290372320404</v>
      </c>
      <c r="S113" s="62">
        <f ca="1">AVERAGE(OFFSET($R$3,0,0,'Données projet'!$E$9+1,1))-AVERAGE(OFFSET($H$3,0,0,'Données projet'!$E$9+1,1))</f>
        <v>383.26814640166805</v>
      </c>
      <c r="T113" s="62">
        <f t="shared" si="88"/>
        <v>233.71216103405249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181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181.00000000000006</v>
      </c>
      <c r="AJ113" s="14">
        <f>AI113*VLOOKUP('Données projet'!$B$10,Paramètres!$A$1:$I$89,3,0)*VLOOKUP('Données projet'!$B$10,Paramètres!$A$1:$I$89,5,0)</f>
        <v>194.82840000000004</v>
      </c>
      <c r="AK113" s="14">
        <f t="shared" si="89"/>
        <v>48.605879434898533</v>
      </c>
      <c r="AL113" s="22">
        <f t="shared" si="58"/>
        <v>423.98137001578169</v>
      </c>
      <c r="AM113" s="62">
        <f t="shared" si="59"/>
        <v>717.31470334911501</v>
      </c>
      <c r="AN113" s="62">
        <f ca="1">AVERAGE(OFFSET($AM$3,0,0,'Données projet'!$E$10+1,1))-AVERAGE(OFFSET($H$3,0,0,'Données projet'!$E$10+1,1))</f>
        <v>205.99910063756408</v>
      </c>
      <c r="AO113" s="62">
        <f t="shared" si="90"/>
        <v>128.95330275493671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293.3333333333353</v>
      </c>
      <c r="BI113" s="62">
        <f ca="1">AVERAGE(OFFSET($BH$3,0,0,'Données projet'!$E$11+1,1))-AVERAGE(OFFSET($H$3,0,0,'Données projet'!$E$11+1,1))</f>
        <v>222.20580087523689</v>
      </c>
      <c r="BJ113" s="62">
        <f t="shared" si="92"/>
        <v>232.08940427392253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2.0525414811893321</v>
      </c>
      <c r="BQ113" s="23">
        <f>EXP(-LN(2)/25)*BQ112+(1-EXP(-LN(2)/25))/(LN(2)/25)*Calculateur!BL113*Calculateur!BN113*VLOOKUP('Données projet'!$B$11,Paramètres!$A$1:$I$89,3,0)*0.475*44/12</f>
        <v>1.7885502069272634</v>
      </c>
      <c r="BR113" s="23">
        <f>EXP(-LN(2)/2)*BR112+(1-EXP(-LN(2)/2))/(LN(2)/2)*BL113*BO113*VLOOKUP('Données projet'!$B$11,Paramètres!$A$1:$I$89,3,0)*0.475*44/12</f>
        <v>5.7661608897650183E-12</v>
      </c>
      <c r="BS113" s="24">
        <f t="shared" si="63"/>
        <v>3.8410916881223613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5.1159076974727213E-13</v>
      </c>
      <c r="BZ113" s="14">
        <f>BY113*VLOOKUP('Données projet'!$B$12,Paramètres!$A$1:$I$89,3,0)*VLOOKUP('Données projet'!$B$12,Paramètres!$A$1:$I$89,5,0)</f>
        <v>2.3942448024172334E-13</v>
      </c>
      <c r="CA113" s="14">
        <f t="shared" si="93"/>
        <v>3.2492669905861755E-12</v>
      </c>
      <c r="CB113" s="22">
        <f t="shared" si="64"/>
        <v>6.0761376450252565E-12</v>
      </c>
      <c r="CC113" s="62">
        <f t="shared" si="65"/>
        <v>293.3333333333394</v>
      </c>
      <c r="CD113" s="62">
        <f ca="1">AVERAGE(OFFSET($CC$3,0,0,'Données projet'!$E$12+1,1))-AVERAGE(OFFSET($H$3,0,0,'Données projet'!$E$12+1,1))</f>
        <v>179.14256291235466</v>
      </c>
      <c r="CE113" s="62">
        <f t="shared" si="94"/>
        <v>107.5256983607585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-2.8421709430404007E-13</v>
      </c>
      <c r="CU113" s="18">
        <f>CT113*VLOOKUP('Données projet'!$B$13,Paramètres!$A$1:$I$89,3,0)*VLOOKUP('Données projet'!$B$13,Paramètres!$A$1:$I$89,5,0)</f>
        <v>-1.69961822393816E-13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237.03649693529445</v>
      </c>
      <c r="CZ113" s="62">
        <f t="shared" si="96"/>
        <v>191.04289411674887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4.7865518147277184E-12</v>
      </c>
      <c r="DI113" s="24">
        <f t="shared" si="69"/>
        <v>4.7865518147277184E-12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279.68</v>
      </c>
      <c r="DM113" s="13">
        <f>VLOOKUP(A113,'Données projet'!$A$165:$I$185,9,0)</f>
        <v>3.3200000000000016</v>
      </c>
      <c r="DN113" s="13">
        <f t="array" ref="DN113">INDEX(DM:DM,MIN(IF(ISNUMBER(DM113:DM309),ROW(DM113:DM309),"")))</f>
        <v>3.3200000000000016</v>
      </c>
      <c r="DO113" s="13">
        <f>IF('Données projet'!$A$166&gt;35,DO112+DN113-DW112,IF(A113&lt;'Données projet'!$A$166,$DL$205^A113,IF(A113='Données projet'!$A$166,'Données projet'!$B$166,DO112+DN113-DW112)))</f>
        <v>279.68000000000006</v>
      </c>
      <c r="DP113" s="18">
        <f>DO113*VLOOKUP('Données projet'!$B$14,Paramètres!$A$1:$I$89,3,0)*VLOOKUP('Données projet'!$B$14,Paramètres!$A$1:$I$89,5,0)</f>
        <v>322.19136000000003</v>
      </c>
      <c r="DQ113" s="14">
        <f t="shared" si="97"/>
        <v>75.809127466856083</v>
      </c>
      <c r="DR113" s="22">
        <f t="shared" si="70"/>
        <v>693.18418233810769</v>
      </c>
      <c r="DS113" s="62">
        <f t="shared" si="71"/>
        <v>986.51751567144106</v>
      </c>
      <c r="DT113" s="62">
        <f ca="1">AVERAGE(OFFSET($DS$3,0,0,'Données projet'!$E$14+1,1))-AVERAGE(OFFSET($H$3,0,0,'Données projet'!$E$14+1,1))</f>
        <v>431.38469096974364</v>
      </c>
      <c r="DU113" s="62">
        <f t="shared" si="98"/>
        <v>295.48627059086647</v>
      </c>
      <c r="DV113" s="16">
        <f>IF(ISNA(VLOOKUP(A113,'Données projet'!$A$165:$I$185,3,0)),0,VLOOKUP(A113,'Données projet'!$A$165:$I$185,3,0))</f>
        <v>11</v>
      </c>
      <c r="DW113" s="16">
        <f>IF(ISNA(VLOOKUP(A113,'Données projet'!$A$165:$I$185,4,0)),0,VLOOKUP(A113,'Données projet'!$A$165:$I$185,4,0))</f>
        <v>21.7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0.10659087872271691</v>
      </c>
      <c r="EC113" s="23">
        <f>EXP(-LN(2)/2)*EC112+(1-EXP(-LN(2)/2))/(LN(2)/2)*DW113*DZ113*VLOOKUP('Données projet'!$B$14,Paramètres!$A$1:$I$89,3,0)*0.475*44/12</f>
        <v>3.4910364779750944E-12</v>
      </c>
      <c r="ED113" s="24">
        <f t="shared" si="72"/>
        <v>0.10659087872620795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181</v>
      </c>
      <c r="EH113" s="13">
        <f>VLOOKUP(A113,'Données projet'!$A$191:$I$211,9,0)</f>
        <v>3</v>
      </c>
      <c r="EI113" s="13">
        <f t="array" ref="EI113">INDEX(EH:EH,MIN(IF(ISNUMBER(EH113:EH309),ROW(EH113:EH309),"")))</f>
        <v>3</v>
      </c>
      <c r="EJ113" s="13">
        <f>IF('Données projet'!$A$192&gt;35,EJ112+EI113-ER112,IF(A113&lt;'Données projet'!$A$192,$EG$205^A113,IF(A113='Données projet'!$A$192,'Données projet'!$B$192,EJ112+EI113-ER112)))</f>
        <v>181.00000000000006</v>
      </c>
      <c r="EK113" s="18">
        <f>EJ113*VLOOKUP('Données projet'!$B$15,Paramètres!$A$1:$I$89,3,0)*VLOOKUP('Données projet'!$B$15,Paramètres!$A$1:$I$89,5,0)</f>
        <v>206.1228000000001</v>
      </c>
      <c r="EL113" s="14">
        <f t="shared" si="99"/>
        <v>51.087403212899119</v>
      </c>
      <c r="EM113" s="22">
        <f t="shared" si="73"/>
        <v>447.97443726246615</v>
      </c>
      <c r="EN113" s="62">
        <f t="shared" si="74"/>
        <v>741.30777059579941</v>
      </c>
      <c r="EO113" s="62">
        <f ca="1">AVERAGE(OFFSET($EN$3,0,0,'Données projet'!$E$15+1,1))-AVERAGE(OFFSET($H$3,0,0,'Données projet'!$E$15+1,1))</f>
        <v>220.03635832253951</v>
      </c>
      <c r="EP113" s="62">
        <f t="shared" si="100"/>
        <v>136.30639155882233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486</v>
      </c>
      <c r="FC113" s="13">
        <f>VLOOKUP(A113,'Données projet'!$A$217:$I$237,9,0)</f>
        <v>5.0999999999999996</v>
      </c>
      <c r="FD113" s="13">
        <f t="array" ref="FD113">INDEX(FC:FC,MIN(IF(ISNUMBER(FC113:FC309),ROW(FC113:FC309),"")))</f>
        <v>5.0999999999999996</v>
      </c>
      <c r="FE113" s="13">
        <f>IF('Données projet'!$A$218&gt;35,FE112+FD113-FM112,IF(A113&lt;'Données projet'!$A$218,$FB$205^A113,IF(A113='Données projet'!$A$218,'Données projet'!$B$218,FE112+FD113-FM112)))</f>
        <v>486.00000000000074</v>
      </c>
      <c r="FF113" s="18">
        <f>FE113*VLOOKUP('Données projet'!$B$16,Paramètres!$A$1:$I$89,3,0)*VLOOKUP('Données projet'!$B$16,Paramètres!$A$1:$I$89,5,0)</f>
        <v>507.96720000000084</v>
      </c>
      <c r="FG113" s="14">
        <f t="shared" si="101"/>
        <v>113.35181100133391</v>
      </c>
      <c r="FH113" s="22">
        <f t="shared" si="76"/>
        <v>1082.1306108273245</v>
      </c>
      <c r="FI113" s="62">
        <f t="shared" si="77"/>
        <v>1375.4639441606578</v>
      </c>
      <c r="FJ113" s="62">
        <f ca="1">AVERAGE(OFFSET($FI$3,0,0,'Données projet'!$E$16+1,1))-AVERAGE(OFFSET($H$3,0,0,'Données projet'!$E$16+1,1))</f>
        <v>641.62708445664862</v>
      </c>
      <c r="FK113" s="62">
        <f t="shared" si="102"/>
        <v>379.46845863546929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30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1.9732247242429574E-11</v>
      </c>
      <c r="FT113" s="24">
        <f t="shared" si="78"/>
        <v>1.9732247242429574E-11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181</v>
      </c>
      <c r="FX113" s="13">
        <f>VLOOKUP(A113,'Données projet'!$A$243:$I$263,9,0)</f>
        <v>3</v>
      </c>
      <c r="FY113" s="13">
        <f t="array" ref="FY113">INDEX(FX:FX,MIN(IF(ISNUMBER(FX113:FX309),ROW(FX113:FX309),"")))</f>
        <v>3</v>
      </c>
      <c r="FZ113" s="13">
        <f>IF('Données projet'!$A$244&gt;35,FZ112+FY113-GH112,IF(A113&lt;'Données projet'!$A$244,$FW$205^A113,IF(A113='Données projet'!$A$244,'Données projet'!$B$244,FZ112+FY113-GH112)))</f>
        <v>181.00000000000006</v>
      </c>
      <c r="GA113" s="18">
        <f>FZ113*VLOOKUP('Données projet'!$B$17,Paramètres!$A$1:$I$89,3,0)*VLOOKUP('Données projet'!$B$17,Paramètres!$A$1:$I$89,5,0)</f>
        <v>175.06320000000008</v>
      </c>
      <c r="GB113" s="14">
        <f t="shared" si="103"/>
        <v>44.222067746824763</v>
      </c>
      <c r="GC113" s="22">
        <f t="shared" si="79"/>
        <v>381.92184132571992</v>
      </c>
      <c r="GD113" s="62">
        <f t="shared" si="80"/>
        <v>675.25517465905318</v>
      </c>
      <c r="GE113" s="62">
        <f ca="1">AVERAGE(OFFSET($GD$3,0,0,'Données projet'!$E$17+1,1))-AVERAGE(OFFSET($H$3,0,0,'Données projet'!$E$17+1,1))</f>
        <v>181.39066880931728</v>
      </c>
      <c r="GF113" s="62">
        <f t="shared" si="104"/>
        <v>116.06078566855524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-1.7053025658242404E-13</v>
      </c>
      <c r="GV113" s="18">
        <f>GU113*VLOOKUP('Données projet'!$B$18,Paramètres!$A$1:$I$89,3,0)*VLOOKUP('Données projet'!$B$18,Paramètres!$A$1:$I$89,5,0)</f>
        <v>-1.4897523215040567E-13</v>
      </c>
      <c r="GW113" s="14" t="e">
        <f t="shared" si="105"/>
        <v>#NUM!</v>
      </c>
      <c r="GX113" s="22" t="e">
        <f t="shared" si="82"/>
        <v>#NUM!</v>
      </c>
      <c r="GY113" s="62" t="e">
        <f t="shared" si="83"/>
        <v>#NUM!</v>
      </c>
      <c r="GZ113" s="62">
        <f ca="1">AVERAGE(OFFSET($GY$3,0,0,'Données projet'!$E$18+1,1))-AVERAGE(OFFSET($H$3,0,0,'Données projet'!$E$18+1,1))</f>
        <v>152.84277478695606</v>
      </c>
      <c r="HA113" s="62">
        <f t="shared" si="106"/>
        <v>179.22995976651015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9">
        <f t="shared" si="56"/>
        <v>392.39021313098795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273.47579999999959</v>
      </c>
      <c r="P114" s="14">
        <f t="shared" si="87"/>
        <v>65.586371730977532</v>
      </c>
      <c r="Q114" s="22">
        <f t="shared" si="107"/>
        <v>590.53328243145177</v>
      </c>
      <c r="R114" s="62">
        <f t="shared" si="55"/>
        <v>883.86661576478514</v>
      </c>
      <c r="S114" s="62">
        <f ca="1">AVERAGE(OFFSET($R$3,0,0,'Données projet'!$E$9+1,1))-AVERAGE(OFFSET($H$3,0,0,'Données projet'!$E$9+1,1))</f>
        <v>383.26814640166805</v>
      </c>
      <c r="T114" s="62">
        <f t="shared" si="88"/>
        <v>233.71216103405249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</v>
      </c>
      <c r="AI114" s="14">
        <f>IF('Données projet'!$A$62&gt;35,AI113+AH114-AQ113,IF(A114&lt;'Données projet'!$A$62,$AF$205^A114,IF(A114='Données projet'!$A$62,'Données projet'!$B$62,AI113+AH114-AQ113)))</f>
        <v>184.00000000000006</v>
      </c>
      <c r="AJ114" s="14">
        <f>AI114*VLOOKUP('Données projet'!$B$10,Paramètres!$A$1:$I$89,3,0)*VLOOKUP('Données projet'!$B$10,Paramètres!$A$1:$I$89,5,0)</f>
        <v>198.05760000000006</v>
      </c>
      <c r="AK114" s="14">
        <f t="shared" si="89"/>
        <v>49.317044830035982</v>
      </c>
      <c r="AL114" s="22">
        <f t="shared" si="58"/>
        <v>430.8441730789794</v>
      </c>
      <c r="AM114" s="62">
        <f t="shared" si="59"/>
        <v>724.17750641231271</v>
      </c>
      <c r="AN114" s="62">
        <f ca="1">AVERAGE(OFFSET($AM$3,0,0,'Données projet'!$E$10+1,1))-AVERAGE(OFFSET($H$3,0,0,'Données projet'!$E$10+1,1))</f>
        <v>205.99910063756408</v>
      </c>
      <c r="AO114" s="62">
        <f t="shared" si="90"/>
        <v>128.95330275493671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293.3333333333353</v>
      </c>
      <c r="BI114" s="62">
        <f ca="1">AVERAGE(OFFSET($BH$3,0,0,'Données projet'!$E$11+1,1))-AVERAGE(OFFSET($H$3,0,0,'Données projet'!$E$11+1,1))</f>
        <v>222.20580087523689</v>
      </c>
      <c r="BJ114" s="62">
        <f t="shared" si="92"/>
        <v>232.08940427392253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2.0122923946698954</v>
      </c>
      <c r="BQ114" s="23">
        <f>EXP(-LN(2)/25)*BQ113+(1-EXP(-LN(2)/25))/(LN(2)/25)*Calculateur!BL114*Calculateur!BN114*VLOOKUP('Données projet'!$B$11,Paramètres!$A$1:$I$89,3,0)*0.475*44/12</f>
        <v>1.7396422074630697</v>
      </c>
      <c r="BR114" s="23">
        <f>EXP(-LN(2)/2)*BR113+(1-EXP(-LN(2)/2))/(LN(2)/2)*BL114*BO114*VLOOKUP('Données projet'!$B$11,Paramètres!$A$1:$I$89,3,0)*0.475*44/12</f>
        <v>4.0772914665655009E-12</v>
      </c>
      <c r="BS114" s="24">
        <f t="shared" si="63"/>
        <v>3.7519346021370423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5.1159076974727213E-13</v>
      </c>
      <c r="BZ114" s="14">
        <f>BY114*VLOOKUP('Données projet'!$B$12,Paramètres!$A$1:$I$89,3,0)*VLOOKUP('Données projet'!$B$12,Paramètres!$A$1:$I$89,5,0)</f>
        <v>2.3942448024172334E-13</v>
      </c>
      <c r="CA114" s="14">
        <f t="shared" si="93"/>
        <v>3.2492669905861755E-12</v>
      </c>
      <c r="CB114" s="22">
        <f t="shared" si="64"/>
        <v>6.0761376450252565E-12</v>
      </c>
      <c r="CC114" s="62">
        <f t="shared" si="65"/>
        <v>293.3333333333394</v>
      </c>
      <c r="CD114" s="62">
        <f ca="1">AVERAGE(OFFSET($CC$3,0,0,'Données projet'!$E$12+1,1))-AVERAGE(OFFSET($H$3,0,0,'Données projet'!$E$12+1,1))</f>
        <v>179.14256291235466</v>
      </c>
      <c r="CE114" s="62">
        <f t="shared" si="94"/>
        <v>107.5256983607585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-2.8421709430404007E-13</v>
      </c>
      <c r="CU114" s="18">
        <f>CT114*VLOOKUP('Données projet'!$B$13,Paramètres!$A$1:$I$89,3,0)*VLOOKUP('Données projet'!$B$13,Paramètres!$A$1:$I$89,5,0)</f>
        <v>-1.69961822393816E-13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237.03649693529445</v>
      </c>
      <c r="CZ114" s="62">
        <f t="shared" si="96"/>
        <v>191.04289411674887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3.3846032466947448E-12</v>
      </c>
      <c r="DI114" s="24">
        <f t="shared" si="69"/>
        <v>3.3846032466947448E-12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3.1560000000000001</v>
      </c>
      <c r="DO114" s="13">
        <f>IF('Données projet'!$A$166&gt;35,DO113+DN114-DW113,IF(A114&lt;'Données projet'!$A$166,$DL$205^A114,IF(A114='Données projet'!$A$166,'Données projet'!$B$166,DO113+DN114-DW113)))</f>
        <v>261.13600000000008</v>
      </c>
      <c r="DP114" s="18">
        <f>DO114*VLOOKUP('Données projet'!$B$14,Paramètres!$A$1:$I$89,3,0)*VLOOKUP('Données projet'!$B$14,Paramètres!$A$1:$I$89,5,0)</f>
        <v>300.82867200000004</v>
      </c>
      <c r="DQ114" s="14">
        <f t="shared" si="97"/>
        <v>71.350157057320104</v>
      </c>
      <c r="DR114" s="22">
        <f t="shared" si="70"/>
        <v>648.21146060816591</v>
      </c>
      <c r="DS114" s="62">
        <f t="shared" si="71"/>
        <v>941.54479394149917</v>
      </c>
      <c r="DT114" s="62">
        <f ca="1">AVERAGE(OFFSET($DS$3,0,0,'Données projet'!$E$14+1,1))-AVERAGE(OFFSET($H$3,0,0,'Données projet'!$E$14+1,1))</f>
        <v>431.38469096974364</v>
      </c>
      <c r="DU114" s="62">
        <f t="shared" si="98"/>
        <v>295.48627059086647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0.10367614553867352</v>
      </c>
      <c r="EC114" s="23">
        <f>EXP(-LN(2)/2)*EC113+(1-EXP(-LN(2)/2))/(LN(2)/2)*DW114*DZ114*VLOOKUP('Données projet'!$B$14,Paramètres!$A$1:$I$89,3,0)*0.475*44/12</f>
        <v>2.4685355669457906E-12</v>
      </c>
      <c r="ED114" s="24">
        <f t="shared" si="72"/>
        <v>0.10367614554114206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</v>
      </c>
      <c r="EJ114" s="13">
        <f>IF('Données projet'!$A$192&gt;35,EJ113+EI114-ER113,IF(A114&lt;'Données projet'!$A$192,$EG$205^A114,IF(A114='Données projet'!$A$192,'Données projet'!$B$192,EJ113+EI114-ER113)))</f>
        <v>184.00000000000006</v>
      </c>
      <c r="EK114" s="18">
        <f>EJ114*VLOOKUP('Données projet'!$B$15,Paramètres!$A$1:$I$89,3,0)*VLOOKUP('Données projet'!$B$15,Paramètres!$A$1:$I$89,5,0)</f>
        <v>209.53920000000008</v>
      </c>
      <c r="EL114" s="14">
        <f t="shared" si="99"/>
        <v>51.83487643455139</v>
      </c>
      <c r="EM114" s="22">
        <f t="shared" si="73"/>
        <v>455.22651645684374</v>
      </c>
      <c r="EN114" s="62">
        <f t="shared" si="74"/>
        <v>748.55984979017705</v>
      </c>
      <c r="EO114" s="62">
        <f ca="1">AVERAGE(OFFSET($EN$3,0,0,'Données projet'!$E$15+1,1))-AVERAGE(OFFSET($H$3,0,0,'Données projet'!$E$15+1,1))</f>
        <v>220.03635832253951</v>
      </c>
      <c r="EP114" s="62">
        <f t="shared" si="100"/>
        <v>136.30639155882233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4.5999999999999996</v>
      </c>
      <c r="FE114" s="13">
        <f>IF('Données projet'!$A$218&gt;35,FE113+FD114-FM113,IF(A114&lt;'Données projet'!$A$218,$FB$205^A114,IF(A114='Données projet'!$A$218,'Données projet'!$B$218,FE113+FD114-FM113)))</f>
        <v>460.60000000000076</v>
      </c>
      <c r="FF114" s="18">
        <f>FE114*VLOOKUP('Données projet'!$B$16,Paramètres!$A$1:$I$89,3,0)*VLOOKUP('Données projet'!$B$16,Paramètres!$A$1:$I$89,5,0)</f>
        <v>481.41912000000087</v>
      </c>
      <c r="FG114" s="14">
        <f t="shared" si="101"/>
        <v>108.10099301451407</v>
      </c>
      <c r="FH114" s="22">
        <f t="shared" si="76"/>
        <v>1026.7475301669467</v>
      </c>
      <c r="FI114" s="62">
        <f t="shared" si="77"/>
        <v>1320.08086350028</v>
      </c>
      <c r="FJ114" s="62">
        <f ca="1">AVERAGE(OFFSET($FI$3,0,0,'Données projet'!$E$16+1,1))-AVERAGE(OFFSET($H$3,0,0,'Données projet'!$E$16+1,1))</f>
        <v>641.62708445664862</v>
      </c>
      <c r="FK114" s="62">
        <f t="shared" si="102"/>
        <v>379.46845863546929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1.3952805833171505E-11</v>
      </c>
      <c r="FT114" s="24">
        <f t="shared" si="78"/>
        <v>1.3952805833171505E-11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3</v>
      </c>
      <c r="FZ114" s="13">
        <f>IF('Données projet'!$A$244&gt;35,FZ113+FY114-GH113,IF(A114&lt;'Données projet'!$A$244,$FW$205^A114,IF(A114='Données projet'!$A$244,'Données projet'!$B$244,FZ113+FY114-GH113)))</f>
        <v>184.00000000000006</v>
      </c>
      <c r="GA114" s="18">
        <f>FZ114*VLOOKUP('Données projet'!$B$17,Paramètres!$A$1:$I$89,3,0)*VLOOKUP('Données projet'!$B$17,Paramètres!$A$1:$I$89,5,0)</f>
        <v>177.96480000000008</v>
      </c>
      <c r="GB114" s="14">
        <f t="shared" si="103"/>
        <v>44.869092441133326</v>
      </c>
      <c r="GC114" s="22">
        <f t="shared" si="79"/>
        <v>388.10236266830731</v>
      </c>
      <c r="GD114" s="62">
        <f t="shared" si="80"/>
        <v>681.43569600164062</v>
      </c>
      <c r="GE114" s="62">
        <f ca="1">AVERAGE(OFFSET($GD$3,0,0,'Données projet'!$E$17+1,1))-AVERAGE(OFFSET($H$3,0,0,'Données projet'!$E$17+1,1))</f>
        <v>181.39066880931728</v>
      </c>
      <c r="GF114" s="62">
        <f t="shared" si="104"/>
        <v>116.06078566855524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-1.7053025658242404E-13</v>
      </c>
      <c r="GV114" s="18">
        <f>GU114*VLOOKUP('Données projet'!$B$18,Paramètres!$A$1:$I$89,3,0)*VLOOKUP('Données projet'!$B$18,Paramètres!$A$1:$I$89,5,0)</f>
        <v>-1.4897523215040567E-13</v>
      </c>
      <c r="GW114" s="14" t="e">
        <f t="shared" si="105"/>
        <v>#NUM!</v>
      </c>
      <c r="GX114" s="22" t="e">
        <f t="shared" si="82"/>
        <v>#NUM!</v>
      </c>
      <c r="GY114" s="62" t="e">
        <f t="shared" si="83"/>
        <v>#NUM!</v>
      </c>
      <c r="GZ114" s="62">
        <f ca="1">AVERAGE(OFFSET($GY$3,0,0,'Données projet'!$E$18+1,1))-AVERAGE(OFFSET($H$3,0,0,'Données projet'!$E$18+1,1))</f>
        <v>152.84277478695606</v>
      </c>
      <c r="HA114" s="62">
        <f t="shared" si="106"/>
        <v>179.22995976651015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9">
        <f t="shared" si="56"/>
        <v>393.581186554449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277.2275999999996</v>
      </c>
      <c r="P115" s="14">
        <f t="shared" si="87"/>
        <v>66.380782187895392</v>
      </c>
      <c r="Q115" s="22">
        <f t="shared" si="107"/>
        <v>598.45126564391705</v>
      </c>
      <c r="R115" s="62">
        <f t="shared" si="55"/>
        <v>891.78459897725043</v>
      </c>
      <c r="S115" s="62">
        <f ca="1">AVERAGE(OFFSET($R$3,0,0,'Données projet'!$E$9+1,1))-AVERAGE(OFFSET($H$3,0,0,'Données projet'!$E$9+1,1))</f>
        <v>383.26814640166805</v>
      </c>
      <c r="T115" s="62">
        <f t="shared" si="88"/>
        <v>233.71216103405249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</v>
      </c>
      <c r="AI115" s="14">
        <f>IF('Données projet'!$A$62&gt;35,AI114+AH115-AQ114,IF(A115&lt;'Données projet'!$A$62,$AF$205^A115,IF(A115='Données projet'!$A$62,'Données projet'!$B$62,AI114+AH115-AQ114)))</f>
        <v>187.00000000000006</v>
      </c>
      <c r="AJ115" s="14">
        <f>AI115*VLOOKUP('Données projet'!$B$10,Paramètres!$A$1:$I$89,3,0)*VLOOKUP('Données projet'!$B$10,Paramètres!$A$1:$I$89,5,0)</f>
        <v>201.28680000000006</v>
      </c>
      <c r="AK115" s="14">
        <f t="shared" si="89"/>
        <v>50.026861773677666</v>
      </c>
      <c r="AL115" s="22">
        <f t="shared" si="58"/>
        <v>437.70462758915534</v>
      </c>
      <c r="AM115" s="62">
        <f t="shared" si="59"/>
        <v>731.03796092248865</v>
      </c>
      <c r="AN115" s="62">
        <f ca="1">AVERAGE(OFFSET($AM$3,0,0,'Données projet'!$E$10+1,1))-AVERAGE(OFFSET($H$3,0,0,'Données projet'!$E$10+1,1))</f>
        <v>205.99910063756408</v>
      </c>
      <c r="AO115" s="62">
        <f t="shared" si="90"/>
        <v>128.95330275493671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293.3333333333353</v>
      </c>
      <c r="BI115" s="62">
        <f ca="1">AVERAGE(OFFSET($BH$3,0,0,'Données projet'!$E$11+1,1))-AVERAGE(OFFSET($H$3,0,0,'Données projet'!$E$11+1,1))</f>
        <v>222.20580087523689</v>
      </c>
      <c r="BJ115" s="62">
        <f t="shared" si="92"/>
        <v>232.08940427392253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1.972832568187586</v>
      </c>
      <c r="BQ115" s="23">
        <f>EXP(-LN(2)/25)*BQ114+(1-EXP(-LN(2)/25))/(LN(2)/25)*Calculateur!BL115*Calculateur!BN115*VLOOKUP('Données projet'!$B$11,Paramètres!$A$1:$I$89,3,0)*0.475*44/12</f>
        <v>1.6920715998161844</v>
      </c>
      <c r="BR115" s="23">
        <f>EXP(-LN(2)/2)*BR114+(1-EXP(-LN(2)/2))/(LN(2)/2)*BL115*BO115*VLOOKUP('Données projet'!$B$11,Paramètres!$A$1:$I$89,3,0)*0.475*44/12</f>
        <v>2.8830804448825091E-12</v>
      </c>
      <c r="BS115" s="24">
        <f t="shared" si="63"/>
        <v>3.6649041680066534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5.1159076974727213E-13</v>
      </c>
      <c r="BZ115" s="14">
        <f>BY115*VLOOKUP('Données projet'!$B$12,Paramètres!$A$1:$I$89,3,0)*VLOOKUP('Données projet'!$B$12,Paramètres!$A$1:$I$89,5,0)</f>
        <v>2.3942448024172334E-13</v>
      </c>
      <c r="CA115" s="14">
        <f t="shared" si="93"/>
        <v>3.2492669905861755E-12</v>
      </c>
      <c r="CB115" s="22">
        <f t="shared" si="64"/>
        <v>6.0761376450252565E-12</v>
      </c>
      <c r="CC115" s="62">
        <f t="shared" si="65"/>
        <v>293.3333333333394</v>
      </c>
      <c r="CD115" s="62">
        <f ca="1">AVERAGE(OFFSET($CC$3,0,0,'Données projet'!$E$12+1,1))-AVERAGE(OFFSET($H$3,0,0,'Données projet'!$E$12+1,1))</f>
        <v>179.14256291235466</v>
      </c>
      <c r="CE115" s="62">
        <f t="shared" si="94"/>
        <v>107.5256983607585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-2.8421709430404007E-13</v>
      </c>
      <c r="CU115" s="18">
        <f>CT115*VLOOKUP('Données projet'!$B$13,Paramètres!$A$1:$I$89,3,0)*VLOOKUP('Données projet'!$B$13,Paramètres!$A$1:$I$89,5,0)</f>
        <v>-1.69961822393816E-13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237.03649693529445</v>
      </c>
      <c r="CZ115" s="62">
        <f t="shared" si="96"/>
        <v>191.04289411674887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2.3932759073638592E-12</v>
      </c>
      <c r="DI115" s="24">
        <f t="shared" si="69"/>
        <v>2.3932759073638592E-12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3.1560000000000001</v>
      </c>
      <c r="DO115" s="13">
        <f>IF('Données projet'!$A$166&gt;35,DO114+DN115-DW114,IF(A115&lt;'Données projet'!$A$166,$DL$205^A115,IF(A115='Données projet'!$A$166,'Données projet'!$B$166,DO114+DN115-DW114)))</f>
        <v>264.29200000000009</v>
      </c>
      <c r="DP115" s="18">
        <f>DO115*VLOOKUP('Données projet'!$B$14,Paramètres!$A$1:$I$89,3,0)*VLOOKUP('Données projet'!$B$14,Paramètres!$A$1:$I$89,5,0)</f>
        <v>304.46438400000005</v>
      </c>
      <c r="DQ115" s="14">
        <f t="shared" si="97"/>
        <v>72.111563715186335</v>
      </c>
      <c r="DR115" s="22">
        <f t="shared" si="70"/>
        <v>655.86977560394951</v>
      </c>
      <c r="DS115" s="62">
        <f t="shared" si="71"/>
        <v>949.20310893728288</v>
      </c>
      <c r="DT115" s="62">
        <f ca="1">AVERAGE(OFFSET($DS$3,0,0,'Données projet'!$E$14+1,1))-AVERAGE(OFFSET($H$3,0,0,'Données projet'!$E$14+1,1))</f>
        <v>431.38469096974364</v>
      </c>
      <c r="DU115" s="62">
        <f t="shared" si="98"/>
        <v>295.48627059086647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0.10084111588682695</v>
      </c>
      <c r="EC115" s="23">
        <f>EXP(-LN(2)/2)*EC114+(1-EXP(-LN(2)/2))/(LN(2)/2)*DW115*DZ115*VLOOKUP('Données projet'!$B$14,Paramètres!$A$1:$I$89,3,0)*0.475*44/12</f>
        <v>1.7455182389875472E-12</v>
      </c>
      <c r="ED115" s="24">
        <f t="shared" si="72"/>
        <v>0.10084111588857247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</v>
      </c>
      <c r="EJ115" s="13">
        <f>IF('Données projet'!$A$192&gt;35,EJ114+EI115-ER114,IF(A115&lt;'Données projet'!$A$192,$EG$205^A115,IF(A115='Données projet'!$A$192,'Données projet'!$B$192,EJ114+EI115-ER114)))</f>
        <v>187.00000000000006</v>
      </c>
      <c r="EK115" s="18">
        <f>EJ115*VLOOKUP('Données projet'!$B$15,Paramètres!$A$1:$I$89,3,0)*VLOOKUP('Données projet'!$B$15,Paramètres!$A$1:$I$89,5,0)</f>
        <v>212.95560000000009</v>
      </c>
      <c r="EL115" s="14">
        <f t="shared" si="99"/>
        <v>52.580932360887203</v>
      </c>
      <c r="EM115" s="22">
        <f t="shared" si="73"/>
        <v>462.47612719521203</v>
      </c>
      <c r="EN115" s="62">
        <f t="shared" si="74"/>
        <v>755.80946052854529</v>
      </c>
      <c r="EO115" s="62">
        <f ca="1">AVERAGE(OFFSET($EN$3,0,0,'Données projet'!$E$15+1,1))-AVERAGE(OFFSET($H$3,0,0,'Données projet'!$E$15+1,1))</f>
        <v>220.03635832253951</v>
      </c>
      <c r="EP115" s="62">
        <f t="shared" si="100"/>
        <v>136.30639155882233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4.5999999999999996</v>
      </c>
      <c r="FE115" s="13">
        <f>IF('Données projet'!$A$218&gt;35,FE114+FD115-FM114,IF(A115&lt;'Données projet'!$A$218,$FB$205^A115,IF(A115='Données projet'!$A$218,'Données projet'!$B$218,FE114+FD115-FM114)))</f>
        <v>465.20000000000078</v>
      </c>
      <c r="FF115" s="18">
        <f>FE115*VLOOKUP('Données projet'!$B$16,Paramètres!$A$1:$I$89,3,0)*VLOOKUP('Données projet'!$B$16,Paramètres!$A$1:$I$89,5,0)</f>
        <v>486.22704000000084</v>
      </c>
      <c r="FG115" s="14">
        <f t="shared" si="101"/>
        <v>109.05437670655139</v>
      </c>
      <c r="FH115" s="22">
        <f t="shared" si="76"/>
        <v>1036.7818007639119</v>
      </c>
      <c r="FI115" s="62">
        <f t="shared" si="77"/>
        <v>1330.1151340972451</v>
      </c>
      <c r="FJ115" s="62">
        <f ca="1">AVERAGE(OFFSET($FI$3,0,0,'Données projet'!$E$16+1,1))-AVERAGE(OFFSET($H$3,0,0,'Données projet'!$E$16+1,1))</f>
        <v>641.62708445664862</v>
      </c>
      <c r="FK115" s="62">
        <f t="shared" si="102"/>
        <v>379.46845863546929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9.8661236212147872E-12</v>
      </c>
      <c r="FT115" s="24">
        <f t="shared" si="78"/>
        <v>9.8661236212147872E-12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3</v>
      </c>
      <c r="FZ115" s="13">
        <f>IF('Données projet'!$A$244&gt;35,FZ114+FY115-GH114,IF(A115&lt;'Données projet'!$A$244,$FW$205^A115,IF(A115='Données projet'!$A$244,'Données projet'!$B$244,FZ114+FY115-GH114)))</f>
        <v>187.00000000000006</v>
      </c>
      <c r="GA115" s="18">
        <f>FZ115*VLOOKUP('Données projet'!$B$17,Paramètres!$A$1:$I$89,3,0)*VLOOKUP('Données projet'!$B$17,Paramètres!$A$1:$I$89,5,0)</f>
        <v>180.86640000000006</v>
      </c>
      <c r="GB115" s="14">
        <f t="shared" si="103"/>
        <v>45.514890302102152</v>
      </c>
      <c r="GC115" s="22">
        <f t="shared" si="79"/>
        <v>394.28074727616132</v>
      </c>
      <c r="GD115" s="62">
        <f t="shared" si="80"/>
        <v>687.61408060949464</v>
      </c>
      <c r="GE115" s="62">
        <f ca="1">AVERAGE(OFFSET($GD$3,0,0,'Données projet'!$E$17+1,1))-AVERAGE(OFFSET($H$3,0,0,'Données projet'!$E$17+1,1))</f>
        <v>181.39066880931728</v>
      </c>
      <c r="GF115" s="62">
        <f t="shared" si="104"/>
        <v>116.06078566855524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-1.7053025658242404E-13</v>
      </c>
      <c r="GV115" s="18">
        <f>GU115*VLOOKUP('Données projet'!$B$18,Paramètres!$A$1:$I$89,3,0)*VLOOKUP('Données projet'!$B$18,Paramètres!$A$1:$I$89,5,0)</f>
        <v>-1.4897523215040567E-13</v>
      </c>
      <c r="GW115" s="14" t="e">
        <f t="shared" si="105"/>
        <v>#NUM!</v>
      </c>
      <c r="GX115" s="22" t="e">
        <f t="shared" si="82"/>
        <v>#NUM!</v>
      </c>
      <c r="GY115" s="62" t="e">
        <f t="shared" si="83"/>
        <v>#NUM!</v>
      </c>
      <c r="GZ115" s="62">
        <f ca="1">AVERAGE(OFFSET($GY$3,0,0,'Données projet'!$E$18+1,1))-AVERAGE(OFFSET($H$3,0,0,'Données projet'!$E$18+1,1))</f>
        <v>152.84277478695606</v>
      </c>
      <c r="HA115" s="62">
        <f t="shared" si="106"/>
        <v>179.22995976651015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9">
        <f t="shared" si="56"/>
        <v>394.77191065107274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280.9793999999996</v>
      </c>
      <c r="P116" s="14">
        <f t="shared" si="87"/>
        <v>67.173942175199358</v>
      </c>
      <c r="Q116" s="22">
        <f t="shared" si="107"/>
        <v>606.36707095513827</v>
      </c>
      <c r="R116" s="62">
        <f t="shared" si="55"/>
        <v>899.70040428847165</v>
      </c>
      <c r="S116" s="62">
        <f ca="1">AVERAGE(OFFSET($R$3,0,0,'Données projet'!$E$9+1,1))-AVERAGE(OFFSET($H$3,0,0,'Données projet'!$E$9+1,1))</f>
        <v>383.26814640166805</v>
      </c>
      <c r="T116" s="62">
        <f t="shared" si="88"/>
        <v>233.71216103405249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</v>
      </c>
      <c r="AI116" s="14">
        <f>IF('Données projet'!$A$62&gt;35,AI115+AH116-AQ115,IF(A116&lt;'Données projet'!$A$62,$AF$205^A116,IF(A116='Données projet'!$A$62,'Données projet'!$B$62,AI115+AH116-AQ115)))</f>
        <v>190.00000000000006</v>
      </c>
      <c r="AJ116" s="14">
        <f>AI116*VLOOKUP('Données projet'!$B$10,Paramètres!$A$1:$I$89,3,0)*VLOOKUP('Données projet'!$B$10,Paramètres!$A$1:$I$89,5,0)</f>
        <v>204.51600000000005</v>
      </c>
      <c r="AK116" s="14">
        <f t="shared" si="89"/>
        <v>50.735354396355888</v>
      </c>
      <c r="AL116" s="22">
        <f t="shared" si="58"/>
        <v>444.5627755736532</v>
      </c>
      <c r="AM116" s="62">
        <f t="shared" si="59"/>
        <v>737.89610890698646</v>
      </c>
      <c r="AN116" s="62">
        <f ca="1">AVERAGE(OFFSET($AM$3,0,0,'Données projet'!$E$10+1,1))-AVERAGE(OFFSET($H$3,0,0,'Données projet'!$E$10+1,1))</f>
        <v>205.99910063756408</v>
      </c>
      <c r="AO116" s="62">
        <f t="shared" si="90"/>
        <v>128.95330275493671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293.3333333333353</v>
      </c>
      <c r="BI116" s="62">
        <f ca="1">AVERAGE(OFFSET($BH$3,0,0,'Données projet'!$E$11+1,1))-AVERAGE(OFFSET($H$3,0,0,'Données projet'!$E$11+1,1))</f>
        <v>222.20580087523689</v>
      </c>
      <c r="BJ116" s="62">
        <f t="shared" si="92"/>
        <v>232.08940427392253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1.9341465248344771</v>
      </c>
      <c r="BQ116" s="23">
        <f>EXP(-LN(2)/25)*BQ115+(1-EXP(-LN(2)/25))/(LN(2)/25)*Calculateur!BL116*Calculateur!BN116*VLOOKUP('Données projet'!$B$11,Paramètres!$A$1:$I$89,3,0)*0.475*44/12</f>
        <v>1.6458018129370326</v>
      </c>
      <c r="BR116" s="23">
        <f>EXP(-LN(2)/2)*BR115+(1-EXP(-LN(2)/2))/(LN(2)/2)*BL116*BO116*VLOOKUP('Données projet'!$B$11,Paramètres!$A$1:$I$89,3,0)*0.475*44/12</f>
        <v>2.0386457332827505E-12</v>
      </c>
      <c r="BS116" s="24">
        <f t="shared" si="63"/>
        <v>3.5799483377735486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5.1159076974727213E-13</v>
      </c>
      <c r="BZ116" s="14">
        <f>BY116*VLOOKUP('Données projet'!$B$12,Paramètres!$A$1:$I$89,3,0)*VLOOKUP('Données projet'!$B$12,Paramètres!$A$1:$I$89,5,0)</f>
        <v>2.3942448024172334E-13</v>
      </c>
      <c r="CA116" s="14">
        <f t="shared" si="93"/>
        <v>3.2492669905861755E-12</v>
      </c>
      <c r="CB116" s="22">
        <f t="shared" si="64"/>
        <v>6.0761376450252565E-12</v>
      </c>
      <c r="CC116" s="62">
        <f t="shared" si="65"/>
        <v>293.3333333333394</v>
      </c>
      <c r="CD116" s="62">
        <f ca="1">AVERAGE(OFFSET($CC$3,0,0,'Données projet'!$E$12+1,1))-AVERAGE(OFFSET($H$3,0,0,'Données projet'!$E$12+1,1))</f>
        <v>179.14256291235466</v>
      </c>
      <c r="CE116" s="62">
        <f t="shared" si="94"/>
        <v>107.5256983607585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-2.8421709430404007E-13</v>
      </c>
      <c r="CU116" s="18">
        <f>CT116*VLOOKUP('Données projet'!$B$13,Paramètres!$A$1:$I$89,3,0)*VLOOKUP('Données projet'!$B$13,Paramètres!$A$1:$I$89,5,0)</f>
        <v>-1.69961822393816E-13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237.03649693529445</v>
      </c>
      <c r="CZ116" s="62">
        <f t="shared" si="96"/>
        <v>191.04289411674887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1.6923016233473724E-12</v>
      </c>
      <c r="DI116" s="24">
        <f t="shared" si="69"/>
        <v>1.6923016233473724E-12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3.1560000000000001</v>
      </c>
      <c r="DO116" s="13">
        <f>IF('Données projet'!$A$166&gt;35,DO115+DN116-DW115,IF(A116&lt;'Données projet'!$A$166,$DL$205^A116,IF(A116='Données projet'!$A$166,'Données projet'!$B$166,DO115+DN116-DW115)))</f>
        <v>267.44800000000009</v>
      </c>
      <c r="DP116" s="18">
        <f>DO116*VLOOKUP('Données projet'!$B$14,Paramètres!$A$1:$I$89,3,0)*VLOOKUP('Données projet'!$B$14,Paramètres!$A$1:$I$89,5,0)</f>
        <v>308.10009600000006</v>
      </c>
      <c r="DQ116" s="14">
        <f t="shared" si="97"/>
        <v>72.871912747952933</v>
      </c>
      <c r="DR116" s="22">
        <f t="shared" si="70"/>
        <v>663.52624856935142</v>
      </c>
      <c r="DS116" s="62">
        <f t="shared" si="71"/>
        <v>956.85958190268479</v>
      </c>
      <c r="DT116" s="62">
        <f ca="1">AVERAGE(OFFSET($DS$3,0,0,'Données projet'!$E$14+1,1))-AVERAGE(OFFSET($H$3,0,0,'Données projet'!$E$14+1,1))</f>
        <v>431.38469096974364</v>
      </c>
      <c r="DU116" s="62">
        <f t="shared" si="98"/>
        <v>295.48627059086647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9.8083610269897856E-2</v>
      </c>
      <c r="EC116" s="23">
        <f>EXP(-LN(2)/2)*EC115+(1-EXP(-LN(2)/2))/(LN(2)/2)*DW116*DZ116*VLOOKUP('Données projet'!$B$14,Paramètres!$A$1:$I$89,3,0)*0.475*44/12</f>
        <v>1.2342677834728953E-12</v>
      </c>
      <c r="ED116" s="24">
        <f t="shared" si="72"/>
        <v>9.8083610271132118E-2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</v>
      </c>
      <c r="EJ116" s="13">
        <f>IF('Données projet'!$A$192&gt;35,EJ115+EI116-ER115,IF(A116&lt;'Données projet'!$A$192,$EG$205^A116,IF(A116='Données projet'!$A$192,'Données projet'!$B$192,EJ115+EI116-ER115)))</f>
        <v>190.00000000000006</v>
      </c>
      <c r="EK116" s="18">
        <f>EJ116*VLOOKUP('Données projet'!$B$15,Paramètres!$A$1:$I$89,3,0)*VLOOKUP('Données projet'!$B$15,Paramètres!$A$1:$I$89,5,0)</f>
        <v>216.37200000000007</v>
      </c>
      <c r="EL116" s="14">
        <f t="shared" si="99"/>
        <v>53.325596354398634</v>
      </c>
      <c r="EM116" s="22">
        <f t="shared" si="73"/>
        <v>469.72331365057767</v>
      </c>
      <c r="EN116" s="62">
        <f t="shared" si="74"/>
        <v>763.05664698391092</v>
      </c>
      <c r="EO116" s="62">
        <f ca="1">AVERAGE(OFFSET($EN$3,0,0,'Données projet'!$E$15+1,1))-AVERAGE(OFFSET($H$3,0,0,'Données projet'!$E$15+1,1))</f>
        <v>220.03635832253951</v>
      </c>
      <c r="EP116" s="62">
        <f t="shared" si="100"/>
        <v>136.30639155882233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4.5999999999999996</v>
      </c>
      <c r="FE116" s="13">
        <f>IF('Données projet'!$A$218&gt;35,FE115+FD116-FM115,IF(A116&lt;'Données projet'!$A$218,$FB$205^A116,IF(A116='Données projet'!$A$218,'Données projet'!$B$218,FE115+FD116-FM115)))</f>
        <v>469.80000000000081</v>
      </c>
      <c r="FF116" s="18">
        <f>FE116*VLOOKUP('Données projet'!$B$16,Paramètres!$A$1:$I$89,3,0)*VLOOKUP('Données projet'!$B$16,Paramètres!$A$1:$I$89,5,0)</f>
        <v>491.03496000000092</v>
      </c>
      <c r="FG116" s="14">
        <f t="shared" si="101"/>
        <v>110.00666367698149</v>
      </c>
      <c r="FH116" s="22">
        <f t="shared" si="76"/>
        <v>1046.8141612374111</v>
      </c>
      <c r="FI116" s="62">
        <f t="shared" si="77"/>
        <v>1340.1474945707444</v>
      </c>
      <c r="FJ116" s="62">
        <f ca="1">AVERAGE(OFFSET($FI$3,0,0,'Données projet'!$E$16+1,1))-AVERAGE(OFFSET($H$3,0,0,'Données projet'!$E$16+1,1))</f>
        <v>641.62708445664862</v>
      </c>
      <c r="FK116" s="62">
        <f t="shared" si="102"/>
        <v>379.46845863546929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6.9764029165857525E-12</v>
      </c>
      <c r="FT116" s="24">
        <f t="shared" si="78"/>
        <v>6.9764029165857525E-12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3</v>
      </c>
      <c r="FZ116" s="13">
        <f>IF('Données projet'!$A$244&gt;35,FZ115+FY116-GH115,IF(A116&lt;'Données projet'!$A$244,$FW$205^A116,IF(A116='Données projet'!$A$244,'Données projet'!$B$244,FZ115+FY116-GH115)))</f>
        <v>190.00000000000006</v>
      </c>
      <c r="GA116" s="18">
        <f>FZ116*VLOOKUP('Données projet'!$B$17,Paramètres!$A$1:$I$89,3,0)*VLOOKUP('Données projet'!$B$17,Paramètres!$A$1:$I$89,5,0)</f>
        <v>183.76800000000006</v>
      </c>
      <c r="GB116" s="14">
        <f t="shared" si="103"/>
        <v>46.159483283907285</v>
      </c>
      <c r="GC116" s="22">
        <f t="shared" si="79"/>
        <v>400.45703338613862</v>
      </c>
      <c r="GD116" s="62">
        <f t="shared" si="80"/>
        <v>693.79036671947188</v>
      </c>
      <c r="GE116" s="62">
        <f ca="1">AVERAGE(OFFSET($GD$3,0,0,'Données projet'!$E$17+1,1))-AVERAGE(OFFSET($H$3,0,0,'Données projet'!$E$17+1,1))</f>
        <v>181.39066880931728</v>
      </c>
      <c r="GF116" s="62">
        <f t="shared" si="104"/>
        <v>116.06078566855524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-1.7053025658242404E-13</v>
      </c>
      <c r="GV116" s="18">
        <f>GU116*VLOOKUP('Données projet'!$B$18,Paramètres!$A$1:$I$89,3,0)*VLOOKUP('Données projet'!$B$18,Paramètres!$A$1:$I$89,5,0)</f>
        <v>-1.4897523215040567E-13</v>
      </c>
      <c r="GW116" s="14" t="e">
        <f t="shared" si="105"/>
        <v>#NUM!</v>
      </c>
      <c r="GX116" s="22" t="e">
        <f t="shared" si="82"/>
        <v>#NUM!</v>
      </c>
      <c r="GY116" s="62" t="e">
        <f t="shared" si="83"/>
        <v>#NUM!</v>
      </c>
      <c r="GZ116" s="62">
        <f ca="1">AVERAGE(OFFSET($GY$3,0,0,'Données projet'!$E$18+1,1))-AVERAGE(OFFSET($H$3,0,0,'Données projet'!$E$18+1,1))</f>
        <v>152.84277478695606</v>
      </c>
      <c r="HA116" s="62">
        <f t="shared" si="106"/>
        <v>179.22995976651015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9">
        <f t="shared" si="56"/>
        <v>395.96238788291635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284.7311999999996</v>
      </c>
      <c r="P117" s="14">
        <f t="shared" si="87"/>
        <v>67.965870320050882</v>
      </c>
      <c r="Q117" s="22">
        <f t="shared" si="107"/>
        <v>614.28073080742126</v>
      </c>
      <c r="R117" s="62">
        <f t="shared" si="55"/>
        <v>907.61406414075464</v>
      </c>
      <c r="S117" s="62">
        <f ca="1">AVERAGE(OFFSET($R$3,0,0,'Données projet'!$E$9+1,1))-AVERAGE(OFFSET($H$3,0,0,'Données projet'!$E$9+1,1))</f>
        <v>383.26814640166805</v>
      </c>
      <c r="T117" s="62">
        <f t="shared" si="88"/>
        <v>233.71216103405249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</v>
      </c>
      <c r="AI117" s="14">
        <f>IF('Données projet'!$A$62&gt;35,AI116+AH117-AQ116,IF(A117&lt;'Données projet'!$A$62,$AF$205^A117,IF(A117='Données projet'!$A$62,'Données projet'!$B$62,AI116+AH117-AQ116)))</f>
        <v>193.00000000000006</v>
      </c>
      <c r="AJ117" s="14">
        <f>AI117*VLOOKUP('Données projet'!$B$10,Paramètres!$A$1:$I$89,3,0)*VLOOKUP('Données projet'!$B$10,Paramètres!$A$1:$I$89,5,0)</f>
        <v>207.74520000000004</v>
      </c>
      <c r="AK117" s="14">
        <f t="shared" si="89"/>
        <v>51.442546022877416</v>
      </c>
      <c r="AL117" s="22">
        <f t="shared" si="58"/>
        <v>451.41865765651147</v>
      </c>
      <c r="AM117" s="62">
        <f t="shared" si="59"/>
        <v>744.75199098984478</v>
      </c>
      <c r="AN117" s="62">
        <f ca="1">AVERAGE(OFFSET($AM$3,0,0,'Données projet'!$E$10+1,1))-AVERAGE(OFFSET($H$3,0,0,'Données projet'!$E$10+1,1))</f>
        <v>205.99910063756408</v>
      </c>
      <c r="AO117" s="62">
        <f t="shared" si="90"/>
        <v>128.95330275493671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293.3333333333353</v>
      </c>
      <c r="BI117" s="62">
        <f ca="1">AVERAGE(OFFSET($BH$3,0,0,'Données projet'!$E$11+1,1))-AVERAGE(OFFSET($H$3,0,0,'Données projet'!$E$11+1,1))</f>
        <v>222.20580087523689</v>
      </c>
      <c r="BJ117" s="62">
        <f t="shared" si="92"/>
        <v>232.08940427392253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1.8962190911953662</v>
      </c>
      <c r="BQ117" s="23">
        <f>EXP(-LN(2)/25)*BQ116+(1-EXP(-LN(2)/25))/(LN(2)/25)*Calculateur!BL117*Calculateur!BN117*VLOOKUP('Données projet'!$B$11,Paramètres!$A$1:$I$89,3,0)*0.475*44/12</f>
        <v>1.6007972758133138</v>
      </c>
      <c r="BR117" s="23">
        <f>EXP(-LN(2)/2)*BR116+(1-EXP(-LN(2)/2))/(LN(2)/2)*BL117*BO117*VLOOKUP('Données projet'!$B$11,Paramètres!$A$1:$I$89,3,0)*0.475*44/12</f>
        <v>1.4415402224412546E-12</v>
      </c>
      <c r="BS117" s="24">
        <f t="shared" si="63"/>
        <v>3.4970163670101213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5.1159076974727213E-13</v>
      </c>
      <c r="BZ117" s="14">
        <f>BY117*VLOOKUP('Données projet'!$B$12,Paramètres!$A$1:$I$89,3,0)*VLOOKUP('Données projet'!$B$12,Paramètres!$A$1:$I$89,5,0)</f>
        <v>2.3942448024172334E-13</v>
      </c>
      <c r="CA117" s="14">
        <f t="shared" si="93"/>
        <v>3.2492669905861755E-12</v>
      </c>
      <c r="CB117" s="22">
        <f t="shared" si="64"/>
        <v>6.0761376450252565E-12</v>
      </c>
      <c r="CC117" s="62">
        <f t="shared" si="65"/>
        <v>293.3333333333394</v>
      </c>
      <c r="CD117" s="62">
        <f ca="1">AVERAGE(OFFSET($CC$3,0,0,'Données projet'!$E$12+1,1))-AVERAGE(OFFSET($H$3,0,0,'Données projet'!$E$12+1,1))</f>
        <v>179.14256291235466</v>
      </c>
      <c r="CE117" s="62">
        <f t="shared" si="94"/>
        <v>107.5256983607585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-2.8421709430404007E-13</v>
      </c>
      <c r="CU117" s="18">
        <f>CT117*VLOOKUP('Données projet'!$B$13,Paramètres!$A$1:$I$89,3,0)*VLOOKUP('Données projet'!$B$13,Paramètres!$A$1:$I$89,5,0)</f>
        <v>-1.69961822393816E-13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237.03649693529445</v>
      </c>
      <c r="CZ117" s="62">
        <f t="shared" si="96"/>
        <v>191.04289411674887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1.1966379536819296E-12</v>
      </c>
      <c r="DI117" s="24">
        <f t="shared" si="69"/>
        <v>1.1966379536819296E-12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3.1560000000000001</v>
      </c>
      <c r="DO117" s="13">
        <f>IF('Données projet'!$A$166&gt;35,DO116+DN117-DW116,IF(A117&lt;'Données projet'!$A$166,$DL$205^A117,IF(A117='Données projet'!$A$166,'Données projet'!$B$166,DO116+DN117-DW116)))</f>
        <v>270.6040000000001</v>
      </c>
      <c r="DP117" s="18">
        <f>DO117*VLOOKUP('Données projet'!$B$14,Paramètres!$A$1:$I$89,3,0)*VLOOKUP('Données projet'!$B$14,Paramètres!$A$1:$I$89,5,0)</f>
        <v>311.73580800000008</v>
      </c>
      <c r="DQ117" s="14">
        <f t="shared" si="97"/>
        <v>73.631218079852005</v>
      </c>
      <c r="DR117" s="22">
        <f t="shared" si="70"/>
        <v>671.18090375574229</v>
      </c>
      <c r="DS117" s="62">
        <f t="shared" si="71"/>
        <v>964.51423708907555</v>
      </c>
      <c r="DT117" s="62">
        <f ca="1">AVERAGE(OFFSET($DS$3,0,0,'Données projet'!$E$14+1,1))-AVERAGE(OFFSET($H$3,0,0,'Données projet'!$E$14+1,1))</f>
        <v>431.38469096974364</v>
      </c>
      <c r="DU117" s="62">
        <f t="shared" si="98"/>
        <v>295.48627059086647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9.5401508789074607E-2</v>
      </c>
      <c r="EC117" s="23">
        <f>EXP(-LN(2)/2)*EC116+(1-EXP(-LN(2)/2))/(LN(2)/2)*DW117*DZ117*VLOOKUP('Données projet'!$B$14,Paramètres!$A$1:$I$89,3,0)*0.475*44/12</f>
        <v>8.7275911949377361E-13</v>
      </c>
      <c r="ED117" s="24">
        <f t="shared" si="72"/>
        <v>9.5401508789947367E-2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</v>
      </c>
      <c r="EJ117" s="13">
        <f>IF('Données projet'!$A$192&gt;35,EJ116+EI117-ER116,IF(A117&lt;'Données projet'!$A$192,$EG$205^A117,IF(A117='Données projet'!$A$192,'Données projet'!$B$192,EJ116+EI117-ER116)))</f>
        <v>193.00000000000006</v>
      </c>
      <c r="EK117" s="18">
        <f>EJ117*VLOOKUP('Données projet'!$B$15,Paramètres!$A$1:$I$89,3,0)*VLOOKUP('Données projet'!$B$15,Paramètres!$A$1:$I$89,5,0)</f>
        <v>219.78840000000008</v>
      </c>
      <c r="EL117" s="14">
        <f t="shared" si="99"/>
        <v>54.068892930716707</v>
      </c>
      <c r="EM117" s="22">
        <f t="shared" si="73"/>
        <v>476.96811852099836</v>
      </c>
      <c r="EN117" s="62">
        <f t="shared" si="74"/>
        <v>770.30145185433162</v>
      </c>
      <c r="EO117" s="62">
        <f ca="1">AVERAGE(OFFSET($EN$3,0,0,'Données projet'!$E$15+1,1))-AVERAGE(OFFSET($H$3,0,0,'Données projet'!$E$15+1,1))</f>
        <v>220.03635832253951</v>
      </c>
      <c r="EP117" s="62">
        <f t="shared" si="100"/>
        <v>136.30639155882233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4.5999999999999996</v>
      </c>
      <c r="FE117" s="13">
        <f>IF('Données projet'!$A$218&gt;35,FE116+FD117-FM116,IF(A117&lt;'Données projet'!$A$218,$FB$205^A117,IF(A117='Données projet'!$A$218,'Données projet'!$B$218,FE116+FD117-FM116)))</f>
        <v>474.40000000000083</v>
      </c>
      <c r="FF117" s="18">
        <f>FE117*VLOOKUP('Données projet'!$B$16,Paramètres!$A$1:$I$89,3,0)*VLOOKUP('Données projet'!$B$16,Paramètres!$A$1:$I$89,5,0)</f>
        <v>495.84288000000095</v>
      </c>
      <c r="FG117" s="14">
        <f t="shared" si="101"/>
        <v>110.95786590775472</v>
      </c>
      <c r="FH117" s="22">
        <f t="shared" si="76"/>
        <v>1056.8446324560077</v>
      </c>
      <c r="FI117" s="62">
        <f t="shared" si="77"/>
        <v>1350.177965789341</v>
      </c>
      <c r="FJ117" s="62">
        <f ca="1">AVERAGE(OFFSET($FI$3,0,0,'Données projet'!$E$16+1,1))-AVERAGE(OFFSET($H$3,0,0,'Données projet'!$E$16+1,1))</f>
        <v>641.62708445664862</v>
      </c>
      <c r="FK117" s="62">
        <f t="shared" si="102"/>
        <v>379.46845863546929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4.9330618106073936E-12</v>
      </c>
      <c r="FT117" s="24">
        <f t="shared" si="78"/>
        <v>4.9330618106073936E-12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3</v>
      </c>
      <c r="FZ117" s="13">
        <f>IF('Données projet'!$A$244&gt;35,FZ116+FY117-GH116,IF(A117&lt;'Données projet'!$A$244,$FW$205^A117,IF(A117='Données projet'!$A$244,'Données projet'!$B$244,FZ116+FY117-GH116)))</f>
        <v>193.00000000000006</v>
      </c>
      <c r="GA117" s="18">
        <f>FZ117*VLOOKUP('Données projet'!$B$17,Paramètres!$A$1:$I$89,3,0)*VLOOKUP('Données projet'!$B$17,Paramètres!$A$1:$I$89,5,0)</f>
        <v>186.66960000000006</v>
      </c>
      <c r="GB117" s="14">
        <f t="shared" si="103"/>
        <v>46.802892607668348</v>
      </c>
      <c r="GC117" s="22">
        <f t="shared" si="79"/>
        <v>406.63125795835577</v>
      </c>
      <c r="GD117" s="62">
        <f t="shared" si="80"/>
        <v>699.96459129168909</v>
      </c>
      <c r="GE117" s="62">
        <f ca="1">AVERAGE(OFFSET($GD$3,0,0,'Données projet'!$E$17+1,1))-AVERAGE(OFFSET($H$3,0,0,'Données projet'!$E$17+1,1))</f>
        <v>181.39066880931728</v>
      </c>
      <c r="GF117" s="62">
        <f t="shared" si="104"/>
        <v>116.06078566855524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-1.7053025658242404E-13</v>
      </c>
      <c r="GV117" s="18">
        <f>GU117*VLOOKUP('Données projet'!$B$18,Paramètres!$A$1:$I$89,3,0)*VLOOKUP('Données projet'!$B$18,Paramètres!$A$1:$I$89,5,0)</f>
        <v>-1.4897523215040567E-13</v>
      </c>
      <c r="GW117" s="14" t="e">
        <f t="shared" si="105"/>
        <v>#NUM!</v>
      </c>
      <c r="GX117" s="22" t="e">
        <f t="shared" si="82"/>
        <v>#NUM!</v>
      </c>
      <c r="GY117" s="62" t="e">
        <f t="shared" si="83"/>
        <v>#NUM!</v>
      </c>
      <c r="GZ117" s="62">
        <f ca="1">AVERAGE(OFFSET($GY$3,0,0,'Données projet'!$E$18+1,1))-AVERAGE(OFFSET($H$3,0,0,'Données projet'!$E$18+1,1))</f>
        <v>152.84277478695606</v>
      </c>
      <c r="HA117" s="62">
        <f t="shared" si="106"/>
        <v>179.22995976651015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9">
        <f t="shared" si="56"/>
        <v>397.15262066635069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288.48299999999955</v>
      </c>
      <c r="P118" s="14">
        <f t="shared" si="87"/>
        <v>68.756584730508635</v>
      </c>
      <c r="Q118" s="22">
        <f t="shared" si="107"/>
        <v>622.19227673896842</v>
      </c>
      <c r="R118" s="62">
        <f t="shared" si="55"/>
        <v>915.52561007230179</v>
      </c>
      <c r="S118" s="62">
        <f ca="1">AVERAGE(OFFSET($R$3,0,0,'Données projet'!$E$9+1,1))-AVERAGE(OFFSET($H$3,0,0,'Données projet'!$E$9+1,1))</f>
        <v>383.26814640166805</v>
      </c>
      <c r="T118" s="62">
        <f t="shared" si="88"/>
        <v>233.71216103405249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</v>
      </c>
      <c r="AI118" s="14">
        <f>IF('Données projet'!$A$62&gt;35,AI117+AH118-AQ117,IF(A118&lt;'Données projet'!$A$62,$AF$205^A118,IF(A118='Données projet'!$A$62,'Données projet'!$B$62,AI117+AH118-AQ117)))</f>
        <v>196.00000000000006</v>
      </c>
      <c r="AJ118" s="14">
        <f>AI118*VLOOKUP('Données projet'!$B$10,Paramètres!$A$1:$I$89,3,0)*VLOOKUP('Données projet'!$B$10,Paramètres!$A$1:$I$89,5,0)</f>
        <v>210.97440000000006</v>
      </c>
      <c r="AK118" s="14">
        <f t="shared" si="89"/>
        <v>52.148459211324706</v>
      </c>
      <c r="AL118" s="22">
        <f t="shared" si="58"/>
        <v>458.27231312639066</v>
      </c>
      <c r="AM118" s="62">
        <f t="shared" si="59"/>
        <v>751.60564645972397</v>
      </c>
      <c r="AN118" s="62">
        <f ca="1">AVERAGE(OFFSET($AM$3,0,0,'Données projet'!$E$10+1,1))-AVERAGE(OFFSET($H$3,0,0,'Données projet'!$E$10+1,1))</f>
        <v>205.99910063756408</v>
      </c>
      <c r="AO118" s="62">
        <f t="shared" si="90"/>
        <v>128.95330275493671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293.3333333333353</v>
      </c>
      <c r="BI118" s="62">
        <f ca="1">AVERAGE(OFFSET($BH$3,0,0,'Données projet'!$E$11+1,1))-AVERAGE(OFFSET($H$3,0,0,'Données projet'!$E$11+1,1))</f>
        <v>222.20580087523689</v>
      </c>
      <c r="BJ118" s="62">
        <f t="shared" si="92"/>
        <v>232.08940427392253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1.8590353913964681</v>
      </c>
      <c r="BQ118" s="23">
        <f>EXP(-LN(2)/25)*BQ117+(1-EXP(-LN(2)/25))/(LN(2)/25)*Calculateur!BL118*Calculateur!BN118*VLOOKUP('Données projet'!$B$11,Paramètres!$A$1:$I$89,3,0)*0.475*44/12</f>
        <v>1.5570233901239285</v>
      </c>
      <c r="BR118" s="23">
        <f>EXP(-LN(2)/2)*BR117+(1-EXP(-LN(2)/2))/(LN(2)/2)*BL118*BO118*VLOOKUP('Données projet'!$B$11,Paramètres!$A$1:$I$89,3,0)*0.475*44/12</f>
        <v>1.0193228666413752E-12</v>
      </c>
      <c r="BS118" s="24">
        <f t="shared" si="63"/>
        <v>3.4160587815214156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5.1159076974727213E-13</v>
      </c>
      <c r="BZ118" s="14">
        <f>BY118*VLOOKUP('Données projet'!$B$12,Paramètres!$A$1:$I$89,3,0)*VLOOKUP('Données projet'!$B$12,Paramètres!$A$1:$I$89,5,0)</f>
        <v>2.3942448024172334E-13</v>
      </c>
      <c r="CA118" s="14">
        <f t="shared" si="93"/>
        <v>3.2492669905861755E-12</v>
      </c>
      <c r="CB118" s="22">
        <f t="shared" si="64"/>
        <v>6.0761376450252565E-12</v>
      </c>
      <c r="CC118" s="62">
        <f t="shared" si="65"/>
        <v>293.3333333333394</v>
      </c>
      <c r="CD118" s="62">
        <f ca="1">AVERAGE(OFFSET($CC$3,0,0,'Données projet'!$E$12+1,1))-AVERAGE(OFFSET($H$3,0,0,'Données projet'!$E$12+1,1))</f>
        <v>179.14256291235466</v>
      </c>
      <c r="CE118" s="62">
        <f t="shared" si="94"/>
        <v>107.5256983607585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-2.8421709430404007E-13</v>
      </c>
      <c r="CU118" s="18">
        <f>CT118*VLOOKUP('Données projet'!$B$13,Paramètres!$A$1:$I$89,3,0)*VLOOKUP('Données projet'!$B$13,Paramètres!$A$1:$I$89,5,0)</f>
        <v>-1.69961822393816E-13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237.03649693529445</v>
      </c>
      <c r="CZ118" s="62">
        <f t="shared" si="96"/>
        <v>191.04289411674887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8.461508116736862E-13</v>
      </c>
      <c r="DI118" s="24">
        <f t="shared" si="69"/>
        <v>8.461508116736862E-13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3.1560000000000001</v>
      </c>
      <c r="DO118" s="13">
        <f>IF('Données projet'!$A$166&gt;35,DO117+DN118-DW117,IF(A118&lt;'Données projet'!$A$166,$DL$205^A118,IF(A118='Données projet'!$A$166,'Données projet'!$B$166,DO117+DN118-DW117)))</f>
        <v>273.7600000000001</v>
      </c>
      <c r="DP118" s="18">
        <f>DO118*VLOOKUP('Données projet'!$B$14,Paramètres!$A$1:$I$89,3,0)*VLOOKUP('Données projet'!$B$14,Paramètres!$A$1:$I$89,5,0)</f>
        <v>315.37152000000009</v>
      </c>
      <c r="DQ118" s="14">
        <f t="shared" si="97"/>
        <v>74.389493291631624</v>
      </c>
      <c r="DR118" s="22">
        <f t="shared" si="70"/>
        <v>678.83376481625851</v>
      </c>
      <c r="DS118" s="62">
        <f t="shared" si="71"/>
        <v>972.16709814959177</v>
      </c>
      <c r="DT118" s="62">
        <f ca="1">AVERAGE(OFFSET($DS$3,0,0,'Données projet'!$E$14+1,1))-AVERAGE(OFFSET($H$3,0,0,'Données projet'!$E$14+1,1))</f>
        <v>431.38469096974364</v>
      </c>
      <c r="DU118" s="62">
        <f t="shared" si="98"/>
        <v>295.48627059086647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9.2792749514290063E-2</v>
      </c>
      <c r="EC118" s="23">
        <f>EXP(-LN(2)/2)*EC117+(1-EXP(-LN(2)/2))/(LN(2)/2)*DW118*DZ118*VLOOKUP('Données projet'!$B$14,Paramètres!$A$1:$I$89,3,0)*0.475*44/12</f>
        <v>6.1713389173644765E-13</v>
      </c>
      <c r="ED118" s="24">
        <f t="shared" si="72"/>
        <v>9.2792749514907194E-2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</v>
      </c>
      <c r="EJ118" s="13">
        <f>IF('Données projet'!$A$192&gt;35,EJ117+EI118-ER117,IF(A118&lt;'Données projet'!$A$192,$EG$205^A118,IF(A118='Données projet'!$A$192,'Données projet'!$B$192,EJ117+EI118-ER117)))</f>
        <v>196.00000000000006</v>
      </c>
      <c r="EK118" s="18">
        <f>EJ118*VLOOKUP('Données projet'!$B$15,Paramètres!$A$1:$I$89,3,0)*VLOOKUP('Données projet'!$B$15,Paramètres!$A$1:$I$89,5,0)</f>
        <v>223.20480000000006</v>
      </c>
      <c r="EL118" s="14">
        <f t="shared" si="99"/>
        <v>54.810845799603989</v>
      </c>
      <c r="EM118" s="22">
        <f t="shared" si="73"/>
        <v>484.21058310097698</v>
      </c>
      <c r="EN118" s="62">
        <f t="shared" si="74"/>
        <v>777.54391643431029</v>
      </c>
      <c r="EO118" s="62">
        <f ca="1">AVERAGE(OFFSET($EN$3,0,0,'Données projet'!$E$15+1,1))-AVERAGE(OFFSET($H$3,0,0,'Données projet'!$E$15+1,1))</f>
        <v>220.03635832253951</v>
      </c>
      <c r="EP118" s="62">
        <f t="shared" si="100"/>
        <v>136.30639155882233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4.5999999999999996</v>
      </c>
      <c r="FE118" s="13">
        <f>IF('Données projet'!$A$218&gt;35,FE117+FD118-FM117,IF(A118&lt;'Données projet'!$A$218,$FB$205^A118,IF(A118='Données projet'!$A$218,'Données projet'!$B$218,FE117+FD118-FM117)))</f>
        <v>479.00000000000085</v>
      </c>
      <c r="FF118" s="18">
        <f>FE118*VLOOKUP('Données projet'!$B$16,Paramètres!$A$1:$I$89,3,0)*VLOOKUP('Données projet'!$B$16,Paramètres!$A$1:$I$89,5,0)</f>
        <v>500.65080000000091</v>
      </c>
      <c r="FG118" s="14">
        <f t="shared" si="101"/>
        <v>111.90799513506043</v>
      </c>
      <c r="FH118" s="22">
        <f t="shared" si="76"/>
        <v>1066.8732348602318</v>
      </c>
      <c r="FI118" s="62">
        <f t="shared" si="77"/>
        <v>1360.2065681935651</v>
      </c>
      <c r="FJ118" s="62">
        <f ca="1">AVERAGE(OFFSET($FI$3,0,0,'Données projet'!$E$16+1,1))-AVERAGE(OFFSET($H$3,0,0,'Données projet'!$E$16+1,1))</f>
        <v>641.62708445664862</v>
      </c>
      <c r="FK118" s="62">
        <f t="shared" si="102"/>
        <v>379.46845863546929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3.4882014582928763E-12</v>
      </c>
      <c r="FT118" s="24">
        <f t="shared" si="78"/>
        <v>3.4882014582928763E-12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3</v>
      </c>
      <c r="FZ118" s="13">
        <f>IF('Données projet'!$A$244&gt;35,FZ117+FY118-GH117,IF(A118&lt;'Données projet'!$A$244,$FW$205^A118,IF(A118='Données projet'!$A$244,'Données projet'!$B$244,FZ117+FY118-GH117)))</f>
        <v>196.00000000000006</v>
      </c>
      <c r="GA118" s="18">
        <f>FZ118*VLOOKUP('Données projet'!$B$17,Paramètres!$A$1:$I$89,3,0)*VLOOKUP('Données projet'!$B$17,Paramètres!$A$1:$I$89,5,0)</f>
        <v>189.57120000000006</v>
      </c>
      <c r="GB118" s="14">
        <f t="shared" si="103"/>
        <v>47.445138796932483</v>
      </c>
      <c r="GC118" s="22">
        <f t="shared" si="79"/>
        <v>412.80345673799087</v>
      </c>
      <c r="GD118" s="62">
        <f t="shared" si="80"/>
        <v>706.13679007132419</v>
      </c>
      <c r="GE118" s="62">
        <f ca="1">AVERAGE(OFFSET($GD$3,0,0,'Données projet'!$E$17+1,1))-AVERAGE(OFFSET($H$3,0,0,'Données projet'!$E$17+1,1))</f>
        <v>181.39066880931728</v>
      </c>
      <c r="GF118" s="62">
        <f t="shared" si="104"/>
        <v>116.06078566855524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-1.7053025658242404E-13</v>
      </c>
      <c r="GV118" s="18">
        <f>GU118*VLOOKUP('Données projet'!$B$18,Paramètres!$A$1:$I$89,3,0)*VLOOKUP('Données projet'!$B$18,Paramètres!$A$1:$I$89,5,0)</f>
        <v>-1.4897523215040567E-13</v>
      </c>
      <c r="GW118" s="14" t="e">
        <f t="shared" si="105"/>
        <v>#NUM!</v>
      </c>
      <c r="GX118" s="22" t="e">
        <f t="shared" si="82"/>
        <v>#NUM!</v>
      </c>
      <c r="GY118" s="62" t="e">
        <f t="shared" si="83"/>
        <v>#NUM!</v>
      </c>
      <c r="GZ118" s="62">
        <f ca="1">AVERAGE(OFFSET($GY$3,0,0,'Données projet'!$E$18+1,1))-AVERAGE(OFFSET($H$3,0,0,'Données projet'!$E$18+1,1))</f>
        <v>152.84277478695606</v>
      </c>
      <c r="HA118" s="62">
        <f t="shared" si="106"/>
        <v>179.22995976651015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9">
        <f t="shared" si="56"/>
        <v>398.34261137329793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292.23479999999955</v>
      </c>
      <c r="P119" s="14">
        <f t="shared" si="87"/>
        <v>69.546103016553644</v>
      </c>
      <c r="Q119" s="22">
        <f t="shared" si="107"/>
        <v>630.10173942049676</v>
      </c>
      <c r="R119" s="62">
        <f t="shared" si="55"/>
        <v>923.43507275383013</v>
      </c>
      <c r="S119" s="62">
        <f ca="1">AVERAGE(OFFSET($R$3,0,0,'Données projet'!$E$9+1,1))-AVERAGE(OFFSET($H$3,0,0,'Données projet'!$E$9+1,1))</f>
        <v>383.26814640166805</v>
      </c>
      <c r="T119" s="62">
        <f t="shared" si="88"/>
        <v>233.71216103405249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</v>
      </c>
      <c r="AI119" s="14">
        <f>IF('Données projet'!$A$62&gt;35,AI118+AH119-AQ118,IF(A119&lt;'Données projet'!$A$62,$AF$205^A119,IF(A119='Données projet'!$A$62,'Données projet'!$B$62,AI118+AH119-AQ118)))</f>
        <v>199.00000000000006</v>
      </c>
      <c r="AJ119" s="14">
        <f>AI119*VLOOKUP('Données projet'!$B$10,Paramètres!$A$1:$I$89,3,0)*VLOOKUP('Données projet'!$B$10,Paramètres!$A$1:$I$89,5,0)</f>
        <v>214.20360000000005</v>
      </c>
      <c r="AK119" s="14">
        <f t="shared" si="89"/>
        <v>52.853115789602029</v>
      </c>
      <c r="AL119" s="22">
        <f t="shared" si="58"/>
        <v>465.12378000022363</v>
      </c>
      <c r="AM119" s="62">
        <f t="shared" si="59"/>
        <v>758.45711333355689</v>
      </c>
      <c r="AN119" s="62">
        <f ca="1">AVERAGE(OFFSET($AM$3,0,0,'Données projet'!$E$10+1,1))-AVERAGE(OFFSET($H$3,0,0,'Données projet'!$E$10+1,1))</f>
        <v>205.99910063756408</v>
      </c>
      <c r="AO119" s="62">
        <f t="shared" si="90"/>
        <v>128.95330275493671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293.3333333333353</v>
      </c>
      <c r="BI119" s="62">
        <f ca="1">AVERAGE(OFFSET($BH$3,0,0,'Données projet'!$E$11+1,1))-AVERAGE(OFFSET($H$3,0,0,'Données projet'!$E$11+1,1))</f>
        <v>222.20580087523689</v>
      </c>
      <c r="BJ119" s="62">
        <f t="shared" si="92"/>
        <v>232.08940427392253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1.8225808412708089</v>
      </c>
      <c r="BQ119" s="23">
        <f>EXP(-LN(2)/25)*BQ118+(1-EXP(-LN(2)/25))/(LN(2)/25)*Calculateur!BL119*Calculateur!BN119*VLOOKUP('Données projet'!$B$11,Paramètres!$A$1:$I$89,3,0)*0.475*44/12</f>
        <v>1.5144465036406882</v>
      </c>
      <c r="BR119" s="23">
        <f>EXP(-LN(2)/2)*BR118+(1-EXP(-LN(2)/2))/(LN(2)/2)*BL119*BO119*VLOOKUP('Données projet'!$B$11,Paramètres!$A$1:$I$89,3,0)*0.475*44/12</f>
        <v>7.2077011122062728E-13</v>
      </c>
      <c r="BS119" s="24">
        <f t="shared" si="63"/>
        <v>3.3370273449122179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5.1159076974727213E-13</v>
      </c>
      <c r="BZ119" s="14">
        <f>BY119*VLOOKUP('Données projet'!$B$12,Paramètres!$A$1:$I$89,3,0)*VLOOKUP('Données projet'!$B$12,Paramètres!$A$1:$I$89,5,0)</f>
        <v>2.3942448024172334E-13</v>
      </c>
      <c r="CA119" s="14">
        <f t="shared" si="93"/>
        <v>3.2492669905861755E-12</v>
      </c>
      <c r="CB119" s="22">
        <f t="shared" si="64"/>
        <v>6.0761376450252565E-12</v>
      </c>
      <c r="CC119" s="62">
        <f t="shared" si="65"/>
        <v>293.3333333333394</v>
      </c>
      <c r="CD119" s="62">
        <f ca="1">AVERAGE(OFFSET($CC$3,0,0,'Données projet'!$E$12+1,1))-AVERAGE(OFFSET($H$3,0,0,'Données projet'!$E$12+1,1))</f>
        <v>179.14256291235466</v>
      </c>
      <c r="CE119" s="62">
        <f t="shared" si="94"/>
        <v>107.5256983607585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-2.8421709430404007E-13</v>
      </c>
      <c r="CU119" s="18">
        <f>CT119*VLOOKUP('Données projet'!$B$13,Paramètres!$A$1:$I$89,3,0)*VLOOKUP('Données projet'!$B$13,Paramètres!$A$1:$I$89,5,0)</f>
        <v>-1.69961822393816E-13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237.03649693529445</v>
      </c>
      <c r="CZ119" s="62">
        <f t="shared" si="96"/>
        <v>191.04289411674887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5.983189768409648E-13</v>
      </c>
      <c r="DI119" s="24">
        <f t="shared" si="69"/>
        <v>5.983189768409648E-13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3.1560000000000001</v>
      </c>
      <c r="DO119" s="13">
        <f>IF('Données projet'!$A$166&gt;35,DO118+DN119-DW118,IF(A119&lt;'Données projet'!$A$166,$DL$205^A119,IF(A119='Données projet'!$A$166,'Données projet'!$B$166,DO118+DN119-DW118)))</f>
        <v>276.91600000000011</v>
      </c>
      <c r="DP119" s="18">
        <f>DO119*VLOOKUP('Données projet'!$B$14,Paramètres!$A$1:$I$89,3,0)*VLOOKUP('Données projet'!$B$14,Paramètres!$A$1:$I$89,5,0)</f>
        <v>319.0072320000001</v>
      </c>
      <c r="DQ119" s="14">
        <f t="shared" si="97"/>
        <v>75.146751632889178</v>
      </c>
      <c r="DR119" s="22">
        <f t="shared" si="70"/>
        <v>686.48485482728211</v>
      </c>
      <c r="DS119" s="62">
        <f t="shared" si="71"/>
        <v>979.81818816061536</v>
      </c>
      <c r="DT119" s="62">
        <f ca="1">AVERAGE(OFFSET($DS$3,0,0,'Données projet'!$E$14+1,1))-AVERAGE(OFFSET($H$3,0,0,'Données projet'!$E$14+1,1))</f>
        <v>431.38469096974364</v>
      </c>
      <c r="DU119" s="62">
        <f t="shared" si="98"/>
        <v>295.48627059086647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9.0255326899063182E-2</v>
      </c>
      <c r="EC119" s="23">
        <f>EXP(-LN(2)/2)*EC118+(1-EXP(-LN(2)/2))/(LN(2)/2)*DW119*DZ119*VLOOKUP('Données projet'!$B$14,Paramètres!$A$1:$I$89,3,0)*0.475*44/12</f>
        <v>4.363795597468868E-13</v>
      </c>
      <c r="ED119" s="24">
        <f t="shared" si="72"/>
        <v>9.0255326899499555E-2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</v>
      </c>
      <c r="EJ119" s="13">
        <f>IF('Données projet'!$A$192&gt;35,EJ118+EI119-ER118,IF(A119&lt;'Données projet'!$A$192,$EG$205^A119,IF(A119='Données projet'!$A$192,'Données projet'!$B$192,EJ118+EI119-ER118)))</f>
        <v>199.00000000000006</v>
      </c>
      <c r="EK119" s="18">
        <f>EJ119*VLOOKUP('Données projet'!$B$15,Paramètres!$A$1:$I$89,3,0)*VLOOKUP('Données projet'!$B$15,Paramètres!$A$1:$I$89,5,0)</f>
        <v>226.62120000000007</v>
      </c>
      <c r="EL119" s="14">
        <f t="shared" si="99"/>
        <v>55.551477903366127</v>
      </c>
      <c r="EM119" s="22">
        <f t="shared" si="73"/>
        <v>491.45074734836277</v>
      </c>
      <c r="EN119" s="62">
        <f t="shared" si="74"/>
        <v>784.78408068169608</v>
      </c>
      <c r="EO119" s="62">
        <f ca="1">AVERAGE(OFFSET($EN$3,0,0,'Données projet'!$E$15+1,1))-AVERAGE(OFFSET($H$3,0,0,'Données projet'!$E$15+1,1))</f>
        <v>220.03635832253951</v>
      </c>
      <c r="EP119" s="62">
        <f t="shared" si="100"/>
        <v>136.30639155882233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4.5999999999999996</v>
      </c>
      <c r="FE119" s="13">
        <f>IF('Données projet'!$A$218&gt;35,FE118+FD119-FM118,IF(A119&lt;'Données projet'!$A$218,$FB$205^A119,IF(A119='Données projet'!$A$218,'Données projet'!$B$218,FE118+FD119-FM118)))</f>
        <v>483.60000000000088</v>
      </c>
      <c r="FF119" s="18">
        <f>FE119*VLOOKUP('Données projet'!$B$16,Paramètres!$A$1:$I$89,3,0)*VLOOKUP('Données projet'!$B$16,Paramètres!$A$1:$I$89,5,0)</f>
        <v>505.45872000000099</v>
      </c>
      <c r="FG119" s="14">
        <f t="shared" si="101"/>
        <v>112.85706285667786</v>
      </c>
      <c r="FH119" s="22">
        <f t="shared" si="76"/>
        <v>1076.8999884753823</v>
      </c>
      <c r="FI119" s="62">
        <f t="shared" si="77"/>
        <v>1370.2333218087156</v>
      </c>
      <c r="FJ119" s="62">
        <f ca="1">AVERAGE(OFFSET($FI$3,0,0,'Données projet'!$E$16+1,1))-AVERAGE(OFFSET($H$3,0,0,'Données projet'!$E$16+1,1))</f>
        <v>641.62708445664862</v>
      </c>
      <c r="FK119" s="62">
        <f t="shared" si="102"/>
        <v>379.46845863546929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2.4665309053036968E-12</v>
      </c>
      <c r="FT119" s="24">
        <f t="shared" si="78"/>
        <v>2.4665309053036968E-12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</v>
      </c>
      <c r="FZ119" s="13">
        <f>IF('Données projet'!$A$244&gt;35,FZ118+FY119-GH118,IF(A119&lt;'Données projet'!$A$244,$FW$205^A119,IF(A119='Données projet'!$A$244,'Données projet'!$B$244,FZ118+FY119-GH118)))</f>
        <v>199.00000000000006</v>
      </c>
      <c r="GA119" s="18">
        <f>FZ119*VLOOKUP('Données projet'!$B$17,Paramètres!$A$1:$I$89,3,0)*VLOOKUP('Données projet'!$B$17,Paramètres!$A$1:$I$89,5,0)</f>
        <v>192.47280000000006</v>
      </c>
      <c r="GB119" s="14">
        <f t="shared" si="103"/>
        <v>48.086241710923829</v>
      </c>
      <c r="GC119" s="22">
        <f t="shared" si="79"/>
        <v>418.97366431319239</v>
      </c>
      <c r="GD119" s="62">
        <f t="shared" si="80"/>
        <v>712.3069976465257</v>
      </c>
      <c r="GE119" s="62">
        <f ca="1">AVERAGE(OFFSET($GD$3,0,0,'Données projet'!$E$17+1,1))-AVERAGE(OFFSET($H$3,0,0,'Données projet'!$E$17+1,1))</f>
        <v>181.39066880931728</v>
      </c>
      <c r="GF119" s="62">
        <f t="shared" si="104"/>
        <v>116.06078566855524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-1.7053025658242404E-13</v>
      </c>
      <c r="GV119" s="18">
        <f>GU119*VLOOKUP('Données projet'!$B$18,Paramètres!$A$1:$I$89,3,0)*VLOOKUP('Données projet'!$B$18,Paramètres!$A$1:$I$89,5,0)</f>
        <v>-1.4897523215040567E-13</v>
      </c>
      <c r="GW119" s="14" t="e">
        <f t="shared" si="105"/>
        <v>#NUM!</v>
      </c>
      <c r="GX119" s="22" t="e">
        <f t="shared" si="82"/>
        <v>#NUM!</v>
      </c>
      <c r="GY119" s="62" t="e">
        <f t="shared" si="83"/>
        <v>#NUM!</v>
      </c>
      <c r="GZ119" s="62">
        <f ca="1">AVERAGE(OFFSET($GY$3,0,0,'Données projet'!$E$18+1,1))-AVERAGE(OFFSET($H$3,0,0,'Données projet'!$E$18+1,1))</f>
        <v>152.84277478695606</v>
      </c>
      <c r="HA119" s="62">
        <f t="shared" si="106"/>
        <v>179.22995976651015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9">
        <f t="shared" si="56"/>
        <v>399.53236233242478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295.98659999999956</v>
      </c>
      <c r="P120" s="14">
        <f t="shared" si="87"/>
        <v>70.334442310004661</v>
      </c>
      <c r="Q120" s="22">
        <f t="shared" si="107"/>
        <v>638.00914868992402</v>
      </c>
      <c r="R120" s="62">
        <f t="shared" si="55"/>
        <v>931.34248202325739</v>
      </c>
      <c r="S120" s="62">
        <f ca="1">AVERAGE(OFFSET($R$3,0,0,'Données projet'!$E$9+1,1))-AVERAGE(OFFSET($H$3,0,0,'Données projet'!$E$9+1,1))</f>
        <v>383.26814640166805</v>
      </c>
      <c r="T120" s="62">
        <f t="shared" si="88"/>
        <v>233.71216103405249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</v>
      </c>
      <c r="AI120" s="14">
        <f>IF('Données projet'!$A$62&gt;35,AI119+AH120-AQ119,IF(A120&lt;'Données projet'!$A$62,$AF$205^A120,IF(A120='Données projet'!$A$62,'Données projet'!$B$62,AI119+AH120-AQ119)))</f>
        <v>202.00000000000006</v>
      </c>
      <c r="AJ120" s="14">
        <f>AI120*VLOOKUP('Données projet'!$B$10,Paramètres!$A$1:$I$89,3,0)*VLOOKUP('Données projet'!$B$10,Paramètres!$A$1:$I$89,5,0)</f>
        <v>217.43280000000004</v>
      </c>
      <c r="AK120" s="14">
        <f t="shared" si="89"/>
        <v>53.556536889714792</v>
      </c>
      <c r="AL120" s="22">
        <f t="shared" si="58"/>
        <v>471.97309508291988</v>
      </c>
      <c r="AM120" s="62">
        <f t="shared" si="59"/>
        <v>765.3064284162532</v>
      </c>
      <c r="AN120" s="62">
        <f ca="1">AVERAGE(OFFSET($AM$3,0,0,'Données projet'!$E$10+1,1))-AVERAGE(OFFSET($H$3,0,0,'Données projet'!$E$10+1,1))</f>
        <v>205.99910063756408</v>
      </c>
      <c r="AO120" s="62">
        <f t="shared" si="90"/>
        <v>128.95330275493671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293.3333333333353</v>
      </c>
      <c r="BI120" s="62">
        <f ca="1">AVERAGE(OFFSET($BH$3,0,0,'Données projet'!$E$11+1,1))-AVERAGE(OFFSET($H$3,0,0,'Données projet'!$E$11+1,1))</f>
        <v>222.20580087523689</v>
      </c>
      <c r="BJ120" s="62">
        <f t="shared" si="92"/>
        <v>232.08940427392253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1.7868411426380337</v>
      </c>
      <c r="BQ120" s="23">
        <f>EXP(-LN(2)/25)*BQ119+(1-EXP(-LN(2)/25))/(LN(2)/25)*Calculateur!BL120*Calculateur!BN120*VLOOKUP('Données projet'!$B$11,Paramètres!$A$1:$I$89,3,0)*0.475*44/12</f>
        <v>1.4730338843573534</v>
      </c>
      <c r="BR120" s="23">
        <f>EXP(-LN(2)/2)*BR119+(1-EXP(-LN(2)/2))/(LN(2)/2)*BL120*BO120*VLOOKUP('Données projet'!$B$11,Paramètres!$A$1:$I$89,3,0)*0.475*44/12</f>
        <v>5.0966143332068762E-13</v>
      </c>
      <c r="BS120" s="24">
        <f t="shared" si="63"/>
        <v>3.2598750269958972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5.1159076974727213E-13</v>
      </c>
      <c r="BZ120" s="14">
        <f>BY120*VLOOKUP('Données projet'!$B$12,Paramètres!$A$1:$I$89,3,0)*VLOOKUP('Données projet'!$B$12,Paramètres!$A$1:$I$89,5,0)</f>
        <v>2.3942448024172334E-13</v>
      </c>
      <c r="CA120" s="14">
        <f t="shared" si="93"/>
        <v>3.2492669905861755E-12</v>
      </c>
      <c r="CB120" s="22">
        <f t="shared" si="64"/>
        <v>6.0761376450252565E-12</v>
      </c>
      <c r="CC120" s="62">
        <f t="shared" si="65"/>
        <v>293.3333333333394</v>
      </c>
      <c r="CD120" s="62">
        <f ca="1">AVERAGE(OFFSET($CC$3,0,0,'Données projet'!$E$12+1,1))-AVERAGE(OFFSET($H$3,0,0,'Données projet'!$E$12+1,1))</f>
        <v>179.14256291235466</v>
      </c>
      <c r="CE120" s="62">
        <f t="shared" si="94"/>
        <v>107.5256983607585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-2.8421709430404007E-13</v>
      </c>
      <c r="CU120" s="18">
        <f>CT120*VLOOKUP('Données projet'!$B$13,Paramètres!$A$1:$I$89,3,0)*VLOOKUP('Données projet'!$B$13,Paramètres!$A$1:$I$89,5,0)</f>
        <v>-1.69961822393816E-13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237.03649693529445</v>
      </c>
      <c r="CZ120" s="62">
        <f t="shared" si="96"/>
        <v>191.04289411674887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4.230754058368431E-13</v>
      </c>
      <c r="DI120" s="24">
        <f t="shared" si="69"/>
        <v>4.230754058368431E-13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3.1560000000000001</v>
      </c>
      <c r="DO120" s="13">
        <f>IF('Données projet'!$A$166&gt;35,DO119+DN120-DW119,IF(A120&lt;'Données projet'!$A$166,$DL$205^A120,IF(A120='Données projet'!$A$166,'Données projet'!$B$166,DO119+DN120-DW119)))</f>
        <v>280.07200000000012</v>
      </c>
      <c r="DP120" s="18">
        <f>DO120*VLOOKUP('Données projet'!$B$14,Paramètres!$A$1:$I$89,3,0)*VLOOKUP('Données projet'!$B$14,Paramètres!$A$1:$I$89,5,0)</f>
        <v>322.64294400000011</v>
      </c>
      <c r="DQ120" s="14">
        <f t="shared" si="97"/>
        <v>75.903006033826244</v>
      </c>
      <c r="DR120" s="22">
        <f t="shared" si="70"/>
        <v>694.13419630891406</v>
      </c>
      <c r="DS120" s="62">
        <f t="shared" si="71"/>
        <v>987.46752964224743</v>
      </c>
      <c r="DT120" s="62">
        <f ca="1">AVERAGE(OFFSET($DS$3,0,0,'Données projet'!$E$14+1,1))-AVERAGE(OFFSET($H$3,0,0,'Données projet'!$E$14+1,1))</f>
        <v>431.38469096974364</v>
      </c>
      <c r="DU120" s="62">
        <f t="shared" si="98"/>
        <v>295.48627059086647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8.7787290238686935E-2</v>
      </c>
      <c r="EC120" s="23">
        <f>EXP(-LN(2)/2)*EC119+(1-EXP(-LN(2)/2))/(LN(2)/2)*DW120*DZ120*VLOOKUP('Données projet'!$B$14,Paramètres!$A$1:$I$89,3,0)*0.475*44/12</f>
        <v>3.0856694586822383E-13</v>
      </c>
      <c r="ED120" s="24">
        <f t="shared" si="72"/>
        <v>8.7787290238995508E-2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</v>
      </c>
      <c r="EJ120" s="13">
        <f>IF('Données projet'!$A$192&gt;35,EJ119+EI120-ER119,IF(A120&lt;'Données projet'!$A$192,$EG$205^A120,IF(A120='Données projet'!$A$192,'Données projet'!$B$192,EJ119+EI120-ER119)))</f>
        <v>202.00000000000006</v>
      </c>
      <c r="EK120" s="18">
        <f>EJ120*VLOOKUP('Données projet'!$B$15,Paramètres!$A$1:$I$89,3,0)*VLOOKUP('Données projet'!$B$15,Paramètres!$A$1:$I$89,5,0)</f>
        <v>230.03760000000005</v>
      </c>
      <c r="EL120" s="14">
        <f t="shared" si="99"/>
        <v>56.290811452881542</v>
      </c>
      <c r="EM120" s="22">
        <f t="shared" si="73"/>
        <v>498.68864994710202</v>
      </c>
      <c r="EN120" s="62">
        <f t="shared" si="74"/>
        <v>792.02198328043528</v>
      </c>
      <c r="EO120" s="62">
        <f ca="1">AVERAGE(OFFSET($EN$3,0,0,'Données projet'!$E$15+1,1))-AVERAGE(OFFSET($H$3,0,0,'Données projet'!$E$15+1,1))</f>
        <v>220.03635832253951</v>
      </c>
      <c r="EP120" s="62">
        <f t="shared" si="100"/>
        <v>136.30639155882233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4.5999999999999996</v>
      </c>
      <c r="FE120" s="13">
        <f>IF('Données projet'!$A$218&gt;35,FE119+FD120-FM119,IF(A120&lt;'Données projet'!$A$218,$FB$205^A120,IF(A120='Données projet'!$A$218,'Données projet'!$B$218,FE119+FD120-FM119)))</f>
        <v>488.2000000000009</v>
      </c>
      <c r="FF120" s="18">
        <f>FE120*VLOOKUP('Données projet'!$B$16,Paramètres!$A$1:$I$89,3,0)*VLOOKUP('Données projet'!$B$16,Paramètres!$A$1:$I$89,5,0)</f>
        <v>510.26664000000096</v>
      </c>
      <c r="FG120" s="14">
        <f t="shared" si="101"/>
        <v>113.80508033904025</v>
      </c>
      <c r="FH120" s="22">
        <f t="shared" si="76"/>
        <v>1086.9249129238303</v>
      </c>
      <c r="FI120" s="62">
        <f t="shared" si="77"/>
        <v>1380.2582462571636</v>
      </c>
      <c r="FJ120" s="62">
        <f ca="1">AVERAGE(OFFSET($FI$3,0,0,'Données projet'!$E$16+1,1))-AVERAGE(OFFSET($H$3,0,0,'Données projet'!$E$16+1,1))</f>
        <v>641.62708445664862</v>
      </c>
      <c r="FK120" s="62">
        <f t="shared" si="102"/>
        <v>379.46845863546929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1.7441007291464381E-12</v>
      </c>
      <c r="FT120" s="24">
        <f t="shared" si="78"/>
        <v>1.7441007291464381E-12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</v>
      </c>
      <c r="FZ120" s="13">
        <f>IF('Données projet'!$A$244&gt;35,FZ119+FY120-GH119,IF(A120&lt;'Données projet'!$A$244,$FW$205^A120,IF(A120='Données projet'!$A$244,'Données projet'!$B$244,FZ119+FY120-GH119)))</f>
        <v>202.00000000000006</v>
      </c>
      <c r="GA120" s="18">
        <f>FZ120*VLOOKUP('Données projet'!$B$17,Paramètres!$A$1:$I$89,3,0)*VLOOKUP('Données projet'!$B$17,Paramètres!$A$1:$I$89,5,0)</f>
        <v>195.37440000000007</v>
      </c>
      <c r="GB120" s="14">
        <f t="shared" si="103"/>
        <v>48.726220575731695</v>
      </c>
      <c r="GC120" s="22">
        <f t="shared" si="79"/>
        <v>425.14191416939951</v>
      </c>
      <c r="GD120" s="62">
        <f t="shared" si="80"/>
        <v>718.47524750273283</v>
      </c>
      <c r="GE120" s="62">
        <f ca="1">AVERAGE(OFFSET($GD$3,0,0,'Données projet'!$E$17+1,1))-AVERAGE(OFFSET($H$3,0,0,'Données projet'!$E$17+1,1))</f>
        <v>181.39066880931728</v>
      </c>
      <c r="GF120" s="62">
        <f t="shared" si="104"/>
        <v>116.06078566855524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-1.7053025658242404E-13</v>
      </c>
      <c r="GV120" s="18">
        <f>GU120*VLOOKUP('Données projet'!$B$18,Paramètres!$A$1:$I$89,3,0)*VLOOKUP('Données projet'!$B$18,Paramètres!$A$1:$I$89,5,0)</f>
        <v>-1.4897523215040567E-13</v>
      </c>
      <c r="GW120" s="14" t="e">
        <f t="shared" si="105"/>
        <v>#NUM!</v>
      </c>
      <c r="GX120" s="22" t="e">
        <f t="shared" si="82"/>
        <v>#NUM!</v>
      </c>
      <c r="GY120" s="62" t="e">
        <f t="shared" si="83"/>
        <v>#NUM!</v>
      </c>
      <c r="GZ120" s="62">
        <f ca="1">AVERAGE(OFFSET($GY$3,0,0,'Données projet'!$E$18+1,1))-AVERAGE(OFFSET($H$3,0,0,'Données projet'!$E$18+1,1))</f>
        <v>152.84277478695606</v>
      </c>
      <c r="HA120" s="62">
        <f t="shared" si="106"/>
        <v>179.22995976651015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9">
        <f t="shared" si="56"/>
        <v>400.72187583029472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299.73839999999956</v>
      </c>
      <c r="P121" s="14">
        <f t="shared" si="87"/>
        <v>71.121619283394352</v>
      </c>
      <c r="Q121" s="22">
        <f t="shared" si="107"/>
        <v>645.91453358524438</v>
      </c>
      <c r="R121" s="62">
        <f t="shared" si="55"/>
        <v>939.24786691857776</v>
      </c>
      <c r="S121" s="62">
        <f ca="1">AVERAGE(OFFSET($R$3,0,0,'Données projet'!$E$9+1,1))-AVERAGE(OFFSET($H$3,0,0,'Données projet'!$E$9+1,1))</f>
        <v>383.26814640166805</v>
      </c>
      <c r="T121" s="62">
        <f t="shared" si="88"/>
        <v>233.71216103405249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</v>
      </c>
      <c r="AI121" s="14">
        <f>IF('Données projet'!$A$62&gt;35,AI120+AH121-AQ120,IF(A121&lt;'Données projet'!$A$62,$AF$205^A121,IF(A121='Données projet'!$A$62,'Données projet'!$B$62,AI120+AH121-AQ120)))</f>
        <v>205.00000000000006</v>
      </c>
      <c r="AJ121" s="14">
        <f>AI121*VLOOKUP('Données projet'!$B$10,Paramètres!$A$1:$I$89,3,0)*VLOOKUP('Données projet'!$B$10,Paramètres!$A$1:$I$89,5,0)</f>
        <v>220.66200000000003</v>
      </c>
      <c r="AK121" s="14">
        <f t="shared" si="89"/>
        <v>54.258742979954953</v>
      </c>
      <c r="AL121" s="22">
        <f t="shared" si="58"/>
        <v>478.82029402342158</v>
      </c>
      <c r="AM121" s="62">
        <f t="shared" si="59"/>
        <v>772.1536273567549</v>
      </c>
      <c r="AN121" s="62">
        <f ca="1">AVERAGE(OFFSET($AM$3,0,0,'Données projet'!$E$10+1,1))-AVERAGE(OFFSET($H$3,0,0,'Données projet'!$E$10+1,1))</f>
        <v>205.99910063756408</v>
      </c>
      <c r="AO121" s="62">
        <f t="shared" si="90"/>
        <v>128.95330275493671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293.3333333333353</v>
      </c>
      <c r="BI121" s="62">
        <f ca="1">AVERAGE(OFFSET($BH$3,0,0,'Données projet'!$E$11+1,1))-AVERAGE(OFFSET($H$3,0,0,'Données projet'!$E$11+1,1))</f>
        <v>222.20580087523689</v>
      </c>
      <c r="BJ121" s="62">
        <f t="shared" si="92"/>
        <v>232.08940427392253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1.7518022776963835</v>
      </c>
      <c r="BQ121" s="23">
        <f>EXP(-LN(2)/25)*BQ120+(1-EXP(-LN(2)/25))/(LN(2)/25)*Calculateur!BL121*Calculateur!BN121*VLOOKUP('Données projet'!$B$11,Paramètres!$A$1:$I$89,3,0)*0.475*44/12</f>
        <v>1.4327536953261162</v>
      </c>
      <c r="BR121" s="23">
        <f>EXP(-LN(2)/2)*BR120+(1-EXP(-LN(2)/2))/(LN(2)/2)*BL121*BO121*VLOOKUP('Données projet'!$B$11,Paramètres!$A$1:$I$89,3,0)*0.475*44/12</f>
        <v>3.6038505561031364E-13</v>
      </c>
      <c r="BS121" s="24">
        <f t="shared" si="63"/>
        <v>3.1845559730228601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5.1159076974727213E-13</v>
      </c>
      <c r="BZ121" s="14">
        <f>BY121*VLOOKUP('Données projet'!$B$12,Paramètres!$A$1:$I$89,3,0)*VLOOKUP('Données projet'!$B$12,Paramètres!$A$1:$I$89,5,0)</f>
        <v>2.3942448024172334E-13</v>
      </c>
      <c r="CA121" s="14">
        <f t="shared" si="93"/>
        <v>3.2492669905861755E-12</v>
      </c>
      <c r="CB121" s="22">
        <f t="shared" si="64"/>
        <v>6.0761376450252565E-12</v>
      </c>
      <c r="CC121" s="62">
        <f t="shared" si="65"/>
        <v>293.3333333333394</v>
      </c>
      <c r="CD121" s="62">
        <f ca="1">AVERAGE(OFFSET($CC$3,0,0,'Données projet'!$E$12+1,1))-AVERAGE(OFFSET($H$3,0,0,'Données projet'!$E$12+1,1))</f>
        <v>179.14256291235466</v>
      </c>
      <c r="CE121" s="62">
        <f t="shared" si="94"/>
        <v>107.5256983607585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-2.8421709430404007E-13</v>
      </c>
      <c r="CU121" s="18">
        <f>CT121*VLOOKUP('Données projet'!$B$13,Paramètres!$A$1:$I$89,3,0)*VLOOKUP('Données projet'!$B$13,Paramètres!$A$1:$I$89,5,0)</f>
        <v>-1.69961822393816E-13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237.03649693529445</v>
      </c>
      <c r="CZ121" s="62">
        <f t="shared" si="96"/>
        <v>191.04289411674887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2.991594884204824E-13</v>
      </c>
      <c r="DI121" s="24">
        <f t="shared" si="69"/>
        <v>2.991594884204824E-13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3.1560000000000001</v>
      </c>
      <c r="DO121" s="13">
        <f>IF('Données projet'!$A$166&gt;35,DO120+DN121-DW120,IF(A121&lt;'Données projet'!$A$166,$DL$205^A121,IF(A121='Données projet'!$A$166,'Données projet'!$B$166,DO120+DN121-DW120)))</f>
        <v>283.22800000000012</v>
      </c>
      <c r="DP121" s="18">
        <f>DO121*VLOOKUP('Données projet'!$B$14,Paramètres!$A$1:$I$89,3,0)*VLOOKUP('Données projet'!$B$14,Paramètres!$A$1:$I$89,5,0)</f>
        <v>326.27865600000013</v>
      </c>
      <c r="DQ121" s="14">
        <f t="shared" si="97"/>
        <v>76.658269116458271</v>
      </c>
      <c r="DR121" s="22">
        <f t="shared" si="70"/>
        <v>701.78181124449839</v>
      </c>
      <c r="DS121" s="62">
        <f t="shared" si="71"/>
        <v>995.11514457783164</v>
      </c>
      <c r="DT121" s="62">
        <f ca="1">AVERAGE(OFFSET($DS$3,0,0,'Données projet'!$E$14+1,1))-AVERAGE(OFFSET($H$3,0,0,'Données projet'!$E$14+1,1))</f>
        <v>431.38469096974364</v>
      </c>
      <c r="DU121" s="62">
        <f t="shared" si="98"/>
        <v>295.48627059086647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8.5386742170577082E-2</v>
      </c>
      <c r="EC121" s="23">
        <f>EXP(-LN(2)/2)*EC120+(1-EXP(-LN(2)/2))/(LN(2)/2)*DW121*DZ121*VLOOKUP('Données projet'!$B$14,Paramètres!$A$1:$I$89,3,0)*0.475*44/12</f>
        <v>2.181897798734434E-13</v>
      </c>
      <c r="ED121" s="24">
        <f t="shared" si="72"/>
        <v>8.5386742170795268E-2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</v>
      </c>
      <c r="EJ121" s="13">
        <f>IF('Données projet'!$A$192&gt;35,EJ120+EI121-ER120,IF(A121&lt;'Données projet'!$A$192,$EG$205^A121,IF(A121='Données projet'!$A$192,'Données projet'!$B$192,EJ120+EI121-ER120)))</f>
        <v>205.00000000000006</v>
      </c>
      <c r="EK121" s="18">
        <f>EJ121*VLOOKUP('Données projet'!$B$15,Paramètres!$A$1:$I$89,3,0)*VLOOKUP('Données projet'!$B$15,Paramètres!$A$1:$I$89,5,0)</f>
        <v>233.45400000000006</v>
      </c>
      <c r="EL121" s="14">
        <f t="shared" si="99"/>
        <v>57.028867961430038</v>
      </c>
      <c r="EM121" s="22">
        <f t="shared" si="73"/>
        <v>505.92432836615734</v>
      </c>
      <c r="EN121" s="62">
        <f t="shared" si="74"/>
        <v>799.25766169949065</v>
      </c>
      <c r="EO121" s="62">
        <f ca="1">AVERAGE(OFFSET($EN$3,0,0,'Données projet'!$E$15+1,1))-AVERAGE(OFFSET($H$3,0,0,'Données projet'!$E$15+1,1))</f>
        <v>220.03635832253951</v>
      </c>
      <c r="EP121" s="62">
        <f t="shared" si="100"/>
        <v>136.30639155882233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4.5999999999999996</v>
      </c>
      <c r="FE121" s="13">
        <f>IF('Données projet'!$A$218&gt;35,FE120+FD121-FM120,IF(A121&lt;'Données projet'!$A$218,$FB$205^A121,IF(A121='Données projet'!$A$218,'Données projet'!$B$218,FE120+FD121-FM120)))</f>
        <v>492.80000000000092</v>
      </c>
      <c r="FF121" s="18">
        <f>FE121*VLOOKUP('Données projet'!$B$16,Paramètres!$A$1:$I$89,3,0)*VLOOKUP('Données projet'!$B$16,Paramètres!$A$1:$I$89,5,0)</f>
        <v>515.07456000000093</v>
      </c>
      <c r="FG121" s="14">
        <f t="shared" si="101"/>
        <v>114.75205862402441</v>
      </c>
      <c r="FH121" s="22">
        <f t="shared" si="76"/>
        <v>1096.9480274368439</v>
      </c>
      <c r="FI121" s="62">
        <f t="shared" si="77"/>
        <v>1390.2813607701771</v>
      </c>
      <c r="FJ121" s="62">
        <f ca="1">AVERAGE(OFFSET($FI$3,0,0,'Données projet'!$E$16+1,1))-AVERAGE(OFFSET($H$3,0,0,'Données projet'!$E$16+1,1))</f>
        <v>641.62708445664862</v>
      </c>
      <c r="FK121" s="62">
        <f t="shared" si="102"/>
        <v>379.46845863546929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1.2332654526518484E-12</v>
      </c>
      <c r="FT121" s="24">
        <f t="shared" si="78"/>
        <v>1.2332654526518484E-12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</v>
      </c>
      <c r="FZ121" s="13">
        <f>IF('Données projet'!$A$244&gt;35,FZ120+FY121-GH120,IF(A121&lt;'Données projet'!$A$244,$FW$205^A121,IF(A121='Données projet'!$A$244,'Données projet'!$B$244,FZ120+FY121-GH120)))</f>
        <v>205.00000000000006</v>
      </c>
      <c r="GA121" s="18">
        <f>FZ121*VLOOKUP('Données projet'!$B$17,Paramètres!$A$1:$I$89,3,0)*VLOOKUP('Données projet'!$B$17,Paramètres!$A$1:$I$89,5,0)</f>
        <v>198.27600000000007</v>
      </c>
      <c r="GB121" s="14">
        <f t="shared" si="103"/>
        <v>49.365094013592753</v>
      </c>
      <c r="GC121" s="22">
        <f t="shared" si="79"/>
        <v>431.30823874034081</v>
      </c>
      <c r="GD121" s="62">
        <f t="shared" si="80"/>
        <v>724.64157207367407</v>
      </c>
      <c r="GE121" s="62">
        <f ca="1">AVERAGE(OFFSET($GD$3,0,0,'Données projet'!$E$17+1,1))-AVERAGE(OFFSET($H$3,0,0,'Données projet'!$E$17+1,1))</f>
        <v>181.39066880931728</v>
      </c>
      <c r="GF121" s="62">
        <f t="shared" si="104"/>
        <v>116.06078566855524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-1.7053025658242404E-13</v>
      </c>
      <c r="GV121" s="18">
        <f>GU121*VLOOKUP('Données projet'!$B$18,Paramètres!$A$1:$I$89,3,0)*VLOOKUP('Données projet'!$B$18,Paramètres!$A$1:$I$89,5,0)</f>
        <v>-1.4897523215040567E-13</v>
      </c>
      <c r="GW121" s="14" t="e">
        <f t="shared" si="105"/>
        <v>#NUM!</v>
      </c>
      <c r="GX121" s="22" t="e">
        <f t="shared" si="82"/>
        <v>#NUM!</v>
      </c>
      <c r="GY121" s="62" t="e">
        <f t="shared" si="83"/>
        <v>#NUM!</v>
      </c>
      <c r="GZ121" s="62">
        <f ca="1">AVERAGE(OFFSET($GY$3,0,0,'Données projet'!$E$18+1,1))-AVERAGE(OFFSET($H$3,0,0,'Données projet'!$E$18+1,1))</f>
        <v>152.84277478695606</v>
      </c>
      <c r="HA121" s="62">
        <f t="shared" si="106"/>
        <v>179.22995976651015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9">
        <f t="shared" si="56"/>
        <v>401.91115411247904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303.4901999999995</v>
      </c>
      <c r="P122" s="14">
        <f t="shared" si="87"/>
        <v>71.907650167874138</v>
      </c>
      <c r="Q122" s="22">
        <f t="shared" si="107"/>
        <v>653.81792237571324</v>
      </c>
      <c r="R122" s="62">
        <f t="shared" si="55"/>
        <v>947.15125570904661</v>
      </c>
      <c r="S122" s="62">
        <f ca="1">AVERAGE(OFFSET($R$3,0,0,'Données projet'!$E$9+1,1))-AVERAGE(OFFSET($H$3,0,0,'Données projet'!$E$9+1,1))</f>
        <v>383.26814640166805</v>
      </c>
      <c r="T122" s="62">
        <f t="shared" si="88"/>
        <v>233.71216103405249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</v>
      </c>
      <c r="AI122" s="14">
        <f>IF('Données projet'!$A$62&gt;35,AI121+AH122-AQ121,IF(A122&lt;'Données projet'!$A$62,$AF$205^A122,IF(A122='Données projet'!$A$62,'Données projet'!$B$62,AI121+AH122-AQ121)))</f>
        <v>208.00000000000006</v>
      </c>
      <c r="AJ122" s="14">
        <f>AI122*VLOOKUP('Données projet'!$B$10,Paramètres!$A$1:$I$89,3,0)*VLOOKUP('Données projet'!$B$10,Paramètres!$A$1:$I$89,5,0)</f>
        <v>223.89120000000005</v>
      </c>
      <c r="AK122" s="14">
        <f t="shared" si="89"/>
        <v>54.95975389514863</v>
      </c>
      <c r="AL122" s="22">
        <f t="shared" si="58"/>
        <v>485.66541136738397</v>
      </c>
      <c r="AM122" s="62">
        <f t="shared" si="59"/>
        <v>778.99874470071722</v>
      </c>
      <c r="AN122" s="62">
        <f ca="1">AVERAGE(OFFSET($AM$3,0,0,'Données projet'!$E$10+1,1))-AVERAGE(OFFSET($H$3,0,0,'Données projet'!$E$10+1,1))</f>
        <v>205.99910063756408</v>
      </c>
      <c r="AO122" s="62">
        <f t="shared" si="90"/>
        <v>128.95330275493671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293.3333333333353</v>
      </c>
      <c r="BI122" s="62">
        <f ca="1">AVERAGE(OFFSET($BH$3,0,0,'Données projet'!$E$11+1,1))-AVERAGE(OFFSET($H$3,0,0,'Données projet'!$E$11+1,1))</f>
        <v>222.20580087523689</v>
      </c>
      <c r="BJ122" s="62">
        <f t="shared" si="92"/>
        <v>232.08940427392253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1.7174505035246419</v>
      </c>
      <c r="BQ122" s="23">
        <f>EXP(-LN(2)/25)*BQ121+(1-EXP(-LN(2)/25))/(LN(2)/25)*Calculateur!BL122*Calculateur!BN122*VLOOKUP('Données projet'!$B$11,Paramètres!$A$1:$I$89,3,0)*0.475*44/12</f>
        <v>1.3935749701821813</v>
      </c>
      <c r="BR122" s="23">
        <f>EXP(-LN(2)/2)*BR121+(1-EXP(-LN(2)/2))/(LN(2)/2)*BL122*BO122*VLOOKUP('Données projet'!$B$11,Paramètres!$A$1:$I$89,3,0)*0.475*44/12</f>
        <v>2.5483071666034381E-13</v>
      </c>
      <c r="BS122" s="24">
        <f t="shared" si="63"/>
        <v>3.1110254737070782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5.1159076974727213E-13</v>
      </c>
      <c r="BZ122" s="14">
        <f>BY122*VLOOKUP('Données projet'!$B$12,Paramètres!$A$1:$I$89,3,0)*VLOOKUP('Données projet'!$B$12,Paramètres!$A$1:$I$89,5,0)</f>
        <v>2.3942448024172334E-13</v>
      </c>
      <c r="CA122" s="14">
        <f t="shared" si="93"/>
        <v>3.2492669905861755E-12</v>
      </c>
      <c r="CB122" s="22">
        <f t="shared" si="64"/>
        <v>6.0761376450252565E-12</v>
      </c>
      <c r="CC122" s="62">
        <f t="shared" si="65"/>
        <v>293.3333333333394</v>
      </c>
      <c r="CD122" s="62">
        <f ca="1">AVERAGE(OFFSET($CC$3,0,0,'Données projet'!$E$12+1,1))-AVERAGE(OFFSET($H$3,0,0,'Données projet'!$E$12+1,1))</f>
        <v>179.14256291235466</v>
      </c>
      <c r="CE122" s="62">
        <f t="shared" si="94"/>
        <v>107.5256983607585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-2.8421709430404007E-13</v>
      </c>
      <c r="CU122" s="18">
        <f>CT122*VLOOKUP('Données projet'!$B$13,Paramètres!$A$1:$I$89,3,0)*VLOOKUP('Données projet'!$B$13,Paramètres!$A$1:$I$89,5,0)</f>
        <v>-1.69961822393816E-13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237.03649693529445</v>
      </c>
      <c r="CZ122" s="62">
        <f t="shared" si="96"/>
        <v>191.04289411674887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2.1153770291842155E-13</v>
      </c>
      <c r="DI122" s="24">
        <f t="shared" si="69"/>
        <v>2.1153770291842155E-13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3.1560000000000001</v>
      </c>
      <c r="DO122" s="13">
        <f>IF('Données projet'!$A$166&gt;35,DO121+DN122-DW121,IF(A122&lt;'Données projet'!$A$166,$DL$205^A122,IF(A122='Données projet'!$A$166,'Données projet'!$B$166,DO121+DN122-DW121)))</f>
        <v>286.38400000000013</v>
      </c>
      <c r="DP122" s="18">
        <f>DO122*VLOOKUP('Données projet'!$B$14,Paramètres!$A$1:$I$89,3,0)*VLOOKUP('Données projet'!$B$14,Paramètres!$A$1:$I$89,5,0)</f>
        <v>329.91436800000008</v>
      </c>
      <c r="DQ122" s="14">
        <f t="shared" si="97"/>
        <v>77.412553205310843</v>
      </c>
      <c r="DR122" s="22">
        <f t="shared" si="70"/>
        <v>709.42772109924965</v>
      </c>
      <c r="DS122" s="62">
        <f t="shared" si="71"/>
        <v>1002.761054432583</v>
      </c>
      <c r="DT122" s="62">
        <f ca="1">AVERAGE(OFFSET($DS$3,0,0,'Données projet'!$E$14+1,1))-AVERAGE(OFFSET($H$3,0,0,'Données projet'!$E$14+1,1))</f>
        <v>431.38469096974364</v>
      </c>
      <c r="DU122" s="62">
        <f t="shared" si="98"/>
        <v>295.48627059086647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8.3051837215629032E-2</v>
      </c>
      <c r="EC122" s="23">
        <f>EXP(-LN(2)/2)*EC121+(1-EXP(-LN(2)/2))/(LN(2)/2)*DW122*DZ122*VLOOKUP('Données projet'!$B$14,Paramètres!$A$1:$I$89,3,0)*0.475*44/12</f>
        <v>1.5428347293411191E-13</v>
      </c>
      <c r="ED122" s="24">
        <f t="shared" si="72"/>
        <v>8.3051837215783311E-2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</v>
      </c>
      <c r="EJ122" s="13">
        <f>IF('Données projet'!$A$192&gt;35,EJ121+EI122-ER121,IF(A122&lt;'Données projet'!$A$192,$EG$205^A122,IF(A122='Données projet'!$A$192,'Données projet'!$B$192,EJ121+EI122-ER121)))</f>
        <v>208.00000000000006</v>
      </c>
      <c r="EK122" s="18">
        <f>EJ122*VLOOKUP('Données projet'!$B$15,Paramètres!$A$1:$I$89,3,0)*VLOOKUP('Données projet'!$B$15,Paramètres!$A$1:$I$89,5,0)</f>
        <v>236.87040000000005</v>
      </c>
      <c r="EL122" s="14">
        <f t="shared" si="99"/>
        <v>57.765668276484661</v>
      </c>
      <c r="EM122" s="22">
        <f t="shared" si="73"/>
        <v>513.15781891487757</v>
      </c>
      <c r="EN122" s="62">
        <f t="shared" si="74"/>
        <v>806.49115224821094</v>
      </c>
      <c r="EO122" s="62">
        <f ca="1">AVERAGE(OFFSET($EN$3,0,0,'Données projet'!$E$15+1,1))-AVERAGE(OFFSET($H$3,0,0,'Données projet'!$E$15+1,1))</f>
        <v>220.03635832253951</v>
      </c>
      <c r="EP122" s="62">
        <f t="shared" si="100"/>
        <v>136.30639155882233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4.5999999999999996</v>
      </c>
      <c r="FE122" s="13">
        <f>IF('Données projet'!$A$218&gt;35,FE121+FD122-FM121,IF(A122&lt;'Données projet'!$A$218,$FB$205^A122,IF(A122='Données projet'!$A$218,'Données projet'!$B$218,FE121+FD122-FM121)))</f>
        <v>497.40000000000094</v>
      </c>
      <c r="FF122" s="18">
        <f>FE122*VLOOKUP('Données projet'!$B$16,Paramètres!$A$1:$I$89,3,0)*VLOOKUP('Données projet'!$B$16,Paramètres!$A$1:$I$89,5,0)</f>
        <v>519.88248000000101</v>
      </c>
      <c r="FG122" s="14">
        <f t="shared" si="101"/>
        <v>115.69800853548021</v>
      </c>
      <c r="FH122" s="22">
        <f t="shared" si="76"/>
        <v>1106.9693508659632</v>
      </c>
      <c r="FI122" s="62">
        <f t="shared" si="77"/>
        <v>1400.3026841992964</v>
      </c>
      <c r="FJ122" s="62">
        <f ca="1">AVERAGE(OFFSET($FI$3,0,0,'Données projet'!$E$16+1,1))-AVERAGE(OFFSET($H$3,0,0,'Données projet'!$E$16+1,1))</f>
        <v>641.62708445664862</v>
      </c>
      <c r="FK122" s="62">
        <f t="shared" si="102"/>
        <v>379.46845863546929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8.7205036457321906E-13</v>
      </c>
      <c r="FT122" s="24">
        <f t="shared" si="78"/>
        <v>8.7205036457321906E-13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</v>
      </c>
      <c r="FZ122" s="13">
        <f>IF('Données projet'!$A$244&gt;35,FZ121+FY122-GH121,IF(A122&lt;'Données projet'!$A$244,$FW$205^A122,IF(A122='Données projet'!$A$244,'Données projet'!$B$244,FZ121+FY122-GH121)))</f>
        <v>208.00000000000006</v>
      </c>
      <c r="GA122" s="18">
        <f>FZ122*VLOOKUP('Données projet'!$B$17,Paramètres!$A$1:$I$89,3,0)*VLOOKUP('Données projet'!$B$17,Paramètres!$A$1:$I$89,5,0)</f>
        <v>201.17760000000007</v>
      </c>
      <c r="GB122" s="14">
        <f t="shared" si="103"/>
        <v>50.002880070410733</v>
      </c>
      <c r="GC122" s="22">
        <f t="shared" si="79"/>
        <v>437.47266945596539</v>
      </c>
      <c r="GD122" s="62">
        <f t="shared" si="80"/>
        <v>730.80600278929865</v>
      </c>
      <c r="GE122" s="62">
        <f ca="1">AVERAGE(OFFSET($GD$3,0,0,'Données projet'!$E$17+1,1))-AVERAGE(OFFSET($H$3,0,0,'Données projet'!$E$17+1,1))</f>
        <v>181.39066880931728</v>
      </c>
      <c r="GF122" s="62">
        <f t="shared" si="104"/>
        <v>116.06078566855524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-1.7053025658242404E-13</v>
      </c>
      <c r="GV122" s="18">
        <f>GU122*VLOOKUP('Données projet'!$B$18,Paramètres!$A$1:$I$89,3,0)*VLOOKUP('Données projet'!$B$18,Paramètres!$A$1:$I$89,5,0)</f>
        <v>-1.4897523215040567E-13</v>
      </c>
      <c r="GW122" s="14" t="e">
        <f t="shared" si="105"/>
        <v>#NUM!</v>
      </c>
      <c r="GX122" s="22" t="e">
        <f t="shared" si="82"/>
        <v>#NUM!</v>
      </c>
      <c r="GY122" s="62" t="e">
        <f t="shared" si="83"/>
        <v>#NUM!</v>
      </c>
      <c r="GZ122" s="62">
        <f ca="1">AVERAGE(OFFSET($GY$3,0,0,'Données projet'!$E$18+1,1))-AVERAGE(OFFSET($H$3,0,0,'Données projet'!$E$18+1,1))</f>
        <v>152.84277478695606</v>
      </c>
      <c r="HA122" s="62">
        <f t="shared" si="106"/>
        <v>179.22995976651015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9">
        <f t="shared" si="56"/>
        <v>403.10019938462972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307.24199999999951</v>
      </c>
      <c r="P123" s="14">
        <f t="shared" si="87"/>
        <v>72.692550770207717</v>
      </c>
      <c r="Q123" s="22">
        <f t="shared" si="107"/>
        <v>661.71934259144427</v>
      </c>
      <c r="R123" s="62">
        <f t="shared" si="55"/>
        <v>955.05267592477753</v>
      </c>
      <c r="S123" s="62">
        <f ca="1">AVERAGE(OFFSET($R$3,0,0,'Données projet'!$E$9+1,1))-AVERAGE(OFFSET($H$3,0,0,'Données projet'!$E$9+1,1))</f>
        <v>383.26814640166805</v>
      </c>
      <c r="T123" s="62">
        <f t="shared" si="88"/>
        <v>233.71216103405249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211</v>
      </c>
      <c r="AG123" s="13">
        <f>VLOOKUP(A123,'Données projet'!$A$61:$I$81,9,0)</f>
        <v>3</v>
      </c>
      <c r="AH123" s="13">
        <f t="array" ref="AH123">INDEX(AG:AG,MIN(IF(ISNUMBER(AG123:AG319),ROW(AG123:AG319),"")))</f>
        <v>3</v>
      </c>
      <c r="AI123" s="14">
        <f>IF('Données projet'!$A$62&gt;35,AI122+AH123-AQ122,IF(A123&lt;'Données projet'!$A$62,$AF$205^A123,IF(A123='Données projet'!$A$62,'Données projet'!$B$62,AI122+AH123-AQ122)))</f>
        <v>211.00000000000006</v>
      </c>
      <c r="AJ123" s="14">
        <f>AI123*VLOOKUP('Données projet'!$B$10,Paramètres!$A$1:$I$89,3,0)*VLOOKUP('Données projet'!$B$10,Paramètres!$A$1:$I$89,5,0)</f>
        <v>227.12040000000005</v>
      </c>
      <c r="AK123" s="14">
        <f t="shared" si="89"/>
        <v>55.6595888651092</v>
      </c>
      <c r="AL123" s="22">
        <f t="shared" si="58"/>
        <v>492.50848060673189</v>
      </c>
      <c r="AM123" s="62">
        <f t="shared" si="59"/>
        <v>785.84181394006521</v>
      </c>
      <c r="AN123" s="62">
        <f ca="1">AVERAGE(OFFSET($AM$3,0,0,'Données projet'!$E$10+1,1))-AVERAGE(OFFSET($H$3,0,0,'Données projet'!$E$10+1,1))</f>
        <v>205.99910063756408</v>
      </c>
      <c r="AO123" s="62">
        <f t="shared" si="90"/>
        <v>128.95330275493671</v>
      </c>
      <c r="AP123" s="16">
        <f>IF(ISNA(VLOOKUP(A123,'Données projet'!$A$61:$I$81,3,0)),0,VLOOKUP(A123,'Données projet'!$A$61:$I$81,3,0))</f>
        <v>9</v>
      </c>
      <c r="AQ123" s="16">
        <f>IF(ISNA(VLOOKUP(A123,'Données projet'!$A$61:$I$81,4,0)),0,VLOOKUP(A123,'Données projet'!$A$61:$I$81,4,0))</f>
        <v>211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293.3333333333353</v>
      </c>
      <c r="BI123" s="62">
        <f ca="1">AVERAGE(OFFSET($BH$3,0,0,'Données projet'!$E$11+1,1))-AVERAGE(OFFSET($H$3,0,0,'Données projet'!$E$11+1,1))</f>
        <v>222.20580087523689</v>
      </c>
      <c r="BJ123" s="62">
        <f t="shared" si="92"/>
        <v>232.08940427392253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1.6837723466918948</v>
      </c>
      <c r="BQ123" s="23">
        <f>EXP(-LN(2)/25)*BQ122+(1-EXP(-LN(2)/25))/(LN(2)/25)*Calculateur!BL123*Calculateur!BN123*VLOOKUP('Données projet'!$B$11,Paramètres!$A$1:$I$89,3,0)*0.475*44/12</f>
        <v>1.3554675893376269</v>
      </c>
      <c r="BR123" s="23">
        <f>EXP(-LN(2)/2)*BR122+(1-EXP(-LN(2)/2))/(LN(2)/2)*BL123*BO123*VLOOKUP('Données projet'!$B$11,Paramètres!$A$1:$I$89,3,0)*0.475*44/12</f>
        <v>1.8019252780515682E-13</v>
      </c>
      <c r="BS123" s="24">
        <f t="shared" si="63"/>
        <v>3.039239936029702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5.1159076974727213E-13</v>
      </c>
      <c r="BZ123" s="14">
        <f>BY123*VLOOKUP('Données projet'!$B$12,Paramètres!$A$1:$I$89,3,0)*VLOOKUP('Données projet'!$B$12,Paramètres!$A$1:$I$89,5,0)</f>
        <v>2.3942448024172334E-13</v>
      </c>
      <c r="CA123" s="14">
        <f t="shared" si="93"/>
        <v>3.2492669905861755E-12</v>
      </c>
      <c r="CB123" s="22">
        <f t="shared" si="64"/>
        <v>6.0761376450252565E-12</v>
      </c>
      <c r="CC123" s="62">
        <f t="shared" si="65"/>
        <v>293.3333333333394</v>
      </c>
      <c r="CD123" s="62">
        <f ca="1">AVERAGE(OFFSET($CC$3,0,0,'Données projet'!$E$12+1,1))-AVERAGE(OFFSET($H$3,0,0,'Données projet'!$E$12+1,1))</f>
        <v>179.14256291235466</v>
      </c>
      <c r="CE123" s="62">
        <f t="shared" si="94"/>
        <v>107.5256983607585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-2.8421709430404007E-13</v>
      </c>
      <c r="CU123" s="18">
        <f>CT123*VLOOKUP('Données projet'!$B$13,Paramètres!$A$1:$I$89,3,0)*VLOOKUP('Données projet'!$B$13,Paramètres!$A$1:$I$89,5,0)</f>
        <v>-1.69961822393816E-13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237.03649693529445</v>
      </c>
      <c r="CZ123" s="62">
        <f t="shared" si="96"/>
        <v>191.04289411674887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1.495797442102412E-13</v>
      </c>
      <c r="DI123" s="24">
        <f t="shared" si="69"/>
        <v>1.495797442102412E-13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289.54000000000002</v>
      </c>
      <c r="DM123" s="13">
        <f>VLOOKUP(A123,'Données projet'!$A$165:$I$185,9,0)</f>
        <v>3.1560000000000001</v>
      </c>
      <c r="DN123" s="13">
        <f t="array" ref="DN123">INDEX(DM:DM,MIN(IF(ISNUMBER(DM123:DM319),ROW(DM123:DM319),"")))</f>
        <v>3.1560000000000001</v>
      </c>
      <c r="DO123" s="13">
        <f>IF('Données projet'!$A$166&gt;35,DO122+DN123-DW122,IF(A123&lt;'Données projet'!$A$166,$DL$205^A123,IF(A123='Données projet'!$A$166,'Données projet'!$B$166,DO122+DN123-DW122)))</f>
        <v>289.54000000000013</v>
      </c>
      <c r="DP123" s="18">
        <f>DO123*VLOOKUP('Données projet'!$B$14,Paramètres!$A$1:$I$89,3,0)*VLOOKUP('Données projet'!$B$14,Paramètres!$A$1:$I$89,5,0)</f>
        <v>333.55008000000009</v>
      </c>
      <c r="DQ123" s="14">
        <f t="shared" si="97"/>
        <v>78.165870337630622</v>
      </c>
      <c r="DR123" s="22">
        <f t="shared" si="70"/>
        <v>717.07194683804016</v>
      </c>
      <c r="DS123" s="62">
        <f t="shared" si="71"/>
        <v>1010.4052801713735</v>
      </c>
      <c r="DT123" s="62">
        <f ca="1">AVERAGE(OFFSET($DS$3,0,0,'Données projet'!$E$14+1,1))-AVERAGE(OFFSET($H$3,0,0,'Données projet'!$E$14+1,1))</f>
        <v>431.38469096974364</v>
      </c>
      <c r="DU123" s="62">
        <f t="shared" si="98"/>
        <v>295.48627059086647</v>
      </c>
      <c r="DV123" s="16">
        <f>IF(ISNA(VLOOKUP(A123,'Données projet'!$A$165:$I$185,3,0)),0,VLOOKUP(A123,'Données projet'!$A$165:$I$185,3,0))</f>
        <v>12</v>
      </c>
      <c r="DW123" s="16">
        <f>IF(ISNA(VLOOKUP(A123,'Données projet'!$A$165:$I$185,4,0)),0,VLOOKUP(A123,'Données projet'!$A$165:$I$185,4,0))</f>
        <v>21.3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8.078078035946136E-2</v>
      </c>
      <c r="EC123" s="23">
        <f>EXP(-LN(2)/2)*EC122+(1-EXP(-LN(2)/2))/(LN(2)/2)*DW123*DZ123*VLOOKUP('Données projet'!$B$14,Paramètres!$A$1:$I$89,3,0)*0.475*44/12</f>
        <v>1.090948899367217E-13</v>
      </c>
      <c r="ED123" s="24">
        <f t="shared" si="72"/>
        <v>8.0780780359570453E-2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211</v>
      </c>
      <c r="EH123" s="13">
        <f>VLOOKUP(A123,'Données projet'!$A$191:$I$211,9,0)</f>
        <v>3</v>
      </c>
      <c r="EI123" s="13">
        <f t="array" ref="EI123">INDEX(EH:EH,MIN(IF(ISNUMBER(EH123:EH319),ROW(EH123:EH319),"")))</f>
        <v>3</v>
      </c>
      <c r="EJ123" s="13">
        <f>IF('Données projet'!$A$192&gt;35,EJ122+EI123-ER122,IF(A123&lt;'Données projet'!$A$192,$EG$205^A123,IF(A123='Données projet'!$A$192,'Données projet'!$B$192,EJ122+EI123-ER122)))</f>
        <v>211.00000000000006</v>
      </c>
      <c r="EK123" s="18">
        <f>EJ123*VLOOKUP('Données projet'!$B$15,Paramètres!$A$1:$I$89,3,0)*VLOOKUP('Données projet'!$B$15,Paramètres!$A$1:$I$89,5,0)</f>
        <v>240.28680000000006</v>
      </c>
      <c r="EL123" s="14">
        <f t="shared" si="99"/>
        <v>58.501232609617418</v>
      </c>
      <c r="EM123" s="22">
        <f t="shared" si="73"/>
        <v>520.38915679508375</v>
      </c>
      <c r="EN123" s="62">
        <f t="shared" si="74"/>
        <v>813.72249012841712</v>
      </c>
      <c r="EO123" s="62">
        <f ca="1">AVERAGE(OFFSET($EN$3,0,0,'Données projet'!$E$15+1,1))-AVERAGE(OFFSET($H$3,0,0,'Données projet'!$E$15+1,1))</f>
        <v>220.03635832253951</v>
      </c>
      <c r="EP123" s="62">
        <f t="shared" si="100"/>
        <v>136.30639155882233</v>
      </c>
      <c r="EQ123" s="16">
        <f>IF(ISNA(VLOOKUP(A123,'Données projet'!$A$191:$I$211,3,0)),0,VLOOKUP(A123,'Données projet'!$A$191:$I$211,3,0))</f>
        <v>9</v>
      </c>
      <c r="ER123" s="16">
        <f>IF(ISNA(VLOOKUP(A123,'Données projet'!$A$191:$I$211,4,0)),0,VLOOKUP(A123,'Données projet'!$A$191:$I$211,4,0))</f>
        <v>211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502</v>
      </c>
      <c r="FC123" s="13">
        <f>VLOOKUP(A123,'Données projet'!$A$217:$I$237,9,0)</f>
        <v>4.5999999999999996</v>
      </c>
      <c r="FD123" s="13">
        <f t="array" ref="FD123">INDEX(FC:FC,MIN(IF(ISNUMBER(FC123:FC319),ROW(FC123:FC319),"")))</f>
        <v>4.5999999999999996</v>
      </c>
      <c r="FE123" s="13">
        <f>IF('Données projet'!$A$218&gt;35,FE122+FD123-FM122,IF(A123&lt;'Données projet'!$A$218,$FB$205^A123,IF(A123='Données projet'!$A$218,'Données projet'!$B$218,FE122+FD123-FM122)))</f>
        <v>502.00000000000097</v>
      </c>
      <c r="FF123" s="18">
        <f>FE123*VLOOKUP('Données projet'!$B$16,Paramètres!$A$1:$I$89,3,0)*VLOOKUP('Données projet'!$B$16,Paramètres!$A$1:$I$89,5,0)</f>
        <v>524.69040000000109</v>
      </c>
      <c r="FG123" s="14">
        <f t="shared" si="101"/>
        <v>116.64294068551087</v>
      </c>
      <c r="FH123" s="22">
        <f t="shared" si="76"/>
        <v>1116.9889016939335</v>
      </c>
      <c r="FI123" s="62">
        <f t="shared" si="77"/>
        <v>1410.3222350272667</v>
      </c>
      <c r="FJ123" s="62">
        <f ca="1">AVERAGE(OFFSET($FI$3,0,0,'Données projet'!$E$16+1,1))-AVERAGE(OFFSET($H$3,0,0,'Données projet'!$E$16+1,1))</f>
        <v>641.62708445664862</v>
      </c>
      <c r="FK123" s="62">
        <f t="shared" si="102"/>
        <v>379.46845863546929</v>
      </c>
      <c r="FL123" s="16">
        <f>IF(ISNA(VLOOKUP(A123,'Données projet'!$A$217:$I$237,3,0)),0,VLOOKUP(A123,'Données projet'!$A$217:$I$237,3,0))</f>
        <v>10</v>
      </c>
      <c r="FM123" s="16">
        <f>IF(ISNA(VLOOKUP(A123,'Données projet'!$A$217:$I$237,4,0)),0,VLOOKUP(A123,'Données projet'!$A$217:$I$237,4,0))</f>
        <v>28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6.166327263259242E-13</v>
      </c>
      <c r="FT123" s="24">
        <f t="shared" si="78"/>
        <v>6.166327263259242E-13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211</v>
      </c>
      <c r="FX123" s="13">
        <f>VLOOKUP(A123,'Données projet'!$A$243:$I$263,9,0)</f>
        <v>3</v>
      </c>
      <c r="FY123" s="13">
        <f t="array" ref="FY123">INDEX(FX:FX,MIN(IF(ISNUMBER(FX123:FX319),ROW(FX123:FX319),"")))</f>
        <v>3</v>
      </c>
      <c r="FZ123" s="13">
        <f>IF('Données projet'!$A$244&gt;35,FZ122+FY123-GH122,IF(A123&lt;'Données projet'!$A$244,$FW$205^A123,IF(A123='Données projet'!$A$244,'Données projet'!$B$244,FZ122+FY123-GH122)))</f>
        <v>211.00000000000006</v>
      </c>
      <c r="GA123" s="18">
        <f>FZ123*VLOOKUP('Données projet'!$B$17,Paramètres!$A$1:$I$89,3,0)*VLOOKUP('Données projet'!$B$17,Paramètres!$A$1:$I$89,5,0)</f>
        <v>204.07920000000004</v>
      </c>
      <c r="GB123" s="14">
        <f t="shared" si="103"/>
        <v>50.639596241643567</v>
      </c>
      <c r="GC123" s="22">
        <f t="shared" si="79"/>
        <v>443.63523678752927</v>
      </c>
      <c r="GD123" s="62">
        <f t="shared" si="80"/>
        <v>736.96857012086252</v>
      </c>
      <c r="GE123" s="62">
        <f ca="1">AVERAGE(OFFSET($GD$3,0,0,'Données projet'!$E$17+1,1))-AVERAGE(OFFSET($H$3,0,0,'Données projet'!$E$17+1,1))</f>
        <v>181.39066880931728</v>
      </c>
      <c r="GF123" s="62">
        <f t="shared" si="104"/>
        <v>116.06078566855524</v>
      </c>
      <c r="GG123" s="16">
        <f>IF(ISNA(VLOOKUP(A123,'Données projet'!$A$243:$I$263,3,0)),0,VLOOKUP(A123,'Données projet'!$A$243:$I$263,3,0))</f>
        <v>9</v>
      </c>
      <c r="GH123" s="16">
        <f>IF(ISNA(VLOOKUP(A123,'Données projet'!$A$243:$I$263,4,0)),0,VLOOKUP(A123,'Données projet'!$A$243:$I$263,4,0))</f>
        <v>211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-1.7053025658242404E-13</v>
      </c>
      <c r="GV123" s="18">
        <f>GU123*VLOOKUP('Données projet'!$B$18,Paramètres!$A$1:$I$89,3,0)*VLOOKUP('Données projet'!$B$18,Paramètres!$A$1:$I$89,5,0)</f>
        <v>-1.4897523215040567E-13</v>
      </c>
      <c r="GW123" s="14" t="e">
        <f t="shared" si="105"/>
        <v>#NUM!</v>
      </c>
      <c r="GX123" s="22" t="e">
        <f t="shared" si="82"/>
        <v>#NUM!</v>
      </c>
      <c r="GY123" s="62" t="e">
        <f t="shared" si="83"/>
        <v>#NUM!</v>
      </c>
      <c r="GZ123" s="62">
        <f ca="1">AVERAGE(OFFSET($GY$3,0,0,'Données projet'!$E$18+1,1))-AVERAGE(OFFSET($H$3,0,0,'Données projet'!$E$18+1,1))</f>
        <v>152.84277478695606</v>
      </c>
      <c r="HA123" s="62">
        <f t="shared" si="106"/>
        <v>179.22995976651015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9">
        <f t="shared" si="56"/>
        <v>404.28901381351614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274.9967999999995</v>
      </c>
      <c r="P124" s="14">
        <f t="shared" si="87"/>
        <v>65.908581953881495</v>
      </c>
      <c r="Q124" s="22">
        <f t="shared" si="107"/>
        <v>593.74354023634271</v>
      </c>
      <c r="R124" s="62">
        <f t="shared" si="55"/>
        <v>887.07687356967608</v>
      </c>
      <c r="S124" s="62">
        <f ca="1">AVERAGE(OFFSET($R$3,0,0,'Données projet'!$E$9+1,1))-AVERAGE(OFFSET($H$3,0,0,'Données projet'!$E$9+1,1))</f>
        <v>383.26814640166805</v>
      </c>
      <c r="T124" s="62">
        <f t="shared" si="88"/>
        <v>233.71216103405249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6.1186256061773749E-14</v>
      </c>
      <c r="AK124" s="14">
        <f t="shared" si="89"/>
        <v>9.7328366192051127E-13</v>
      </c>
      <c r="AL124" s="22">
        <f t="shared" si="58"/>
        <v>1.8017017738191463E-12</v>
      </c>
      <c r="AM124" s="62">
        <f t="shared" si="59"/>
        <v>293.33333333333513</v>
      </c>
      <c r="AN124" s="62">
        <f ca="1">AVERAGE(OFFSET($AM$3,0,0,'Données projet'!$E$10+1,1))-AVERAGE(OFFSET($H$3,0,0,'Données projet'!$E$10+1,1))</f>
        <v>205.99910063756408</v>
      </c>
      <c r="AO124" s="62">
        <f t="shared" si="90"/>
        <v>128.95330275493671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293.3333333333353</v>
      </c>
      <c r="BI124" s="62">
        <f ca="1">AVERAGE(OFFSET($BH$3,0,0,'Données projet'!$E$11+1,1))-AVERAGE(OFFSET($H$3,0,0,'Données projet'!$E$11+1,1))</f>
        <v>222.20580087523689</v>
      </c>
      <c r="BJ124" s="62">
        <f t="shared" si="92"/>
        <v>232.08940427392253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1.6507545979729905</v>
      </c>
      <c r="BQ124" s="23">
        <f>EXP(-LN(2)/25)*BQ123+(1-EXP(-LN(2)/25))/(LN(2)/25)*Calculateur!BL124*Calculateur!BN124*VLOOKUP('Données projet'!$B$11,Paramètres!$A$1:$I$89,3,0)*0.475*44/12</f>
        <v>1.318402256826247</v>
      </c>
      <c r="BR124" s="23">
        <f>EXP(-LN(2)/2)*BR123+(1-EXP(-LN(2)/2))/(LN(2)/2)*BL124*BO124*VLOOKUP('Données projet'!$B$11,Paramètres!$A$1:$I$89,3,0)*0.475*44/12</f>
        <v>1.274153583301719E-13</v>
      </c>
      <c r="BS124" s="24">
        <f t="shared" si="63"/>
        <v>2.969156854799365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5.1159076974727213E-13</v>
      </c>
      <c r="BZ124" s="14">
        <f>BY124*VLOOKUP('Données projet'!$B$12,Paramètres!$A$1:$I$89,3,0)*VLOOKUP('Données projet'!$B$12,Paramètres!$A$1:$I$89,5,0)</f>
        <v>2.3942448024172334E-13</v>
      </c>
      <c r="CA124" s="14">
        <f t="shared" si="93"/>
        <v>3.2492669905861755E-12</v>
      </c>
      <c r="CB124" s="22">
        <f t="shared" si="64"/>
        <v>6.0761376450252565E-12</v>
      </c>
      <c r="CC124" s="62">
        <f t="shared" si="65"/>
        <v>293.3333333333394</v>
      </c>
      <c r="CD124" s="62">
        <f ca="1">AVERAGE(OFFSET($CC$3,0,0,'Données projet'!$E$12+1,1))-AVERAGE(OFFSET($H$3,0,0,'Données projet'!$E$12+1,1))</f>
        <v>179.14256291235466</v>
      </c>
      <c r="CE124" s="62">
        <f t="shared" si="94"/>
        <v>107.5256983607585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-2.8421709430404007E-13</v>
      </c>
      <c r="CU124" s="18">
        <f>CT124*VLOOKUP('Données projet'!$B$13,Paramètres!$A$1:$I$89,3,0)*VLOOKUP('Données projet'!$B$13,Paramètres!$A$1:$I$89,5,0)</f>
        <v>-1.69961822393816E-13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237.03649693529445</v>
      </c>
      <c r="CZ124" s="62">
        <f t="shared" si="96"/>
        <v>191.04289411674887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1.0576885145921077E-13</v>
      </c>
      <c r="DI124" s="24">
        <f t="shared" si="69"/>
        <v>1.0576885145921077E-13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2.9939999999999998</v>
      </c>
      <c r="DO124" s="13">
        <f>IF('Données projet'!$A$166&gt;35,DO123+DN124-DW123,IF(A124&lt;'Données projet'!$A$166,$DL$205^A124,IF(A124='Données projet'!$A$166,'Données projet'!$B$166,DO123+DN124-DW123)))</f>
        <v>271.23400000000009</v>
      </c>
      <c r="DP124" s="18">
        <f>DO124*VLOOKUP('Données projet'!$B$14,Paramètres!$A$1:$I$89,3,0)*VLOOKUP('Données projet'!$B$14,Paramètres!$A$1:$I$89,5,0)</f>
        <v>312.46156800000011</v>
      </c>
      <c r="DQ124" s="14">
        <f t="shared" si="97"/>
        <v>73.782666668734578</v>
      </c>
      <c r="DR124" s="22">
        <f t="shared" si="70"/>
        <v>672.70870871471288</v>
      </c>
      <c r="DS124" s="62">
        <f t="shared" si="71"/>
        <v>966.04204204804614</v>
      </c>
      <c r="DT124" s="62">
        <f ca="1">AVERAGE(OFFSET($DS$3,0,0,'Données projet'!$E$14+1,1))-AVERAGE(OFFSET($H$3,0,0,'Données projet'!$E$14+1,1))</f>
        <v>431.38469096974364</v>
      </c>
      <c r="DU124" s="62">
        <f t="shared" si="98"/>
        <v>295.48627059086647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7.8571825672455284E-2</v>
      </c>
      <c r="EC124" s="23">
        <f>EXP(-LN(2)/2)*EC123+(1-EXP(-LN(2)/2))/(LN(2)/2)*DW124*DZ124*VLOOKUP('Données projet'!$B$14,Paramètres!$A$1:$I$89,3,0)*0.475*44/12</f>
        <v>7.7141736467055957E-14</v>
      </c>
      <c r="ED124" s="24">
        <f t="shared" si="72"/>
        <v>7.857182567253243E-2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6.4733285398688169E-14</v>
      </c>
      <c r="EL124" s="14">
        <f t="shared" si="99"/>
        <v>1.0229736701638572E-12</v>
      </c>
      <c r="EM124" s="22">
        <f t="shared" si="73"/>
        <v>1.8944229476047665E-12</v>
      </c>
      <c r="EN124" s="62">
        <f t="shared" si="74"/>
        <v>293.33333333333519</v>
      </c>
      <c r="EO124" s="62">
        <f ca="1">AVERAGE(OFFSET($EN$3,0,0,'Données projet'!$E$15+1,1))-AVERAGE(OFFSET($H$3,0,0,'Données projet'!$E$15+1,1))</f>
        <v>220.03635832253951</v>
      </c>
      <c r="EP124" s="62">
        <f t="shared" si="100"/>
        <v>136.30639155882233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4.2</v>
      </c>
      <c r="FE124" s="13">
        <f>IF('Données projet'!$A$218&gt;35,FE123+FD124-FM123,IF(A124&lt;'Données projet'!$A$218,$FB$205^A124,IF(A124='Données projet'!$A$218,'Données projet'!$B$218,FE123+FD124-FM123)))</f>
        <v>478.20000000000095</v>
      </c>
      <c r="FF124" s="18">
        <f>FE124*VLOOKUP('Données projet'!$B$16,Paramètres!$A$1:$I$89,3,0)*VLOOKUP('Données projet'!$B$16,Paramètres!$A$1:$I$89,5,0)</f>
        <v>499.81464000000102</v>
      </c>
      <c r="FG124" s="14">
        <f t="shared" si="101"/>
        <v>111.74283184145001</v>
      </c>
      <c r="FH124" s="22">
        <f t="shared" si="76"/>
        <v>1065.1292634571939</v>
      </c>
      <c r="FI124" s="62">
        <f t="shared" si="77"/>
        <v>1358.4625967905272</v>
      </c>
      <c r="FJ124" s="62">
        <f ca="1">AVERAGE(OFFSET($FI$3,0,0,'Données projet'!$E$16+1,1))-AVERAGE(OFFSET($H$3,0,0,'Données projet'!$E$16+1,1))</f>
        <v>641.62708445664862</v>
      </c>
      <c r="FK124" s="62">
        <f t="shared" si="102"/>
        <v>379.46845863546929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4.3602518228660953E-13</v>
      </c>
      <c r="FT124" s="24">
        <f t="shared" si="78"/>
        <v>4.3602518228660953E-13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5.6843418860808015E-14</v>
      </c>
      <c r="GA124" s="18">
        <f>FZ124*VLOOKUP('Données projet'!$B$17,Paramètres!$A$1:$I$89,3,0)*VLOOKUP('Données projet'!$B$17,Paramètres!$A$1:$I$89,5,0)</f>
        <v>5.4978954722173515E-14</v>
      </c>
      <c r="GB124" s="14">
        <f t="shared" si="103"/>
        <v>8.8550225887742724E-13</v>
      </c>
      <c r="GC124" s="22">
        <f t="shared" si="79"/>
        <v>1.6380047803526383E-12</v>
      </c>
      <c r="GD124" s="62">
        <f t="shared" si="80"/>
        <v>293.33333333333496</v>
      </c>
      <c r="GE124" s="62">
        <f ca="1">AVERAGE(OFFSET($GD$3,0,0,'Données projet'!$E$17+1,1))-AVERAGE(OFFSET($H$3,0,0,'Données projet'!$E$17+1,1))</f>
        <v>181.39066880931728</v>
      </c>
      <c r="GF124" s="62">
        <f t="shared" si="104"/>
        <v>116.06078566855524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-1.7053025658242404E-13</v>
      </c>
      <c r="GV124" s="18">
        <f>GU124*VLOOKUP('Données projet'!$B$18,Paramètres!$A$1:$I$89,3,0)*VLOOKUP('Données projet'!$B$18,Paramètres!$A$1:$I$89,5,0)</f>
        <v>-1.4897523215040567E-13</v>
      </c>
      <c r="GW124" s="14" t="e">
        <f t="shared" si="105"/>
        <v>#NUM!</v>
      </c>
      <c r="GX124" s="22" t="e">
        <f t="shared" si="82"/>
        <v>#NUM!</v>
      </c>
      <c r="GY124" s="62" t="e">
        <f t="shared" si="83"/>
        <v>#NUM!</v>
      </c>
      <c r="GZ124" s="62">
        <f ca="1">AVERAGE(OFFSET($GY$3,0,0,'Données projet'!$E$18+1,1))-AVERAGE(OFFSET($H$3,0,0,'Données projet'!$E$18+1,1))</f>
        <v>152.84277478695606</v>
      </c>
      <c r="HA124" s="62">
        <f t="shared" si="106"/>
        <v>179.22995976651015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9">
        <f t="shared" si="56"/>
        <v>405.47759952802585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278.24159999999949</v>
      </c>
      <c r="P125" s="14">
        <f t="shared" si="87"/>
        <v>66.595272276139681</v>
      </c>
      <c r="Q125" s="22">
        <f t="shared" si="107"/>
        <v>600.59088588094244</v>
      </c>
      <c r="R125" s="62">
        <f t="shared" si="55"/>
        <v>893.92421921427581</v>
      </c>
      <c r="S125" s="62">
        <f ca="1">AVERAGE(OFFSET($R$3,0,0,'Données projet'!$E$9+1,1))-AVERAGE(OFFSET($H$3,0,0,'Données projet'!$E$9+1,1))</f>
        <v>383.26814640166805</v>
      </c>
      <c r="T125" s="62">
        <f t="shared" si="88"/>
        <v>233.71216103405249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6.1186256061773749E-14</v>
      </c>
      <c r="AK125" s="14">
        <f t="shared" si="89"/>
        <v>9.7328366192051127E-13</v>
      </c>
      <c r="AL125" s="22">
        <f t="shared" si="58"/>
        <v>1.8017017738191463E-12</v>
      </c>
      <c r="AM125" s="62">
        <f t="shared" si="59"/>
        <v>293.33333333333513</v>
      </c>
      <c r="AN125" s="62">
        <f ca="1">AVERAGE(OFFSET($AM$3,0,0,'Données projet'!$E$10+1,1))-AVERAGE(OFFSET($H$3,0,0,'Données projet'!$E$10+1,1))</f>
        <v>205.99910063756408</v>
      </c>
      <c r="AO125" s="62">
        <f t="shared" si="90"/>
        <v>128.95330275493671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293.3333333333353</v>
      </c>
      <c r="BI125" s="62">
        <f ca="1">AVERAGE(OFFSET($BH$3,0,0,'Données projet'!$E$11+1,1))-AVERAGE(OFFSET($H$3,0,0,'Données projet'!$E$11+1,1))</f>
        <v>222.20580087523689</v>
      </c>
      <c r="BJ125" s="62">
        <f t="shared" si="92"/>
        <v>232.08940427392253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1.6183843071676256</v>
      </c>
      <c r="BQ125" s="23">
        <f>EXP(-LN(2)/25)*BQ124+(1-EXP(-LN(2)/25))/(LN(2)/25)*Calculateur!BL125*Calculateur!BN125*VLOOKUP('Données projet'!$B$11,Paramètres!$A$1:$I$89,3,0)*0.475*44/12</f>
        <v>1.2823504777815717</v>
      </c>
      <c r="BR125" s="23">
        <f>EXP(-LN(2)/2)*BR124+(1-EXP(-LN(2)/2))/(LN(2)/2)*BL125*BO125*VLOOKUP('Données projet'!$B$11,Paramètres!$A$1:$I$89,3,0)*0.475*44/12</f>
        <v>9.009626390257841E-14</v>
      </c>
      <c r="BS125" s="24">
        <f t="shared" si="63"/>
        <v>2.9007347849492873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5.1159076974727213E-13</v>
      </c>
      <c r="BZ125" s="14">
        <f>BY125*VLOOKUP('Données projet'!$B$12,Paramètres!$A$1:$I$89,3,0)*VLOOKUP('Données projet'!$B$12,Paramètres!$A$1:$I$89,5,0)</f>
        <v>2.3942448024172334E-13</v>
      </c>
      <c r="CA125" s="14">
        <f t="shared" si="93"/>
        <v>3.2492669905861755E-12</v>
      </c>
      <c r="CB125" s="22">
        <f t="shared" si="64"/>
        <v>6.0761376450252565E-12</v>
      </c>
      <c r="CC125" s="62">
        <f t="shared" si="65"/>
        <v>293.3333333333394</v>
      </c>
      <c r="CD125" s="62">
        <f ca="1">AVERAGE(OFFSET($CC$3,0,0,'Données projet'!$E$12+1,1))-AVERAGE(OFFSET($H$3,0,0,'Données projet'!$E$12+1,1))</f>
        <v>179.14256291235466</v>
      </c>
      <c r="CE125" s="62">
        <f t="shared" si="94"/>
        <v>107.5256983607585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-2.8421709430404007E-13</v>
      </c>
      <c r="CU125" s="18">
        <f>CT125*VLOOKUP('Données projet'!$B$13,Paramètres!$A$1:$I$89,3,0)*VLOOKUP('Données projet'!$B$13,Paramètres!$A$1:$I$89,5,0)</f>
        <v>-1.69961822393816E-13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237.03649693529445</v>
      </c>
      <c r="CZ125" s="62">
        <f t="shared" si="96"/>
        <v>191.04289411674887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7.47898721051206E-14</v>
      </c>
      <c r="DI125" s="24">
        <f t="shared" si="69"/>
        <v>7.47898721051206E-14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2.9939999999999998</v>
      </c>
      <c r="DO125" s="13">
        <f>IF('Données projet'!$A$166&gt;35,DO124+DN125-DW124,IF(A125&lt;'Données projet'!$A$166,$DL$205^A125,IF(A125='Données projet'!$A$166,'Données projet'!$B$166,DO124+DN125-DW124)))</f>
        <v>274.22800000000007</v>
      </c>
      <c r="DP125" s="18">
        <f>DO125*VLOOKUP('Données projet'!$B$14,Paramètres!$A$1:$I$89,3,0)*VLOOKUP('Données projet'!$B$14,Paramètres!$A$1:$I$89,5,0)</f>
        <v>315.91065600000002</v>
      </c>
      <c r="DQ125" s="14">
        <f t="shared" si="97"/>
        <v>74.501850252628671</v>
      </c>
      <c r="DR125" s="22">
        <f t="shared" si="70"/>
        <v>679.96844838999493</v>
      </c>
      <c r="DS125" s="62">
        <f t="shared" si="71"/>
        <v>973.3017817233283</v>
      </c>
      <c r="DT125" s="62">
        <f ca="1">AVERAGE(OFFSET($DS$3,0,0,'Données projet'!$E$14+1,1))-AVERAGE(OFFSET($H$3,0,0,'Données projet'!$E$14+1,1))</f>
        <v>431.38469096974364</v>
      </c>
      <c r="DU125" s="62">
        <f t="shared" si="98"/>
        <v>295.48627059086647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7.6423274967529264E-2</v>
      </c>
      <c r="EC125" s="23">
        <f>EXP(-LN(2)/2)*EC124+(1-EXP(-LN(2)/2))/(LN(2)/2)*DW125*DZ125*VLOOKUP('Données projet'!$B$14,Paramètres!$A$1:$I$89,3,0)*0.475*44/12</f>
        <v>5.4547444968360851E-14</v>
      </c>
      <c r="ED125" s="24">
        <f t="shared" si="72"/>
        <v>7.6423274967583818E-2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6.4733285398688169E-14</v>
      </c>
      <c r="EL125" s="14">
        <f t="shared" si="99"/>
        <v>1.0229736701638572E-12</v>
      </c>
      <c r="EM125" s="22">
        <f t="shared" si="73"/>
        <v>1.8944229476047665E-12</v>
      </c>
      <c r="EN125" s="62">
        <f t="shared" si="74"/>
        <v>293.33333333333519</v>
      </c>
      <c r="EO125" s="62">
        <f ca="1">AVERAGE(OFFSET($EN$3,0,0,'Données projet'!$E$15+1,1))-AVERAGE(OFFSET($H$3,0,0,'Données projet'!$E$15+1,1))</f>
        <v>220.03635832253951</v>
      </c>
      <c r="EP125" s="62">
        <f t="shared" si="100"/>
        <v>136.30639155882233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4.2</v>
      </c>
      <c r="FE125" s="13">
        <f>IF('Données projet'!$A$218&gt;35,FE124+FD125-FM124,IF(A125&lt;'Données projet'!$A$218,$FB$205^A125,IF(A125='Données projet'!$A$218,'Données projet'!$B$218,FE124+FD125-FM124)))</f>
        <v>482.40000000000094</v>
      </c>
      <c r="FF125" s="18">
        <f>FE125*VLOOKUP('Données projet'!$B$16,Paramètres!$A$1:$I$89,3,0)*VLOOKUP('Données projet'!$B$16,Paramètres!$A$1:$I$89,5,0)</f>
        <v>504.20448000000101</v>
      </c>
      <c r="FG125" s="14">
        <f t="shared" si="101"/>
        <v>112.60958167707766</v>
      </c>
      <c r="FH125" s="22">
        <f t="shared" si="76"/>
        <v>1074.2844907542453</v>
      </c>
      <c r="FI125" s="62">
        <f t="shared" si="77"/>
        <v>1367.6178240875786</v>
      </c>
      <c r="FJ125" s="62">
        <f ca="1">AVERAGE(OFFSET($FI$3,0,0,'Données projet'!$E$16+1,1))-AVERAGE(OFFSET($H$3,0,0,'Données projet'!$E$16+1,1))</f>
        <v>641.62708445664862</v>
      </c>
      <c r="FK125" s="62">
        <f t="shared" si="102"/>
        <v>379.46845863546929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3.083163631629621E-13</v>
      </c>
      <c r="FT125" s="24">
        <f t="shared" si="78"/>
        <v>3.083163631629621E-13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5.6843418860808015E-14</v>
      </c>
      <c r="GA125" s="18">
        <f>FZ125*VLOOKUP('Données projet'!$B$17,Paramètres!$A$1:$I$89,3,0)*VLOOKUP('Données projet'!$B$17,Paramètres!$A$1:$I$89,5,0)</f>
        <v>5.4978954722173515E-14</v>
      </c>
      <c r="GB125" s="14">
        <f t="shared" si="103"/>
        <v>8.8550225887742724E-13</v>
      </c>
      <c r="GC125" s="22">
        <f t="shared" si="79"/>
        <v>1.6380047803526383E-12</v>
      </c>
      <c r="GD125" s="62">
        <f t="shared" si="80"/>
        <v>293.33333333333496</v>
      </c>
      <c r="GE125" s="62">
        <f ca="1">AVERAGE(OFFSET($GD$3,0,0,'Données projet'!$E$17+1,1))-AVERAGE(OFFSET($H$3,0,0,'Données projet'!$E$17+1,1))</f>
        <v>181.39066880931728</v>
      </c>
      <c r="GF125" s="62">
        <f t="shared" si="104"/>
        <v>116.06078566855524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-1.7053025658242404E-13</v>
      </c>
      <c r="GV125" s="18">
        <f>GU125*VLOOKUP('Données projet'!$B$18,Paramètres!$A$1:$I$89,3,0)*VLOOKUP('Données projet'!$B$18,Paramètres!$A$1:$I$89,5,0)</f>
        <v>-1.4897523215040567E-13</v>
      </c>
      <c r="GW125" s="14" t="e">
        <f t="shared" si="105"/>
        <v>#NUM!</v>
      </c>
      <c r="GX125" s="22" t="e">
        <f t="shared" si="82"/>
        <v>#NUM!</v>
      </c>
      <c r="GY125" s="62" t="e">
        <f t="shared" si="83"/>
        <v>#NUM!</v>
      </c>
      <c r="GZ125" s="62">
        <f ca="1">AVERAGE(OFFSET($GY$3,0,0,'Données projet'!$E$18+1,1))-AVERAGE(OFFSET($H$3,0,0,'Données projet'!$E$18+1,1))</f>
        <v>152.84277478695606</v>
      </c>
      <c r="HA125" s="62">
        <f t="shared" si="106"/>
        <v>179.22995976651015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9">
        <f t="shared" si="56"/>
        <v>406.66595862013173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281.48639999999949</v>
      </c>
      <c r="P126" s="14">
        <f t="shared" si="87"/>
        <v>67.281031071373235</v>
      </c>
      <c r="Q126" s="22">
        <f t="shared" si="107"/>
        <v>607.43660911597419</v>
      </c>
      <c r="R126" s="62">
        <f t="shared" si="55"/>
        <v>900.76994244930756</v>
      </c>
      <c r="S126" s="62">
        <f ca="1">AVERAGE(OFFSET($R$3,0,0,'Données projet'!$E$9+1,1))-AVERAGE(OFFSET($H$3,0,0,'Données projet'!$E$9+1,1))</f>
        <v>383.26814640166805</v>
      </c>
      <c r="T126" s="62">
        <f t="shared" si="88"/>
        <v>233.71216103405249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6.1186256061773749E-14</v>
      </c>
      <c r="AK126" s="14">
        <f t="shared" si="89"/>
        <v>9.7328366192051127E-13</v>
      </c>
      <c r="AL126" s="22">
        <f t="shared" si="58"/>
        <v>1.8017017738191463E-12</v>
      </c>
      <c r="AM126" s="62">
        <f t="shared" si="59"/>
        <v>293.33333333333513</v>
      </c>
      <c r="AN126" s="62">
        <f ca="1">AVERAGE(OFFSET($AM$3,0,0,'Données projet'!$E$10+1,1))-AVERAGE(OFFSET($H$3,0,0,'Données projet'!$E$10+1,1))</f>
        <v>205.99910063756408</v>
      </c>
      <c r="AO126" s="62">
        <f t="shared" si="90"/>
        <v>128.95330275493671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293.3333333333353</v>
      </c>
      <c r="BI126" s="62">
        <f ca="1">AVERAGE(OFFSET($BH$3,0,0,'Données projet'!$E$11+1,1))-AVERAGE(OFFSET($H$3,0,0,'Données projet'!$E$11+1,1))</f>
        <v>222.20580087523689</v>
      </c>
      <c r="BJ126" s="62">
        <f t="shared" si="92"/>
        <v>232.08940427392253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1.5866487780210261</v>
      </c>
      <c r="BQ126" s="23">
        <f>EXP(-LN(2)/25)*BQ125+(1-EXP(-LN(2)/25))/(LN(2)/25)*Calculateur!BL126*Calculateur!BN126*VLOOKUP('Données projet'!$B$11,Paramètres!$A$1:$I$89,3,0)*0.475*44/12</f>
        <v>1.2472845365307539</v>
      </c>
      <c r="BR126" s="23">
        <f>EXP(-LN(2)/2)*BR125+(1-EXP(-LN(2)/2))/(LN(2)/2)*BL126*BO126*VLOOKUP('Données projet'!$B$11,Paramètres!$A$1:$I$89,3,0)*0.475*44/12</f>
        <v>6.3707679165085952E-14</v>
      </c>
      <c r="BS126" s="24">
        <f t="shared" si="63"/>
        <v>2.8339333145518437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5.1159076974727213E-13</v>
      </c>
      <c r="BZ126" s="14">
        <f>BY126*VLOOKUP('Données projet'!$B$12,Paramètres!$A$1:$I$89,3,0)*VLOOKUP('Données projet'!$B$12,Paramètres!$A$1:$I$89,5,0)</f>
        <v>2.3942448024172334E-13</v>
      </c>
      <c r="CA126" s="14">
        <f t="shared" si="93"/>
        <v>3.2492669905861755E-12</v>
      </c>
      <c r="CB126" s="22">
        <f t="shared" si="64"/>
        <v>6.0761376450252565E-12</v>
      </c>
      <c r="CC126" s="62">
        <f t="shared" si="65"/>
        <v>293.3333333333394</v>
      </c>
      <c r="CD126" s="62">
        <f ca="1">AVERAGE(OFFSET($CC$3,0,0,'Données projet'!$E$12+1,1))-AVERAGE(OFFSET($H$3,0,0,'Données projet'!$E$12+1,1))</f>
        <v>179.14256291235466</v>
      </c>
      <c r="CE126" s="62">
        <f t="shared" si="94"/>
        <v>107.5256983607585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-2.8421709430404007E-13</v>
      </c>
      <c r="CU126" s="18">
        <f>CT126*VLOOKUP('Données projet'!$B$13,Paramètres!$A$1:$I$89,3,0)*VLOOKUP('Données projet'!$B$13,Paramètres!$A$1:$I$89,5,0)</f>
        <v>-1.69961822393816E-13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237.03649693529445</v>
      </c>
      <c r="CZ126" s="62">
        <f t="shared" si="96"/>
        <v>191.04289411674887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5.2884425729605387E-14</v>
      </c>
      <c r="DI126" s="24">
        <f t="shared" si="69"/>
        <v>5.2884425729605387E-14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2.9939999999999998</v>
      </c>
      <c r="DO126" s="13">
        <f>IF('Données projet'!$A$166&gt;35,DO125+DN126-DW125,IF(A126&lt;'Données projet'!$A$166,$DL$205^A126,IF(A126='Données projet'!$A$166,'Données projet'!$B$166,DO125+DN126-DW125)))</f>
        <v>277.22200000000009</v>
      </c>
      <c r="DP126" s="18">
        <f>DO126*VLOOKUP('Données projet'!$B$14,Paramètres!$A$1:$I$89,3,0)*VLOOKUP('Données projet'!$B$14,Paramètres!$A$1:$I$89,5,0)</f>
        <v>319.35974400000009</v>
      </c>
      <c r="DQ126" s="14">
        <f t="shared" si="97"/>
        <v>75.220120426150743</v>
      </c>
      <c r="DR126" s="22">
        <f t="shared" si="70"/>
        <v>687.2265972088793</v>
      </c>
      <c r="DS126" s="62">
        <f t="shared" si="71"/>
        <v>980.55993054221267</v>
      </c>
      <c r="DT126" s="62">
        <f ca="1">AVERAGE(OFFSET($DS$3,0,0,'Données projet'!$E$14+1,1))-AVERAGE(OFFSET($H$3,0,0,'Données projet'!$E$14+1,1))</f>
        <v>431.38469096974364</v>
      </c>
      <c r="DU126" s="62">
        <f t="shared" si="98"/>
        <v>295.48627059086647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7.4333476494616815E-2</v>
      </c>
      <c r="EC126" s="23">
        <f>EXP(-LN(2)/2)*EC125+(1-EXP(-LN(2)/2))/(LN(2)/2)*DW126*DZ126*VLOOKUP('Données projet'!$B$14,Paramètres!$A$1:$I$89,3,0)*0.475*44/12</f>
        <v>3.8570868233527978E-14</v>
      </c>
      <c r="ED126" s="24">
        <f t="shared" si="72"/>
        <v>7.4333476494655382E-2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6.4733285398688169E-14</v>
      </c>
      <c r="EL126" s="14">
        <f t="shared" si="99"/>
        <v>1.0229736701638572E-12</v>
      </c>
      <c r="EM126" s="22">
        <f t="shared" si="73"/>
        <v>1.8944229476047665E-12</v>
      </c>
      <c r="EN126" s="62">
        <f t="shared" si="74"/>
        <v>293.33333333333519</v>
      </c>
      <c r="EO126" s="62">
        <f ca="1">AVERAGE(OFFSET($EN$3,0,0,'Données projet'!$E$15+1,1))-AVERAGE(OFFSET($H$3,0,0,'Données projet'!$E$15+1,1))</f>
        <v>220.03635832253951</v>
      </c>
      <c r="EP126" s="62">
        <f t="shared" si="100"/>
        <v>136.30639155882233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4.2</v>
      </c>
      <c r="FE126" s="13">
        <f>IF('Données projet'!$A$218&gt;35,FE125+FD126-FM125,IF(A126&lt;'Données projet'!$A$218,$FB$205^A126,IF(A126='Données projet'!$A$218,'Données projet'!$B$218,FE125+FD126-FM125)))</f>
        <v>486.60000000000093</v>
      </c>
      <c r="FF126" s="18">
        <f>FE126*VLOOKUP('Données projet'!$B$16,Paramètres!$A$1:$I$89,3,0)*VLOOKUP('Données projet'!$B$16,Paramètres!$A$1:$I$89,5,0)</f>
        <v>508.59432000000101</v>
      </c>
      <c r="FG126" s="14">
        <f t="shared" si="101"/>
        <v>113.47545355317534</v>
      </c>
      <c r="FH126" s="22">
        <f t="shared" si="76"/>
        <v>1083.4381889384488</v>
      </c>
      <c r="FI126" s="62">
        <f t="shared" si="77"/>
        <v>1376.771522271782</v>
      </c>
      <c r="FJ126" s="62">
        <f ca="1">AVERAGE(OFFSET($FI$3,0,0,'Données projet'!$E$16+1,1))-AVERAGE(OFFSET($H$3,0,0,'Données projet'!$E$16+1,1))</f>
        <v>641.62708445664862</v>
      </c>
      <c r="FK126" s="62">
        <f t="shared" si="102"/>
        <v>379.46845863546929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2.1801259114330477E-13</v>
      </c>
      <c r="FT126" s="24">
        <f t="shared" si="78"/>
        <v>2.1801259114330477E-13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5.6843418860808015E-14</v>
      </c>
      <c r="GA126" s="18">
        <f>FZ126*VLOOKUP('Données projet'!$B$17,Paramètres!$A$1:$I$89,3,0)*VLOOKUP('Données projet'!$B$17,Paramètres!$A$1:$I$89,5,0)</f>
        <v>5.4978954722173515E-14</v>
      </c>
      <c r="GB126" s="14">
        <f t="shared" si="103"/>
        <v>8.8550225887742724E-13</v>
      </c>
      <c r="GC126" s="22">
        <f t="shared" si="79"/>
        <v>1.6380047803526383E-12</v>
      </c>
      <c r="GD126" s="62">
        <f t="shared" si="80"/>
        <v>293.33333333333496</v>
      </c>
      <c r="GE126" s="62">
        <f ca="1">AVERAGE(OFFSET($GD$3,0,0,'Données projet'!$E$17+1,1))-AVERAGE(OFFSET($H$3,0,0,'Données projet'!$E$17+1,1))</f>
        <v>181.39066880931728</v>
      </c>
      <c r="GF126" s="62">
        <f t="shared" si="104"/>
        <v>116.06078566855524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-1.7053025658242404E-13</v>
      </c>
      <c r="GV126" s="18">
        <f>GU126*VLOOKUP('Données projet'!$B$18,Paramètres!$A$1:$I$89,3,0)*VLOOKUP('Données projet'!$B$18,Paramètres!$A$1:$I$89,5,0)</f>
        <v>-1.4897523215040567E-13</v>
      </c>
      <c r="GW126" s="14" t="e">
        <f t="shared" si="105"/>
        <v>#NUM!</v>
      </c>
      <c r="GX126" s="22" t="e">
        <f t="shared" si="82"/>
        <v>#NUM!</v>
      </c>
      <c r="GY126" s="62" t="e">
        <f t="shared" si="83"/>
        <v>#NUM!</v>
      </c>
      <c r="GZ126" s="62">
        <f ca="1">AVERAGE(OFFSET($GY$3,0,0,'Données projet'!$E$18+1,1))-AVERAGE(OFFSET($H$3,0,0,'Données projet'!$E$18+1,1))</f>
        <v>152.84277478695606</v>
      </c>
      <c r="HA126" s="62">
        <f t="shared" si="106"/>
        <v>179.22995976651015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9">
        <f t="shared" si="56"/>
        <v>407.85409314582705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284.73119999999943</v>
      </c>
      <c r="P127" s="14">
        <f t="shared" si="87"/>
        <v>67.965870320050826</v>
      </c>
      <c r="Q127" s="22">
        <f t="shared" si="107"/>
        <v>614.28073080742081</v>
      </c>
      <c r="R127" s="62">
        <f t="shared" si="55"/>
        <v>907.61406414075418</v>
      </c>
      <c r="S127" s="62">
        <f ca="1">AVERAGE(OFFSET($R$3,0,0,'Données projet'!$E$9+1,1))-AVERAGE(OFFSET($H$3,0,0,'Données projet'!$E$9+1,1))</f>
        <v>383.26814640166805</v>
      </c>
      <c r="T127" s="62">
        <f t="shared" si="88"/>
        <v>233.71216103405249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6.1186256061773749E-14</v>
      </c>
      <c r="AK127" s="14">
        <f t="shared" si="89"/>
        <v>9.7328366192051127E-13</v>
      </c>
      <c r="AL127" s="22">
        <f t="shared" si="58"/>
        <v>1.8017017738191463E-12</v>
      </c>
      <c r="AM127" s="62">
        <f t="shared" si="59"/>
        <v>293.33333333333513</v>
      </c>
      <c r="AN127" s="62">
        <f ca="1">AVERAGE(OFFSET($AM$3,0,0,'Données projet'!$E$10+1,1))-AVERAGE(OFFSET($H$3,0,0,'Données projet'!$E$10+1,1))</f>
        <v>205.99910063756408</v>
      </c>
      <c r="AO127" s="62">
        <f t="shared" si="90"/>
        <v>128.95330275493671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293.3333333333353</v>
      </c>
      <c r="BI127" s="62">
        <f ca="1">AVERAGE(OFFSET($BH$3,0,0,'Données projet'!$E$11+1,1))-AVERAGE(OFFSET($H$3,0,0,'Données projet'!$E$11+1,1))</f>
        <v>222.20580087523689</v>
      </c>
      <c r="BJ127" s="62">
        <f t="shared" si="92"/>
        <v>232.08940427392253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1.55553556324423</v>
      </c>
      <c r="BQ127" s="23">
        <f>EXP(-LN(2)/25)*BQ126+(1-EXP(-LN(2)/25))/(LN(2)/25)*Calculateur!BL127*Calculateur!BN127*VLOOKUP('Données projet'!$B$11,Paramètres!$A$1:$I$89,3,0)*0.475*44/12</f>
        <v>1.2131774752874773</v>
      </c>
      <c r="BR127" s="23">
        <f>EXP(-LN(2)/2)*BR126+(1-EXP(-LN(2)/2))/(LN(2)/2)*BL127*BO127*VLOOKUP('Données projet'!$B$11,Paramètres!$A$1:$I$89,3,0)*0.475*44/12</f>
        <v>4.5048131951289205E-14</v>
      </c>
      <c r="BS127" s="24">
        <f t="shared" si="63"/>
        <v>2.7687130385317524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5.1159076974727213E-13</v>
      </c>
      <c r="BZ127" s="14">
        <f>BY127*VLOOKUP('Données projet'!$B$12,Paramètres!$A$1:$I$89,3,0)*VLOOKUP('Données projet'!$B$12,Paramètres!$A$1:$I$89,5,0)</f>
        <v>2.3942448024172334E-13</v>
      </c>
      <c r="CA127" s="14">
        <f t="shared" si="93"/>
        <v>3.2492669905861755E-12</v>
      </c>
      <c r="CB127" s="22">
        <f t="shared" si="64"/>
        <v>6.0761376450252565E-12</v>
      </c>
      <c r="CC127" s="62">
        <f t="shared" si="65"/>
        <v>293.3333333333394</v>
      </c>
      <c r="CD127" s="62">
        <f ca="1">AVERAGE(OFFSET($CC$3,0,0,'Données projet'!$E$12+1,1))-AVERAGE(OFFSET($H$3,0,0,'Données projet'!$E$12+1,1))</f>
        <v>179.14256291235466</v>
      </c>
      <c r="CE127" s="62">
        <f t="shared" si="94"/>
        <v>107.5256983607585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-2.8421709430404007E-13</v>
      </c>
      <c r="CU127" s="18">
        <f>CT127*VLOOKUP('Données projet'!$B$13,Paramètres!$A$1:$I$89,3,0)*VLOOKUP('Données projet'!$B$13,Paramètres!$A$1:$I$89,5,0)</f>
        <v>-1.69961822393816E-13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237.03649693529445</v>
      </c>
      <c r="CZ127" s="62">
        <f t="shared" si="96"/>
        <v>191.04289411674887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3.73949360525603E-14</v>
      </c>
      <c r="DI127" s="24">
        <f t="shared" si="69"/>
        <v>3.73949360525603E-14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2.9939999999999998</v>
      </c>
      <c r="DO127" s="13">
        <f>IF('Données projet'!$A$166&gt;35,DO126+DN127-DW126,IF(A127&lt;'Données projet'!$A$166,$DL$205^A127,IF(A127='Données projet'!$A$166,'Données projet'!$B$166,DO126+DN127-DW126)))</f>
        <v>280.21600000000012</v>
      </c>
      <c r="DP127" s="18">
        <f>DO127*VLOOKUP('Données projet'!$B$14,Paramètres!$A$1:$I$89,3,0)*VLOOKUP('Données projet'!$B$14,Paramètres!$A$1:$I$89,5,0)</f>
        <v>322.80883200000011</v>
      </c>
      <c r="DQ127" s="14">
        <f t="shared" si="97"/>
        <v>75.93748819591832</v>
      </c>
      <c r="DR127" s="22">
        <f t="shared" si="70"/>
        <v>694.48317434122453</v>
      </c>
      <c r="DS127" s="62">
        <f t="shared" si="71"/>
        <v>987.8165076745579</v>
      </c>
      <c r="DT127" s="62">
        <f ca="1">AVERAGE(OFFSET($DS$3,0,0,'Données projet'!$E$14+1,1))-AVERAGE(OFFSET($H$3,0,0,'Données projet'!$E$14+1,1))</f>
        <v>431.38469096974364</v>
      </c>
      <c r="DU127" s="62">
        <f t="shared" si="98"/>
        <v>295.48627059086647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7.2300823670843881E-2</v>
      </c>
      <c r="EC127" s="23">
        <f>EXP(-LN(2)/2)*EC126+(1-EXP(-LN(2)/2))/(LN(2)/2)*DW127*DZ127*VLOOKUP('Données projet'!$B$14,Paramètres!$A$1:$I$89,3,0)*0.475*44/12</f>
        <v>2.7273722484180425E-14</v>
      </c>
      <c r="ED127" s="24">
        <f t="shared" si="72"/>
        <v>7.230082367087115E-2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6.4733285398688169E-14</v>
      </c>
      <c r="EL127" s="14">
        <f t="shared" si="99"/>
        <v>1.0229736701638572E-12</v>
      </c>
      <c r="EM127" s="22">
        <f t="shared" si="73"/>
        <v>1.8944229476047665E-12</v>
      </c>
      <c r="EN127" s="62">
        <f t="shared" si="74"/>
        <v>293.33333333333519</v>
      </c>
      <c r="EO127" s="62">
        <f ca="1">AVERAGE(OFFSET($EN$3,0,0,'Données projet'!$E$15+1,1))-AVERAGE(OFFSET($H$3,0,0,'Données projet'!$E$15+1,1))</f>
        <v>220.03635832253951</v>
      </c>
      <c r="EP127" s="62">
        <f t="shared" si="100"/>
        <v>136.30639155882233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4.2</v>
      </c>
      <c r="FE127" s="13">
        <f>IF('Données projet'!$A$218&gt;35,FE126+FD127-FM126,IF(A127&lt;'Données projet'!$A$218,$FB$205^A127,IF(A127='Données projet'!$A$218,'Données projet'!$B$218,FE126+FD127-FM126)))</f>
        <v>490.80000000000092</v>
      </c>
      <c r="FF127" s="18">
        <f>FE127*VLOOKUP('Données projet'!$B$16,Paramètres!$A$1:$I$89,3,0)*VLOOKUP('Données projet'!$B$16,Paramètres!$A$1:$I$89,5,0)</f>
        <v>512.984160000001</v>
      </c>
      <c r="FG127" s="14">
        <f t="shared" si="101"/>
        <v>114.34045592572799</v>
      </c>
      <c r="FH127" s="22">
        <f t="shared" si="76"/>
        <v>1092.5903727373113</v>
      </c>
      <c r="FI127" s="62">
        <f t="shared" si="77"/>
        <v>1385.9237060706446</v>
      </c>
      <c r="FJ127" s="62">
        <f ca="1">AVERAGE(OFFSET($FI$3,0,0,'Données projet'!$E$16+1,1))-AVERAGE(OFFSET($H$3,0,0,'Données projet'!$E$16+1,1))</f>
        <v>641.62708445664862</v>
      </c>
      <c r="FK127" s="62">
        <f t="shared" si="102"/>
        <v>379.46845863546929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1.5415818158148105E-13</v>
      </c>
      <c r="FT127" s="24">
        <f t="shared" si="78"/>
        <v>1.5415818158148105E-13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5.6843418860808015E-14</v>
      </c>
      <c r="GA127" s="18">
        <f>FZ127*VLOOKUP('Données projet'!$B$17,Paramètres!$A$1:$I$89,3,0)*VLOOKUP('Données projet'!$B$17,Paramètres!$A$1:$I$89,5,0)</f>
        <v>5.4978954722173515E-14</v>
      </c>
      <c r="GB127" s="14">
        <f t="shared" si="103"/>
        <v>8.8550225887742724E-13</v>
      </c>
      <c r="GC127" s="22">
        <f t="shared" si="79"/>
        <v>1.6380047803526383E-12</v>
      </c>
      <c r="GD127" s="62">
        <f t="shared" si="80"/>
        <v>293.33333333333496</v>
      </c>
      <c r="GE127" s="62">
        <f ca="1">AVERAGE(OFFSET($GD$3,0,0,'Données projet'!$E$17+1,1))-AVERAGE(OFFSET($H$3,0,0,'Données projet'!$E$17+1,1))</f>
        <v>181.39066880931728</v>
      </c>
      <c r="GF127" s="62">
        <f t="shared" si="104"/>
        <v>116.06078566855524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-1.7053025658242404E-13</v>
      </c>
      <c r="GV127" s="18">
        <f>GU127*VLOOKUP('Données projet'!$B$18,Paramètres!$A$1:$I$89,3,0)*VLOOKUP('Données projet'!$B$18,Paramètres!$A$1:$I$89,5,0)</f>
        <v>-1.4897523215040567E-13</v>
      </c>
      <c r="GW127" s="14" t="e">
        <f t="shared" si="105"/>
        <v>#NUM!</v>
      </c>
      <c r="GX127" s="22" t="e">
        <f t="shared" si="82"/>
        <v>#NUM!</v>
      </c>
      <c r="GY127" s="62" t="e">
        <f t="shared" si="83"/>
        <v>#NUM!</v>
      </c>
      <c r="GZ127" s="62">
        <f ca="1">AVERAGE(OFFSET($GY$3,0,0,'Données projet'!$E$18+1,1))-AVERAGE(OFFSET($H$3,0,0,'Données projet'!$E$18+1,1))</f>
        <v>152.84277478695606</v>
      </c>
      <c r="HA127" s="62">
        <f t="shared" si="106"/>
        <v>179.22995976651015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9">
        <f t="shared" si="56"/>
        <v>409.04200512602915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287.97599999999943</v>
      </c>
      <c r="P128" s="14">
        <f t="shared" si="87"/>
        <v>68.649801713863027</v>
      </c>
      <c r="Q128" s="22">
        <f t="shared" si="107"/>
        <v>621.12327131831046</v>
      </c>
      <c r="R128" s="62">
        <f t="shared" si="55"/>
        <v>914.45660465164383</v>
      </c>
      <c r="S128" s="62">
        <f ca="1">AVERAGE(OFFSET($R$3,0,0,'Données projet'!$E$9+1,1))-AVERAGE(OFFSET($H$3,0,0,'Données projet'!$E$9+1,1))</f>
        <v>383.26814640166805</v>
      </c>
      <c r="T128" s="62">
        <f t="shared" si="88"/>
        <v>233.71216103405249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6.1186256061773749E-14</v>
      </c>
      <c r="AK128" s="14">
        <f t="shared" si="89"/>
        <v>9.7328366192051127E-13</v>
      </c>
      <c r="AL128" s="22">
        <f t="shared" si="58"/>
        <v>1.8017017738191463E-12</v>
      </c>
      <c r="AM128" s="62">
        <f t="shared" si="59"/>
        <v>293.33333333333513</v>
      </c>
      <c r="AN128" s="62">
        <f ca="1">AVERAGE(OFFSET($AM$3,0,0,'Données projet'!$E$10+1,1))-AVERAGE(OFFSET($H$3,0,0,'Données projet'!$E$10+1,1))</f>
        <v>205.99910063756408</v>
      </c>
      <c r="AO128" s="62">
        <f t="shared" si="90"/>
        <v>128.95330275493671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293.3333333333353</v>
      </c>
      <c r="BI128" s="62">
        <f ca="1">AVERAGE(OFFSET($BH$3,0,0,'Données projet'!$E$11+1,1))-AVERAGE(OFFSET($H$3,0,0,'Données projet'!$E$11+1,1))</f>
        <v>222.20580087523689</v>
      </c>
      <c r="BJ128" s="62">
        <f t="shared" si="92"/>
        <v>232.08940427392253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1.5250324596320197</v>
      </c>
      <c r="BQ128" s="23">
        <f>EXP(-LN(2)/25)*BQ127+(1-EXP(-LN(2)/25))/(LN(2)/25)*Calculateur!BL128*Calculateur!BN128*VLOOKUP('Données projet'!$B$11,Paramètres!$A$1:$I$89,3,0)*0.475*44/12</f>
        <v>1.1800030734275107</v>
      </c>
      <c r="BR128" s="23">
        <f>EXP(-LN(2)/2)*BR127+(1-EXP(-LN(2)/2))/(LN(2)/2)*BL128*BO128*VLOOKUP('Données projet'!$B$11,Paramètres!$A$1:$I$89,3,0)*0.475*44/12</f>
        <v>3.1853839582542976E-14</v>
      </c>
      <c r="BS128" s="24">
        <f t="shared" si="63"/>
        <v>2.7050355330595623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5.1159076974727213E-13</v>
      </c>
      <c r="BZ128" s="14">
        <f>BY128*VLOOKUP('Données projet'!$B$12,Paramètres!$A$1:$I$89,3,0)*VLOOKUP('Données projet'!$B$12,Paramètres!$A$1:$I$89,5,0)</f>
        <v>2.3942448024172334E-13</v>
      </c>
      <c r="CA128" s="14">
        <f t="shared" si="93"/>
        <v>3.2492669905861755E-12</v>
      </c>
      <c r="CB128" s="22">
        <f t="shared" si="64"/>
        <v>6.0761376450252565E-12</v>
      </c>
      <c r="CC128" s="62">
        <f t="shared" si="65"/>
        <v>293.3333333333394</v>
      </c>
      <c r="CD128" s="62">
        <f ca="1">AVERAGE(OFFSET($CC$3,0,0,'Données projet'!$E$12+1,1))-AVERAGE(OFFSET($H$3,0,0,'Données projet'!$E$12+1,1))</f>
        <v>179.14256291235466</v>
      </c>
      <c r="CE128" s="62">
        <f t="shared" si="94"/>
        <v>107.5256983607585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-2.8421709430404007E-13</v>
      </c>
      <c r="CU128" s="18">
        <f>CT128*VLOOKUP('Données projet'!$B$13,Paramètres!$A$1:$I$89,3,0)*VLOOKUP('Données projet'!$B$13,Paramètres!$A$1:$I$89,5,0)</f>
        <v>-1.69961822393816E-13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237.03649693529445</v>
      </c>
      <c r="CZ128" s="62">
        <f t="shared" si="96"/>
        <v>191.04289411674887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2.6442212864802694E-14</v>
      </c>
      <c r="DI128" s="24">
        <f t="shared" si="69"/>
        <v>2.6442212864802694E-14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2.9939999999999998</v>
      </c>
      <c r="DO128" s="13">
        <f>IF('Données projet'!$A$166&gt;35,DO127+DN128-DW127,IF(A128&lt;'Données projet'!$A$166,$DL$205^A128,IF(A128='Données projet'!$A$166,'Données projet'!$B$166,DO127+DN128-DW127)))</f>
        <v>283.21000000000015</v>
      </c>
      <c r="DP128" s="18">
        <f>DO128*VLOOKUP('Données projet'!$B$14,Paramètres!$A$1:$I$89,3,0)*VLOOKUP('Données projet'!$B$14,Paramètres!$A$1:$I$89,5,0)</f>
        <v>326.25792000000018</v>
      </c>
      <c r="DQ128" s="14">
        <f t="shared" si="97"/>
        <v>76.653964319798163</v>
      </c>
      <c r="DR128" s="22">
        <f t="shared" si="70"/>
        <v>701.73819852364875</v>
      </c>
      <c r="DS128" s="62">
        <f t="shared" si="71"/>
        <v>995.07153185698212</v>
      </c>
      <c r="DT128" s="62">
        <f ca="1">AVERAGE(OFFSET($DS$3,0,0,'Données projet'!$E$14+1,1))-AVERAGE(OFFSET($H$3,0,0,'Données projet'!$E$14+1,1))</f>
        <v>431.38469096974364</v>
      </c>
      <c r="DU128" s="62">
        <f t="shared" si="98"/>
        <v>295.48627059086647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7.032375384542959E-2</v>
      </c>
      <c r="EC128" s="23">
        <f>EXP(-LN(2)/2)*EC127+(1-EXP(-LN(2)/2))/(LN(2)/2)*DW128*DZ128*VLOOKUP('Données projet'!$B$14,Paramètres!$A$1:$I$89,3,0)*0.475*44/12</f>
        <v>1.9285434116763989E-14</v>
      </c>
      <c r="ED128" s="24">
        <f t="shared" si="72"/>
        <v>7.032375384544888E-2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6.4733285398688169E-14</v>
      </c>
      <c r="EL128" s="14">
        <f t="shared" si="99"/>
        <v>1.0229736701638572E-12</v>
      </c>
      <c r="EM128" s="22">
        <f t="shared" si="73"/>
        <v>1.8944229476047665E-12</v>
      </c>
      <c r="EN128" s="62">
        <f t="shared" si="74"/>
        <v>293.33333333333519</v>
      </c>
      <c r="EO128" s="62">
        <f ca="1">AVERAGE(OFFSET($EN$3,0,0,'Données projet'!$E$15+1,1))-AVERAGE(OFFSET($H$3,0,0,'Données projet'!$E$15+1,1))</f>
        <v>220.03635832253951</v>
      </c>
      <c r="EP128" s="62">
        <f t="shared" si="100"/>
        <v>136.30639155882233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4.2</v>
      </c>
      <c r="FE128" s="13">
        <f>IF('Données projet'!$A$218&gt;35,FE127+FD128-FM127,IF(A128&lt;'Données projet'!$A$218,$FB$205^A128,IF(A128='Données projet'!$A$218,'Données projet'!$B$218,FE127+FD128-FM127)))</f>
        <v>495.00000000000091</v>
      </c>
      <c r="FF128" s="18">
        <f>FE128*VLOOKUP('Données projet'!$B$16,Paramètres!$A$1:$I$89,3,0)*VLOOKUP('Données projet'!$B$16,Paramètres!$A$1:$I$89,5,0)</f>
        <v>517.37400000000093</v>
      </c>
      <c r="FG128" s="14">
        <f t="shared" si="101"/>
        <v>115.20459709764437</v>
      </c>
      <c r="FH128" s="22">
        <f t="shared" si="76"/>
        <v>1101.7410566117323</v>
      </c>
      <c r="FI128" s="62">
        <f t="shared" si="77"/>
        <v>1395.0743899450656</v>
      </c>
      <c r="FJ128" s="62">
        <f ca="1">AVERAGE(OFFSET($FI$3,0,0,'Données projet'!$E$16+1,1))-AVERAGE(OFFSET($H$3,0,0,'Données projet'!$E$16+1,1))</f>
        <v>641.62708445664862</v>
      </c>
      <c r="FK128" s="62">
        <f t="shared" si="102"/>
        <v>379.46845863546929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1.0900629557165238E-13</v>
      </c>
      <c r="FT128" s="24">
        <f t="shared" si="78"/>
        <v>1.0900629557165238E-13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5.6843418860808015E-14</v>
      </c>
      <c r="GA128" s="18">
        <f>FZ128*VLOOKUP('Données projet'!$B$17,Paramètres!$A$1:$I$89,3,0)*VLOOKUP('Données projet'!$B$17,Paramètres!$A$1:$I$89,5,0)</f>
        <v>5.4978954722173515E-14</v>
      </c>
      <c r="GB128" s="14">
        <f t="shared" si="103"/>
        <v>8.8550225887742724E-13</v>
      </c>
      <c r="GC128" s="22">
        <f t="shared" si="79"/>
        <v>1.6380047803526383E-12</v>
      </c>
      <c r="GD128" s="62">
        <f t="shared" si="80"/>
        <v>293.33333333333496</v>
      </c>
      <c r="GE128" s="62">
        <f ca="1">AVERAGE(OFFSET($GD$3,0,0,'Données projet'!$E$17+1,1))-AVERAGE(OFFSET($H$3,0,0,'Données projet'!$E$17+1,1))</f>
        <v>181.39066880931728</v>
      </c>
      <c r="GF128" s="62">
        <f t="shared" si="104"/>
        <v>116.06078566855524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-1.7053025658242404E-13</v>
      </c>
      <c r="GV128" s="18">
        <f>GU128*VLOOKUP('Données projet'!$B$18,Paramètres!$A$1:$I$89,3,0)*VLOOKUP('Données projet'!$B$18,Paramètres!$A$1:$I$89,5,0)</f>
        <v>-1.4897523215040567E-13</v>
      </c>
      <c r="GW128" s="14" t="e">
        <f t="shared" si="105"/>
        <v>#NUM!</v>
      </c>
      <c r="GX128" s="22" t="e">
        <f t="shared" si="82"/>
        <v>#NUM!</v>
      </c>
      <c r="GY128" s="62" t="e">
        <f t="shared" si="83"/>
        <v>#NUM!</v>
      </c>
      <c r="GZ128" s="62">
        <f ca="1">AVERAGE(OFFSET($GY$3,0,0,'Données projet'!$E$18+1,1))-AVERAGE(OFFSET($H$3,0,0,'Données projet'!$E$18+1,1))</f>
        <v>152.84277478695606</v>
      </c>
      <c r="HA128" s="62">
        <f t="shared" si="106"/>
        <v>179.22995976651015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9">
        <f t="shared" si="56"/>
        <v>410.22969654745395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291.22079999999943</v>
      </c>
      <c r="P129" s="14">
        <f t="shared" si="87"/>
        <v>69.33283666585649</v>
      </c>
      <c r="Q129" s="22">
        <f t="shared" si="107"/>
        <v>627.96425052636573</v>
      </c>
      <c r="R129" s="62">
        <f t="shared" si="55"/>
        <v>921.29758385969899</v>
      </c>
      <c r="S129" s="62">
        <f ca="1">AVERAGE(OFFSET($R$3,0,0,'Données projet'!$E$9+1,1))-AVERAGE(OFFSET($H$3,0,0,'Données projet'!$E$9+1,1))</f>
        <v>383.26814640166805</v>
      </c>
      <c r="T129" s="62">
        <f t="shared" si="88"/>
        <v>233.71216103405249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6.1186256061773749E-14</v>
      </c>
      <c r="AK129" s="14">
        <f t="shared" si="89"/>
        <v>9.7328366192051127E-13</v>
      </c>
      <c r="AL129" s="22">
        <f t="shared" si="58"/>
        <v>1.8017017738191463E-12</v>
      </c>
      <c r="AM129" s="62">
        <f t="shared" si="59"/>
        <v>293.33333333333513</v>
      </c>
      <c r="AN129" s="62">
        <f ca="1">AVERAGE(OFFSET($AM$3,0,0,'Données projet'!$E$10+1,1))-AVERAGE(OFFSET($H$3,0,0,'Données projet'!$E$10+1,1))</f>
        <v>205.99910063756408</v>
      </c>
      <c r="AO129" s="62">
        <f t="shared" si="90"/>
        <v>128.95330275493671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293.3333333333353</v>
      </c>
      <c r="BI129" s="62">
        <f ca="1">AVERAGE(OFFSET($BH$3,0,0,'Données projet'!$E$11+1,1))-AVERAGE(OFFSET($H$3,0,0,'Données projet'!$E$11+1,1))</f>
        <v>222.20580087523689</v>
      </c>
      <c r="BJ129" s="62">
        <f t="shared" si="92"/>
        <v>232.08940427392253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1.4951275032765887</v>
      </c>
      <c r="BQ129" s="23">
        <f>EXP(-LN(2)/25)*BQ128+(1-EXP(-LN(2)/25))/(LN(2)/25)*Calculateur!BL129*Calculateur!BN129*VLOOKUP('Données projet'!$B$11,Paramètres!$A$1:$I$89,3,0)*0.475*44/12</f>
        <v>1.1477358273309706</v>
      </c>
      <c r="BR129" s="23">
        <f>EXP(-LN(2)/2)*BR128+(1-EXP(-LN(2)/2))/(LN(2)/2)*BL129*BO129*VLOOKUP('Données projet'!$B$11,Paramètres!$A$1:$I$89,3,0)*0.475*44/12</f>
        <v>2.2524065975644603E-14</v>
      </c>
      <c r="BS129" s="24">
        <f t="shared" si="63"/>
        <v>2.6428633306075819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5.1159076974727213E-13</v>
      </c>
      <c r="BZ129" s="14">
        <f>BY129*VLOOKUP('Données projet'!$B$12,Paramètres!$A$1:$I$89,3,0)*VLOOKUP('Données projet'!$B$12,Paramètres!$A$1:$I$89,5,0)</f>
        <v>2.3942448024172334E-13</v>
      </c>
      <c r="CA129" s="14">
        <f t="shared" si="93"/>
        <v>3.2492669905861755E-12</v>
      </c>
      <c r="CB129" s="22">
        <f t="shared" si="64"/>
        <v>6.0761376450252565E-12</v>
      </c>
      <c r="CC129" s="62">
        <f t="shared" si="65"/>
        <v>293.3333333333394</v>
      </c>
      <c r="CD129" s="62">
        <f ca="1">AVERAGE(OFFSET($CC$3,0,0,'Données projet'!$E$12+1,1))-AVERAGE(OFFSET($H$3,0,0,'Données projet'!$E$12+1,1))</f>
        <v>179.14256291235466</v>
      </c>
      <c r="CE129" s="62">
        <f t="shared" si="94"/>
        <v>107.5256983607585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-2.8421709430404007E-13</v>
      </c>
      <c r="CU129" s="18">
        <f>CT129*VLOOKUP('Données projet'!$B$13,Paramètres!$A$1:$I$89,3,0)*VLOOKUP('Données projet'!$B$13,Paramètres!$A$1:$I$89,5,0)</f>
        <v>-1.69961822393816E-13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237.03649693529445</v>
      </c>
      <c r="CZ129" s="62">
        <f t="shared" si="96"/>
        <v>191.04289411674887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1.869746802628015E-14</v>
      </c>
      <c r="DI129" s="24">
        <f t="shared" si="69"/>
        <v>1.869746802628015E-14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2.9939999999999998</v>
      </c>
      <c r="DO129" s="13">
        <f>IF('Données projet'!$A$166&gt;35,DO128+DN129-DW128,IF(A129&lt;'Données projet'!$A$166,$DL$205^A129,IF(A129='Données projet'!$A$166,'Données projet'!$B$166,DO128+DN129-DW128)))</f>
        <v>286.20400000000018</v>
      </c>
      <c r="DP129" s="18">
        <f>DO129*VLOOKUP('Données projet'!$B$14,Paramètres!$A$1:$I$89,3,0)*VLOOKUP('Données projet'!$B$14,Paramètres!$A$1:$I$89,5,0)</f>
        <v>329.70700800000014</v>
      </c>
      <c r="DQ129" s="14">
        <f t="shared" si="97"/>
        <v>77.369559315096765</v>
      </c>
      <c r="DR129" s="22">
        <f t="shared" si="70"/>
        <v>708.99168807379374</v>
      </c>
      <c r="DS129" s="62">
        <f t="shared" si="71"/>
        <v>1002.325021407127</v>
      </c>
      <c r="DT129" s="62">
        <f ca="1">AVERAGE(OFFSET($DS$3,0,0,'Données projet'!$E$14+1,1))-AVERAGE(OFFSET($H$3,0,0,'Données projet'!$E$14+1,1))</f>
        <v>431.38469096974364</v>
      </c>
      <c r="DU129" s="62">
        <f t="shared" si="98"/>
        <v>295.48627059086647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6.8400747098360831E-2</v>
      </c>
      <c r="EC129" s="23">
        <f>EXP(-LN(2)/2)*EC128+(1-EXP(-LN(2)/2))/(LN(2)/2)*DW129*DZ129*VLOOKUP('Données projet'!$B$14,Paramètres!$A$1:$I$89,3,0)*0.475*44/12</f>
        <v>1.3636861242090213E-14</v>
      </c>
      <c r="ED129" s="24">
        <f t="shared" si="72"/>
        <v>6.8400747098374473E-2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6.4733285398688169E-14</v>
      </c>
      <c r="EL129" s="14">
        <f t="shared" si="99"/>
        <v>1.0229736701638572E-12</v>
      </c>
      <c r="EM129" s="22">
        <f t="shared" si="73"/>
        <v>1.8944229476047665E-12</v>
      </c>
      <c r="EN129" s="62">
        <f t="shared" si="74"/>
        <v>293.33333333333519</v>
      </c>
      <c r="EO129" s="62">
        <f ca="1">AVERAGE(OFFSET($EN$3,0,0,'Données projet'!$E$15+1,1))-AVERAGE(OFFSET($H$3,0,0,'Données projet'!$E$15+1,1))</f>
        <v>220.03635832253951</v>
      </c>
      <c r="EP129" s="62">
        <f t="shared" si="100"/>
        <v>136.30639155882233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4.2</v>
      </c>
      <c r="FE129" s="13">
        <f>IF('Données projet'!$A$218&gt;35,FE128+FD129-FM128,IF(A129&lt;'Données projet'!$A$218,$FB$205^A129,IF(A129='Données projet'!$A$218,'Données projet'!$B$218,FE128+FD129-FM128)))</f>
        <v>499.2000000000009</v>
      </c>
      <c r="FF129" s="18">
        <f>FE129*VLOOKUP('Données projet'!$B$16,Paramètres!$A$1:$I$89,3,0)*VLOOKUP('Données projet'!$B$16,Paramètres!$A$1:$I$89,5,0)</f>
        <v>521.76384000000098</v>
      </c>
      <c r="FG129" s="14">
        <f t="shared" si="101"/>
        <v>116.06788522280416</v>
      </c>
      <c r="FH129" s="22">
        <f t="shared" si="76"/>
        <v>1110.8902547630521</v>
      </c>
      <c r="FI129" s="62">
        <f t="shared" si="77"/>
        <v>1404.2235880963854</v>
      </c>
      <c r="FJ129" s="62">
        <f ca="1">AVERAGE(OFFSET($FI$3,0,0,'Données projet'!$E$16+1,1))-AVERAGE(OFFSET($H$3,0,0,'Données projet'!$E$16+1,1))</f>
        <v>641.62708445664862</v>
      </c>
      <c r="FK129" s="62">
        <f t="shared" si="102"/>
        <v>379.46845863546929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7.7079090790740525E-14</v>
      </c>
      <c r="FT129" s="24">
        <f t="shared" si="78"/>
        <v>7.7079090790740525E-14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5.6843418860808015E-14</v>
      </c>
      <c r="GA129" s="18">
        <f>FZ129*VLOOKUP('Données projet'!$B$17,Paramètres!$A$1:$I$89,3,0)*VLOOKUP('Données projet'!$B$17,Paramètres!$A$1:$I$89,5,0)</f>
        <v>5.4978954722173515E-14</v>
      </c>
      <c r="GB129" s="14">
        <f t="shared" si="103"/>
        <v>8.8550225887742724E-13</v>
      </c>
      <c r="GC129" s="22">
        <f t="shared" si="79"/>
        <v>1.6380047803526383E-12</v>
      </c>
      <c r="GD129" s="62">
        <f t="shared" si="80"/>
        <v>293.33333333333496</v>
      </c>
      <c r="GE129" s="62">
        <f ca="1">AVERAGE(OFFSET($GD$3,0,0,'Données projet'!$E$17+1,1))-AVERAGE(OFFSET($H$3,0,0,'Données projet'!$E$17+1,1))</f>
        <v>181.39066880931728</v>
      </c>
      <c r="GF129" s="62">
        <f t="shared" si="104"/>
        <v>116.06078566855524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-1.7053025658242404E-13</v>
      </c>
      <c r="GV129" s="18">
        <f>GU129*VLOOKUP('Données projet'!$B$18,Paramètres!$A$1:$I$89,3,0)*VLOOKUP('Données projet'!$B$18,Paramètres!$A$1:$I$89,5,0)</f>
        <v>-1.4897523215040567E-13</v>
      </c>
      <c r="GW129" s="14" t="e">
        <f t="shared" si="105"/>
        <v>#NUM!</v>
      </c>
      <c r="GX129" s="22" t="e">
        <f t="shared" si="82"/>
        <v>#NUM!</v>
      </c>
      <c r="GY129" s="62" t="e">
        <f t="shared" si="83"/>
        <v>#NUM!</v>
      </c>
      <c r="GZ129" s="62">
        <f ca="1">AVERAGE(OFFSET($GY$3,0,0,'Données projet'!$E$18+1,1))-AVERAGE(OFFSET($H$3,0,0,'Données projet'!$E$18+1,1))</f>
        <v>152.84277478695606</v>
      </c>
      <c r="HA129" s="62">
        <f t="shared" si="106"/>
        <v>179.22995976651015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9">
        <f t="shared" si="56"/>
        <v>411.41716936346074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294.46559999999943</v>
      </c>
      <c r="P130" s="14">
        <f t="shared" si="87"/>
        <v>70.0149863201041</v>
      </c>
      <c r="Q130" s="22">
        <f t="shared" si="107"/>
        <v>634.80368784084692</v>
      </c>
      <c r="R130" s="62">
        <f t="shared" si="55"/>
        <v>928.13702117418029</v>
      </c>
      <c r="S130" s="62">
        <f ca="1">AVERAGE(OFFSET($R$3,0,0,'Données projet'!$E$9+1,1))-AVERAGE(OFFSET($H$3,0,0,'Données projet'!$E$9+1,1))</f>
        <v>383.26814640166805</v>
      </c>
      <c r="T130" s="62">
        <f t="shared" si="88"/>
        <v>233.71216103405249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6.1186256061773749E-14</v>
      </c>
      <c r="AK130" s="14">
        <f t="shared" si="89"/>
        <v>9.7328366192051127E-13</v>
      </c>
      <c r="AL130" s="22">
        <f t="shared" si="58"/>
        <v>1.8017017738191463E-12</v>
      </c>
      <c r="AM130" s="62">
        <f t="shared" si="59"/>
        <v>293.33333333333513</v>
      </c>
      <c r="AN130" s="62">
        <f ca="1">AVERAGE(OFFSET($AM$3,0,0,'Données projet'!$E$10+1,1))-AVERAGE(OFFSET($H$3,0,0,'Données projet'!$E$10+1,1))</f>
        <v>205.99910063756408</v>
      </c>
      <c r="AO130" s="62">
        <f t="shared" si="90"/>
        <v>128.95330275493671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293.3333333333353</v>
      </c>
      <c r="BI130" s="62">
        <f ca="1">AVERAGE(OFFSET($BH$3,0,0,'Données projet'!$E$11+1,1))-AVERAGE(OFFSET($H$3,0,0,'Données projet'!$E$11+1,1))</f>
        <v>222.20580087523689</v>
      </c>
      <c r="BJ130" s="62">
        <f t="shared" si="92"/>
        <v>232.08940427392253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1.4658089648750654</v>
      </c>
      <c r="BQ130" s="23">
        <f>EXP(-LN(2)/25)*BQ129+(1-EXP(-LN(2)/25))/(LN(2)/25)*Calculateur!BL130*Calculateur!BN130*VLOOKUP('Données projet'!$B$11,Paramètres!$A$1:$I$89,3,0)*0.475*44/12</f>
        <v>1.1163509307758013</v>
      </c>
      <c r="BR130" s="23">
        <f>EXP(-LN(2)/2)*BR129+(1-EXP(-LN(2)/2))/(LN(2)/2)*BL130*BO130*VLOOKUP('Données projet'!$B$11,Paramètres!$A$1:$I$89,3,0)*0.475*44/12</f>
        <v>1.5926919791271488E-14</v>
      </c>
      <c r="BS130" s="24">
        <f t="shared" si="63"/>
        <v>2.5821598956508827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5.1159076974727213E-13</v>
      </c>
      <c r="BZ130" s="14">
        <f>BY130*VLOOKUP('Données projet'!$B$12,Paramètres!$A$1:$I$89,3,0)*VLOOKUP('Données projet'!$B$12,Paramètres!$A$1:$I$89,5,0)</f>
        <v>2.3942448024172334E-13</v>
      </c>
      <c r="CA130" s="14">
        <f t="shared" si="93"/>
        <v>3.2492669905861755E-12</v>
      </c>
      <c r="CB130" s="22">
        <f t="shared" si="64"/>
        <v>6.0761376450252565E-12</v>
      </c>
      <c r="CC130" s="62">
        <f t="shared" si="65"/>
        <v>293.3333333333394</v>
      </c>
      <c r="CD130" s="62">
        <f ca="1">AVERAGE(OFFSET($CC$3,0,0,'Données projet'!$E$12+1,1))-AVERAGE(OFFSET($H$3,0,0,'Données projet'!$E$12+1,1))</f>
        <v>179.14256291235466</v>
      </c>
      <c r="CE130" s="62">
        <f t="shared" si="94"/>
        <v>107.5256983607585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-2.8421709430404007E-13</v>
      </c>
      <c r="CU130" s="18">
        <f>CT130*VLOOKUP('Données projet'!$B$13,Paramètres!$A$1:$I$89,3,0)*VLOOKUP('Données projet'!$B$13,Paramètres!$A$1:$I$89,5,0)</f>
        <v>-1.69961822393816E-13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237.03649693529445</v>
      </c>
      <c r="CZ130" s="62">
        <f t="shared" si="96"/>
        <v>191.04289411674887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1.3221106432401347E-14</v>
      </c>
      <c r="DI130" s="24">
        <f t="shared" si="69"/>
        <v>1.3221106432401347E-14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2.9939999999999998</v>
      </c>
      <c r="DO130" s="13">
        <f>IF('Données projet'!$A$166&gt;35,DO129+DN130-DW129,IF(A130&lt;'Données projet'!$A$166,$DL$205^A130,IF(A130='Données projet'!$A$166,'Données projet'!$B$166,DO129+DN130-DW129)))</f>
        <v>289.19800000000021</v>
      </c>
      <c r="DP130" s="18">
        <f>DO130*VLOOKUP('Données projet'!$B$14,Paramètres!$A$1:$I$89,3,0)*VLOOKUP('Données projet'!$B$14,Paramètres!$A$1:$I$89,5,0)</f>
        <v>333.15609600000022</v>
      </c>
      <c r="DQ130" s="14">
        <f t="shared" si="97"/>
        <v>78.084283466398261</v>
      </c>
      <c r="DR130" s="22">
        <f t="shared" si="70"/>
        <v>716.24366090397734</v>
      </c>
      <c r="DS130" s="62">
        <f t="shared" si="71"/>
        <v>1009.5769942373106</v>
      </c>
      <c r="DT130" s="62">
        <f ca="1">AVERAGE(OFFSET($DS$3,0,0,'Données projet'!$E$14+1,1))-AVERAGE(OFFSET($H$3,0,0,'Données projet'!$E$14+1,1))</f>
        <v>431.38469096974364</v>
      </c>
      <c r="DU130" s="62">
        <f t="shared" si="98"/>
        <v>295.48627059086647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6.6530325071917196E-2</v>
      </c>
      <c r="EC130" s="23">
        <f>EXP(-LN(2)/2)*EC129+(1-EXP(-LN(2)/2))/(LN(2)/2)*DW130*DZ130*VLOOKUP('Données projet'!$B$14,Paramètres!$A$1:$I$89,3,0)*0.475*44/12</f>
        <v>9.6427170583819946E-15</v>
      </c>
      <c r="ED130" s="24">
        <f t="shared" si="72"/>
        <v>6.6530325071926841E-2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6.4733285398688169E-14</v>
      </c>
      <c r="EL130" s="14">
        <f t="shared" si="99"/>
        <v>1.0229736701638572E-12</v>
      </c>
      <c r="EM130" s="22">
        <f t="shared" si="73"/>
        <v>1.8944229476047665E-12</v>
      </c>
      <c r="EN130" s="62">
        <f t="shared" si="74"/>
        <v>293.33333333333519</v>
      </c>
      <c r="EO130" s="62">
        <f ca="1">AVERAGE(OFFSET($EN$3,0,0,'Données projet'!$E$15+1,1))-AVERAGE(OFFSET($H$3,0,0,'Données projet'!$E$15+1,1))</f>
        <v>220.03635832253951</v>
      </c>
      <c r="EP130" s="62">
        <f t="shared" si="100"/>
        <v>136.30639155882233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4.2</v>
      </c>
      <c r="FE130" s="13">
        <f>IF('Données projet'!$A$218&gt;35,FE129+FD130-FM129,IF(A130&lt;'Données projet'!$A$218,$FB$205^A130,IF(A130='Données projet'!$A$218,'Données projet'!$B$218,FE129+FD130-FM129)))</f>
        <v>503.40000000000089</v>
      </c>
      <c r="FF130" s="18">
        <f>FE130*VLOOKUP('Données projet'!$B$16,Paramètres!$A$1:$I$89,3,0)*VLOOKUP('Données projet'!$B$16,Paramètres!$A$1:$I$89,5,0)</f>
        <v>526.15368000000092</v>
      </c>
      <c r="FG130" s="14">
        <f t="shared" si="101"/>
        <v>116.93032830996241</v>
      </c>
      <c r="FH130" s="22">
        <f t="shared" si="76"/>
        <v>1120.0379811398527</v>
      </c>
      <c r="FI130" s="62">
        <f t="shared" si="77"/>
        <v>1413.371314473186</v>
      </c>
      <c r="FJ130" s="62">
        <f ca="1">AVERAGE(OFFSET($FI$3,0,0,'Données projet'!$E$16+1,1))-AVERAGE(OFFSET($H$3,0,0,'Données projet'!$E$16+1,1))</f>
        <v>641.62708445664862</v>
      </c>
      <c r="FK130" s="62">
        <f t="shared" si="102"/>
        <v>379.46845863546929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5.4503147785826192E-14</v>
      </c>
      <c r="FT130" s="24">
        <f t="shared" si="78"/>
        <v>5.4503147785826192E-14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5.6843418860808015E-14</v>
      </c>
      <c r="GA130" s="18">
        <f>FZ130*VLOOKUP('Données projet'!$B$17,Paramètres!$A$1:$I$89,3,0)*VLOOKUP('Données projet'!$B$17,Paramètres!$A$1:$I$89,5,0)</f>
        <v>5.4978954722173515E-14</v>
      </c>
      <c r="GB130" s="14">
        <f t="shared" si="103"/>
        <v>8.8550225887742724E-13</v>
      </c>
      <c r="GC130" s="22">
        <f t="shared" si="79"/>
        <v>1.6380047803526383E-12</v>
      </c>
      <c r="GD130" s="62">
        <f t="shared" si="80"/>
        <v>293.33333333333496</v>
      </c>
      <c r="GE130" s="62">
        <f ca="1">AVERAGE(OFFSET($GD$3,0,0,'Données projet'!$E$17+1,1))-AVERAGE(OFFSET($H$3,0,0,'Données projet'!$E$17+1,1))</f>
        <v>181.39066880931728</v>
      </c>
      <c r="GF130" s="62">
        <f t="shared" si="104"/>
        <v>116.06078566855524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-1.7053025658242404E-13</v>
      </c>
      <c r="GV130" s="18">
        <f>GU130*VLOOKUP('Données projet'!$B$18,Paramètres!$A$1:$I$89,3,0)*VLOOKUP('Données projet'!$B$18,Paramètres!$A$1:$I$89,5,0)</f>
        <v>-1.4897523215040567E-13</v>
      </c>
      <c r="GW130" s="14" t="e">
        <f t="shared" si="105"/>
        <v>#NUM!</v>
      </c>
      <c r="GX130" s="22" t="e">
        <f t="shared" si="82"/>
        <v>#NUM!</v>
      </c>
      <c r="GY130" s="62" t="e">
        <f t="shared" si="83"/>
        <v>#NUM!</v>
      </c>
      <c r="GZ130" s="62">
        <f ca="1">AVERAGE(OFFSET($GY$3,0,0,'Données projet'!$E$18+1,1))-AVERAGE(OFFSET($H$3,0,0,'Données projet'!$E$18+1,1))</f>
        <v>152.84277478695606</v>
      </c>
      <c r="HA130" s="62">
        <f t="shared" si="106"/>
        <v>179.22995976651015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9">
        <f t="shared" si="56"/>
        <v>412.60442549487129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297.71039999999937</v>
      </c>
      <c r="P131" s="14">
        <f t="shared" si="87"/>
        <v>70.696261560936534</v>
      </c>
      <c r="Q131" s="22">
        <f t="shared" ref="Q131:Q153" si="108">(O131+P131)*0.475*44/12</f>
        <v>641.64160221862994</v>
      </c>
      <c r="R131" s="62">
        <f t="shared" ref="R131:R194" si="109">Q131+(I131+J131)*44/12</f>
        <v>934.9749355519632</v>
      </c>
      <c r="S131" s="62">
        <f ca="1">AVERAGE(OFFSET($R$3,0,0,'Données projet'!$E$9+1,1))-AVERAGE(OFFSET($H$3,0,0,'Données projet'!$E$9+1,1))</f>
        <v>383.26814640166805</v>
      </c>
      <c r="T131" s="62">
        <f t="shared" si="88"/>
        <v>233.71216103405249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6.1186256061773749E-14</v>
      </c>
      <c r="AK131" s="14">
        <f t="shared" si="89"/>
        <v>9.7328366192051127E-13</v>
      </c>
      <c r="AL131" s="22">
        <f t="shared" si="58"/>
        <v>1.8017017738191463E-12</v>
      </c>
      <c r="AM131" s="62">
        <f t="shared" si="59"/>
        <v>293.33333333333513</v>
      </c>
      <c r="AN131" s="62">
        <f ca="1">AVERAGE(OFFSET($AM$3,0,0,'Données projet'!$E$10+1,1))-AVERAGE(OFFSET($H$3,0,0,'Données projet'!$E$10+1,1))</f>
        <v>205.99910063756408</v>
      </c>
      <c r="AO131" s="62">
        <f t="shared" si="90"/>
        <v>128.95330275493671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293.3333333333353</v>
      </c>
      <c r="BI131" s="62">
        <f ca="1">AVERAGE(OFFSET($BH$3,0,0,'Données projet'!$E$11+1,1))-AVERAGE(OFFSET($H$3,0,0,'Données projet'!$E$11+1,1))</f>
        <v>222.20580087523689</v>
      </c>
      <c r="BJ131" s="62">
        <f t="shared" si="92"/>
        <v>232.08940427392253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1.4370653451290534</v>
      </c>
      <c r="BQ131" s="23">
        <f>EXP(-LN(2)/25)*BQ130+(1-EXP(-LN(2)/25))/(LN(2)/25)*Calculateur!BL131*Calculateur!BN131*VLOOKUP('Données projet'!$B$11,Paramètres!$A$1:$I$89,3,0)*0.475*44/12</f>
        <v>1.085824255867393</v>
      </c>
      <c r="BR131" s="23">
        <f>EXP(-LN(2)/2)*BR130+(1-EXP(-LN(2)/2))/(LN(2)/2)*BL131*BO131*VLOOKUP('Données projet'!$B$11,Paramètres!$A$1:$I$89,3,0)*0.475*44/12</f>
        <v>1.1262032987822301E-14</v>
      </c>
      <c r="BS131" s="24">
        <f t="shared" si="63"/>
        <v>2.5228896009964576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5.1159076974727213E-13</v>
      </c>
      <c r="BZ131" s="14">
        <f>BY131*VLOOKUP('Données projet'!$B$12,Paramètres!$A$1:$I$89,3,0)*VLOOKUP('Données projet'!$B$12,Paramètres!$A$1:$I$89,5,0)</f>
        <v>2.3942448024172334E-13</v>
      </c>
      <c r="CA131" s="14">
        <f t="shared" si="93"/>
        <v>3.2492669905861755E-12</v>
      </c>
      <c r="CB131" s="22">
        <f t="shared" si="64"/>
        <v>6.0761376450252565E-12</v>
      </c>
      <c r="CC131" s="62">
        <f t="shared" si="65"/>
        <v>293.3333333333394</v>
      </c>
      <c r="CD131" s="62">
        <f ca="1">AVERAGE(OFFSET($CC$3,0,0,'Données projet'!$E$12+1,1))-AVERAGE(OFFSET($H$3,0,0,'Données projet'!$E$12+1,1))</f>
        <v>179.14256291235466</v>
      </c>
      <c r="CE131" s="62">
        <f t="shared" si="94"/>
        <v>107.5256983607585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-2.8421709430404007E-13</v>
      </c>
      <c r="CU131" s="18">
        <f>CT131*VLOOKUP('Données projet'!$B$13,Paramètres!$A$1:$I$89,3,0)*VLOOKUP('Données projet'!$B$13,Paramètres!$A$1:$I$89,5,0)</f>
        <v>-1.69961822393816E-13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237.03649693529445</v>
      </c>
      <c r="CZ131" s="62">
        <f t="shared" si="96"/>
        <v>191.04289411674887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9.3487340131400751E-15</v>
      </c>
      <c r="DI131" s="24">
        <f t="shared" si="69"/>
        <v>9.3487340131400751E-15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2.9939999999999998</v>
      </c>
      <c r="DO131" s="13">
        <f>IF('Données projet'!$A$166&gt;35,DO130+DN131-DW130,IF(A131&lt;'Données projet'!$A$166,$DL$205^A131,IF(A131='Données projet'!$A$166,'Données projet'!$B$166,DO130+DN131-DW130)))</f>
        <v>292.19200000000023</v>
      </c>
      <c r="DP131" s="18">
        <f>DO131*VLOOKUP('Données projet'!$B$14,Paramètres!$A$1:$I$89,3,0)*VLOOKUP('Données projet'!$B$14,Paramètres!$A$1:$I$89,5,0)</f>
        <v>336.60518400000029</v>
      </c>
      <c r="DQ131" s="14">
        <f t="shared" si="97"/>
        <v>78.798146833069453</v>
      </c>
      <c r="DR131" s="22">
        <f t="shared" si="70"/>
        <v>723.49413453426314</v>
      </c>
      <c r="DS131" s="62">
        <f t="shared" si="71"/>
        <v>1016.8274678675964</v>
      </c>
      <c r="DT131" s="62">
        <f ca="1">AVERAGE(OFFSET($DS$3,0,0,'Données projet'!$E$14+1,1))-AVERAGE(OFFSET($H$3,0,0,'Données projet'!$E$14+1,1))</f>
        <v>431.38469096974364</v>
      </c>
      <c r="DU131" s="62">
        <f t="shared" si="98"/>
        <v>295.48627059086647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6.4711049834147882E-2</v>
      </c>
      <c r="EC131" s="23">
        <f>EXP(-LN(2)/2)*EC130+(1-EXP(-LN(2)/2))/(LN(2)/2)*DW131*DZ131*VLOOKUP('Données projet'!$B$14,Paramètres!$A$1:$I$89,3,0)*0.475*44/12</f>
        <v>6.8184306210451063E-15</v>
      </c>
      <c r="ED131" s="24">
        <f t="shared" si="72"/>
        <v>6.4711049834154696E-2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6.4733285398688169E-14</v>
      </c>
      <c r="EL131" s="14">
        <f t="shared" si="99"/>
        <v>1.0229736701638572E-12</v>
      </c>
      <c r="EM131" s="22">
        <f t="shared" si="73"/>
        <v>1.8944229476047665E-12</v>
      </c>
      <c r="EN131" s="62">
        <f t="shared" si="74"/>
        <v>293.33333333333519</v>
      </c>
      <c r="EO131" s="62">
        <f ca="1">AVERAGE(OFFSET($EN$3,0,0,'Données projet'!$E$15+1,1))-AVERAGE(OFFSET($H$3,0,0,'Données projet'!$E$15+1,1))</f>
        <v>220.03635832253951</v>
      </c>
      <c r="EP131" s="62">
        <f t="shared" si="100"/>
        <v>136.30639155882233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4.2</v>
      </c>
      <c r="FE131" s="13">
        <f>IF('Données projet'!$A$218&gt;35,FE130+FD131-FM130,IF(A131&lt;'Données projet'!$A$218,$FB$205^A131,IF(A131='Données projet'!$A$218,'Données projet'!$B$218,FE130+FD131-FM130)))</f>
        <v>507.60000000000088</v>
      </c>
      <c r="FF131" s="18">
        <f>FE131*VLOOKUP('Données projet'!$B$16,Paramètres!$A$1:$I$89,3,0)*VLOOKUP('Données projet'!$B$16,Paramètres!$A$1:$I$89,5,0)</f>
        <v>530.54352000000097</v>
      </c>
      <c r="FG131" s="14">
        <f t="shared" si="101"/>
        <v>117.7919342265221</v>
      </c>
      <c r="FH131" s="22">
        <f t="shared" si="76"/>
        <v>1129.1842494445277</v>
      </c>
      <c r="FI131" s="62">
        <f t="shared" si="77"/>
        <v>1422.517582777861</v>
      </c>
      <c r="FJ131" s="62">
        <f ca="1">AVERAGE(OFFSET($FI$3,0,0,'Données projet'!$E$16+1,1))-AVERAGE(OFFSET($H$3,0,0,'Données projet'!$E$16+1,1))</f>
        <v>641.62708445664862</v>
      </c>
      <c r="FK131" s="62">
        <f t="shared" si="102"/>
        <v>379.46845863546929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3.8539545395370263E-14</v>
      </c>
      <c r="FT131" s="24">
        <f t="shared" si="78"/>
        <v>3.8539545395370263E-14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5.6843418860808015E-14</v>
      </c>
      <c r="GA131" s="18">
        <f>FZ131*VLOOKUP('Données projet'!$B$17,Paramètres!$A$1:$I$89,3,0)*VLOOKUP('Données projet'!$B$17,Paramètres!$A$1:$I$89,5,0)</f>
        <v>5.4978954722173515E-14</v>
      </c>
      <c r="GB131" s="14">
        <f t="shared" si="103"/>
        <v>8.8550225887742724E-13</v>
      </c>
      <c r="GC131" s="22">
        <f t="shared" si="79"/>
        <v>1.6380047803526383E-12</v>
      </c>
      <c r="GD131" s="62">
        <f t="shared" si="80"/>
        <v>293.33333333333496</v>
      </c>
      <c r="GE131" s="62">
        <f ca="1">AVERAGE(OFFSET($GD$3,0,0,'Données projet'!$E$17+1,1))-AVERAGE(OFFSET($H$3,0,0,'Données projet'!$E$17+1,1))</f>
        <v>181.39066880931728</v>
      </c>
      <c r="GF131" s="62">
        <f t="shared" si="104"/>
        <v>116.06078566855524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-1.7053025658242404E-13</v>
      </c>
      <c r="GV131" s="18">
        <f>GU131*VLOOKUP('Données projet'!$B$18,Paramètres!$A$1:$I$89,3,0)*VLOOKUP('Données projet'!$B$18,Paramètres!$A$1:$I$89,5,0)</f>
        <v>-1.4897523215040567E-13</v>
      </c>
      <c r="GW131" s="14" t="e">
        <f t="shared" si="105"/>
        <v>#NUM!</v>
      </c>
      <c r="GX131" s="22" t="e">
        <f t="shared" si="82"/>
        <v>#NUM!</v>
      </c>
      <c r="GY131" s="62" t="e">
        <f t="shared" si="83"/>
        <v>#NUM!</v>
      </c>
      <c r="GZ131" s="62">
        <f ca="1">AVERAGE(OFFSET($GY$3,0,0,'Données projet'!$E$18+1,1))-AVERAGE(OFFSET($H$3,0,0,'Données projet'!$E$18+1,1))</f>
        <v>152.84277478695606</v>
      </c>
      <c r="HA131" s="62">
        <f t="shared" si="106"/>
        <v>179.22995976651015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9">
        <f t="shared" ref="H132:H195" si="110">(B132+E132+F132)*44/12+(C132+D132)*0.475*44/12</f>
        <v>413.79146683076101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300.95519999999942</v>
      </c>
      <c r="P132" s="14">
        <f t="shared" si="87"/>
        <v>71.376673021759657</v>
      </c>
      <c r="Q132" s="22">
        <f t="shared" si="108"/>
        <v>648.47801217956373</v>
      </c>
      <c r="R132" s="62">
        <f t="shared" si="109"/>
        <v>941.81134551289711</v>
      </c>
      <c r="S132" s="62">
        <f ca="1">AVERAGE(OFFSET($R$3,0,0,'Données projet'!$E$9+1,1))-AVERAGE(OFFSET($H$3,0,0,'Données projet'!$E$9+1,1))</f>
        <v>383.26814640166805</v>
      </c>
      <c r="T132" s="62">
        <f t="shared" si="88"/>
        <v>233.71216103405249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6.1186256061773749E-14</v>
      </c>
      <c r="AK132" s="14">
        <f t="shared" si="89"/>
        <v>9.7328366192051127E-13</v>
      </c>
      <c r="AL132" s="22">
        <f t="shared" ref="AL132:AL153" si="112">(AJ132+AK132)*0.475*44/12</f>
        <v>1.8017017738191463E-12</v>
      </c>
      <c r="AM132" s="62">
        <f t="shared" ref="AM132:AM195" si="113">AL132+(AD132+AE132)*44/12</f>
        <v>293.33333333333513</v>
      </c>
      <c r="AN132" s="62">
        <f ca="1">AVERAGE(OFFSET($AM$3,0,0,'Données projet'!$E$10+1,1))-AVERAGE(OFFSET($H$3,0,0,'Données projet'!$E$10+1,1))</f>
        <v>205.99910063756408</v>
      </c>
      <c r="AO132" s="62">
        <f t="shared" si="90"/>
        <v>128.95330275493671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293.3333333333353</v>
      </c>
      <c r="BI132" s="62">
        <f ca="1">AVERAGE(OFFSET($BH$3,0,0,'Données projet'!$E$11+1,1))-AVERAGE(OFFSET($H$3,0,0,'Données projet'!$E$11+1,1))</f>
        <v>222.20580087523689</v>
      </c>
      <c r="BJ132" s="62">
        <f t="shared" si="92"/>
        <v>232.08940427392253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1.4088853702343838</v>
      </c>
      <c r="BQ132" s="23">
        <f>EXP(-LN(2)/25)*BQ131+(1-EXP(-LN(2)/25))/(LN(2)/25)*Calculateur!BL132*Calculateur!BN132*VLOOKUP('Données projet'!$B$11,Paramètres!$A$1:$I$89,3,0)*0.475*44/12</f>
        <v>1.0561323344896831</v>
      </c>
      <c r="BR132" s="23">
        <f>EXP(-LN(2)/2)*BR131+(1-EXP(-LN(2)/2))/(LN(2)/2)*BL132*BO132*VLOOKUP('Données projet'!$B$11,Paramètres!$A$1:$I$89,3,0)*0.475*44/12</f>
        <v>7.963459895635744E-15</v>
      </c>
      <c r="BS132" s="24">
        <f t="shared" ref="BS132:BS153" si="117">SUM(BP132:BR132)</f>
        <v>2.4650177047240751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5.1159076974727213E-13</v>
      </c>
      <c r="BZ132" s="14">
        <f>BY132*VLOOKUP('Données projet'!$B$12,Paramètres!$A$1:$I$89,3,0)*VLOOKUP('Données projet'!$B$12,Paramètres!$A$1:$I$89,5,0)</f>
        <v>2.3942448024172334E-13</v>
      </c>
      <c r="CA132" s="14">
        <f t="shared" si="93"/>
        <v>3.2492669905861755E-12</v>
      </c>
      <c r="CB132" s="22">
        <f t="shared" ref="CB132:CB153" si="118">(BZ132+CA132)*0.475*44/12</f>
        <v>6.0761376450252565E-12</v>
      </c>
      <c r="CC132" s="62">
        <f t="shared" ref="CC132:CC195" si="119">CB132+(BT132+BU132)*44/12</f>
        <v>293.3333333333394</v>
      </c>
      <c r="CD132" s="62">
        <f ca="1">AVERAGE(OFFSET($CC$3,0,0,'Données projet'!$E$12+1,1))-AVERAGE(OFFSET($H$3,0,0,'Données projet'!$E$12+1,1))</f>
        <v>179.14256291235466</v>
      </c>
      <c r="CE132" s="62">
        <f t="shared" si="94"/>
        <v>107.5256983607585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-2.8421709430404007E-13</v>
      </c>
      <c r="CU132" s="18">
        <f>CT132*VLOOKUP('Données projet'!$B$13,Paramètres!$A$1:$I$89,3,0)*VLOOKUP('Données projet'!$B$13,Paramètres!$A$1:$I$89,5,0)</f>
        <v>-1.69961822393816E-13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237.03649693529445</v>
      </c>
      <c r="CZ132" s="62">
        <f t="shared" si="96"/>
        <v>191.04289411674887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6.6105532162006734E-15</v>
      </c>
      <c r="DI132" s="24">
        <f t="shared" ref="DI132:DI153" si="123">SUM(DF132:DH132)</f>
        <v>6.6105532162006734E-15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2.9939999999999998</v>
      </c>
      <c r="DO132" s="13">
        <f>IF('Données projet'!$A$166&gt;35,DO131+DN132-DW131,IF(A132&lt;'Données projet'!$A$166,$DL$205^A132,IF(A132='Données projet'!$A$166,'Données projet'!$B$166,DO131+DN132-DW131)))</f>
        <v>295.18600000000026</v>
      </c>
      <c r="DP132" s="18">
        <f>DO132*VLOOKUP('Données projet'!$B$14,Paramètres!$A$1:$I$89,3,0)*VLOOKUP('Données projet'!$B$14,Paramètres!$A$1:$I$89,5,0)</f>
        <v>340.05427200000025</v>
      </c>
      <c r="DQ132" s="14">
        <f t="shared" si="97"/>
        <v>79.511159256447456</v>
      </c>
      <c r="DR132" s="22">
        <f t="shared" ref="DR132:DR153" si="124">(DP132+DQ132)*0.475*44/12</f>
        <v>730.74312610497975</v>
      </c>
      <c r="DS132" s="62">
        <f t="shared" ref="DS132:DS195" si="125">DR132+(DJ132+DK132)*44/12</f>
        <v>1024.0764594383131</v>
      </c>
      <c r="DT132" s="62">
        <f ca="1">AVERAGE(OFFSET($DS$3,0,0,'Données projet'!$E$14+1,1))-AVERAGE(OFFSET($H$3,0,0,'Données projet'!$E$14+1,1))</f>
        <v>431.38469096974364</v>
      </c>
      <c r="DU132" s="62">
        <f t="shared" si="98"/>
        <v>295.48627059086647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6.2941522773426892E-2</v>
      </c>
      <c r="EC132" s="23">
        <f>EXP(-LN(2)/2)*EC131+(1-EXP(-LN(2)/2))/(LN(2)/2)*DW132*DZ132*VLOOKUP('Données projet'!$B$14,Paramètres!$A$1:$I$89,3,0)*0.475*44/12</f>
        <v>4.8213585291909973E-15</v>
      </c>
      <c r="ED132" s="24">
        <f t="shared" ref="ED132:ED153" si="126">SUM(EA132:EC132)</f>
        <v>6.2941522773431707E-2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6.4733285398688169E-14</v>
      </c>
      <c r="EL132" s="14">
        <f t="shared" si="99"/>
        <v>1.0229736701638572E-12</v>
      </c>
      <c r="EM132" s="22">
        <f t="shared" ref="EM132:EM153" si="127">(EK132+EL132)*0.475*44/12</f>
        <v>1.8944229476047665E-12</v>
      </c>
      <c r="EN132" s="62">
        <f t="shared" ref="EN132:EN195" si="128">EM132+(EE132+EF132)*44/12</f>
        <v>293.33333333333519</v>
      </c>
      <c r="EO132" s="62">
        <f ca="1">AVERAGE(OFFSET($EN$3,0,0,'Données projet'!$E$15+1,1))-AVERAGE(OFFSET($H$3,0,0,'Données projet'!$E$15+1,1))</f>
        <v>220.03635832253951</v>
      </c>
      <c r="EP132" s="62">
        <f t="shared" si="100"/>
        <v>136.30639155882233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4.2</v>
      </c>
      <c r="FE132" s="13">
        <f>IF('Données projet'!$A$218&gt;35,FE131+FD132-FM131,IF(A132&lt;'Données projet'!$A$218,$FB$205^A132,IF(A132='Données projet'!$A$218,'Données projet'!$B$218,FE131+FD132-FM131)))</f>
        <v>511.80000000000086</v>
      </c>
      <c r="FF132" s="18">
        <f>FE132*VLOOKUP('Données projet'!$B$16,Paramètres!$A$1:$I$89,3,0)*VLOOKUP('Données projet'!$B$16,Paramètres!$A$1:$I$89,5,0)</f>
        <v>534.9333600000009</v>
      </c>
      <c r="FG132" s="14">
        <f t="shared" si="101"/>
        <v>118.65271070217719</v>
      </c>
      <c r="FH132" s="22">
        <f t="shared" ref="FH132:FH153" si="130">(FF132+FG132)*0.475*44/12</f>
        <v>1138.3290731396266</v>
      </c>
      <c r="FI132" s="62">
        <f t="shared" ref="FI132:FI195" si="131">FH132+(EZ132+FA132)*44/12</f>
        <v>1431.6624064729599</v>
      </c>
      <c r="FJ132" s="62">
        <f ca="1">AVERAGE(OFFSET($FI$3,0,0,'Données projet'!$E$16+1,1))-AVERAGE(OFFSET($H$3,0,0,'Données projet'!$E$16+1,1))</f>
        <v>641.62708445664862</v>
      </c>
      <c r="FK132" s="62">
        <f t="shared" si="102"/>
        <v>379.46845863546929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2.7251573892913096E-14</v>
      </c>
      <c r="FT132" s="24">
        <f t="shared" ref="FT132:FT153" si="132">SUM(FQ132:FS132)</f>
        <v>2.7251573892913096E-14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5.6843418860808015E-14</v>
      </c>
      <c r="GA132" s="18">
        <f>FZ132*VLOOKUP('Données projet'!$B$17,Paramètres!$A$1:$I$89,3,0)*VLOOKUP('Données projet'!$B$17,Paramètres!$A$1:$I$89,5,0)</f>
        <v>5.4978954722173515E-14</v>
      </c>
      <c r="GB132" s="14">
        <f t="shared" si="103"/>
        <v>8.8550225887742724E-13</v>
      </c>
      <c r="GC132" s="22">
        <f t="shared" ref="GC132:GC153" si="133">(GA132+GB132)*0.475*44/12</f>
        <v>1.6380047803526383E-12</v>
      </c>
      <c r="GD132" s="62">
        <f t="shared" ref="GD132:GD195" si="134">GC132+(FU132+FV132)*44/12</f>
        <v>293.33333333333496</v>
      </c>
      <c r="GE132" s="62">
        <f ca="1">AVERAGE(OFFSET($GD$3,0,0,'Données projet'!$E$17+1,1))-AVERAGE(OFFSET($H$3,0,0,'Données projet'!$E$17+1,1))</f>
        <v>181.39066880931728</v>
      </c>
      <c r="GF132" s="62">
        <f t="shared" si="104"/>
        <v>116.06078566855524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-1.7053025658242404E-13</v>
      </c>
      <c r="GV132" s="18">
        <f>GU132*VLOOKUP('Données projet'!$B$18,Paramètres!$A$1:$I$89,3,0)*VLOOKUP('Données projet'!$B$18,Paramètres!$A$1:$I$89,5,0)</f>
        <v>-1.4897523215040567E-13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2" t="e">
        <f t="shared" ref="GY132:GY195" si="137">GX132+(GP132+GQ132)*44/12</f>
        <v>#NUM!</v>
      </c>
      <c r="GZ132" s="62">
        <f ca="1">AVERAGE(OFFSET($GY$3,0,0,'Données projet'!$E$18+1,1))-AVERAGE(OFFSET($H$3,0,0,'Données projet'!$E$18+1,1))</f>
        <v>152.84277478695606</v>
      </c>
      <c r="HA132" s="62">
        <f t="shared" si="106"/>
        <v>179.22995976651015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9">
        <f t="shared" si="110"/>
        <v>414.97829522922581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304.19999999999936</v>
      </c>
      <c r="P133" s="14">
        <f t="shared" ref="P133:P196" si="141">EXP(-1.0587+0.8836*LN(O133)+0.284)</f>
        <v>72.056231093480946</v>
      </c>
      <c r="Q133" s="22">
        <f t="shared" si="108"/>
        <v>655.31293582114483</v>
      </c>
      <c r="R133" s="62">
        <f t="shared" si="109"/>
        <v>948.6462691544782</v>
      </c>
      <c r="S133" s="62">
        <f ca="1">AVERAGE(OFFSET($R$3,0,0,'Données projet'!$E$9+1,1))-AVERAGE(OFFSET($H$3,0,0,'Données projet'!$E$9+1,1))</f>
        <v>383.26814640166805</v>
      </c>
      <c r="T133" s="62">
        <f t="shared" ref="T133:T196" si="142">$T$3</f>
        <v>233.71216103405249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6.1186256061773749E-14</v>
      </c>
      <c r="AK133" s="14">
        <f t="shared" ref="AK133:AK153" si="143">EXP(-1.0587+0.8836*LN(AJ133)+0.284)</f>
        <v>9.7328366192051127E-13</v>
      </c>
      <c r="AL133" s="22">
        <f t="shared" si="112"/>
        <v>1.8017017738191463E-12</v>
      </c>
      <c r="AM133" s="62">
        <f t="shared" si="113"/>
        <v>293.33333333333513</v>
      </c>
      <c r="AN133" s="62">
        <f ca="1">AVERAGE(OFFSET($AM$3,0,0,'Données projet'!$E$10+1,1))-AVERAGE(OFFSET($H$3,0,0,'Données projet'!$E$10+1,1))</f>
        <v>205.99910063756408</v>
      </c>
      <c r="AO133" s="62">
        <f t="shared" ref="AO133:AO196" si="144">$AO$3</f>
        <v>128.95330275493671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293.3333333333353</v>
      </c>
      <c r="BI133" s="62">
        <f ca="1">AVERAGE(OFFSET($BH$3,0,0,'Données projet'!$E$11+1,1))-AVERAGE(OFFSET($H$3,0,0,'Données projet'!$E$11+1,1))</f>
        <v>222.20580087523689</v>
      </c>
      <c r="BJ133" s="62">
        <f t="shared" ref="BJ133:BJ196" si="146">$BJ$3</f>
        <v>232.08940427392253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1.3812579874593109</v>
      </c>
      <c r="BQ133" s="23">
        <f>EXP(-LN(2)/25)*BQ132+(1-EXP(-LN(2)/25))/(LN(2)/25)*Calculateur!BL133*Calculateur!BN133*VLOOKUP('Données projet'!$B$11,Paramètres!$A$1:$I$89,3,0)*0.475*44/12</f>
        <v>1.027252340263477</v>
      </c>
      <c r="BR133" s="23">
        <f>EXP(-LN(2)/2)*BR132+(1-EXP(-LN(2)/2))/(LN(2)/2)*BL133*BO133*VLOOKUP('Données projet'!$B$11,Paramètres!$A$1:$I$89,3,0)*0.475*44/12</f>
        <v>5.6310164939111507E-15</v>
      </c>
      <c r="BS133" s="24">
        <f t="shared" si="117"/>
        <v>2.4085103277227939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5.1159076974727213E-13</v>
      </c>
      <c r="BZ133" s="14">
        <f>BY133*VLOOKUP('Données projet'!$B$12,Paramètres!$A$1:$I$89,3,0)*VLOOKUP('Données projet'!$B$12,Paramètres!$A$1:$I$89,5,0)</f>
        <v>2.3942448024172334E-13</v>
      </c>
      <c r="CA133" s="14">
        <f t="shared" ref="CA133:CA153" si="147">EXP(-1.0587+0.8836*LN(BZ133)+0.284)</f>
        <v>3.2492669905861755E-12</v>
      </c>
      <c r="CB133" s="22">
        <f t="shared" si="118"/>
        <v>6.0761376450252565E-12</v>
      </c>
      <c r="CC133" s="62">
        <f t="shared" si="119"/>
        <v>293.3333333333394</v>
      </c>
      <c r="CD133" s="62">
        <f ca="1">AVERAGE(OFFSET($CC$3,0,0,'Données projet'!$E$12+1,1))-AVERAGE(OFFSET($H$3,0,0,'Données projet'!$E$12+1,1))</f>
        <v>179.14256291235466</v>
      </c>
      <c r="CE133" s="62">
        <f t="shared" ref="CE133:CE196" si="148">$CE$3</f>
        <v>107.5256983607585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-2.8421709430404007E-13</v>
      </c>
      <c r="CU133" s="18">
        <f>CT133*VLOOKUP('Données projet'!$B$13,Paramètres!$A$1:$I$89,3,0)*VLOOKUP('Données projet'!$B$13,Paramètres!$A$1:$I$89,5,0)</f>
        <v>-1.69961822393816E-13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237.03649693529445</v>
      </c>
      <c r="CZ133" s="62">
        <f t="shared" ref="CZ133:CZ196" si="150">$CZ$3</f>
        <v>191.04289411674887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4.6743670065700375E-15</v>
      </c>
      <c r="DI133" s="24">
        <f t="shared" si="123"/>
        <v>4.6743670065700375E-15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298.18</v>
      </c>
      <c r="DM133" s="13">
        <f>VLOOKUP(A133,'Données projet'!$A$165:$I$185,9,0)</f>
        <v>2.9939999999999998</v>
      </c>
      <c r="DN133" s="13">
        <f t="array" ref="DN133">INDEX(DM:DM,MIN(IF(ISNUMBER(DM133:DM329),ROW(DM133:DM329),"")))</f>
        <v>2.9939999999999998</v>
      </c>
      <c r="DO133" s="13">
        <f>IF('Données projet'!$A$166&gt;35,DO132+DN133-DW132,IF(A133&lt;'Données projet'!$A$166,$DL$205^A133,IF(A133='Données projet'!$A$166,'Données projet'!$B$166,DO132+DN133-DW132)))</f>
        <v>298.18000000000029</v>
      </c>
      <c r="DP133" s="18">
        <f>DO133*VLOOKUP('Données projet'!$B$14,Paramètres!$A$1:$I$89,3,0)*VLOOKUP('Données projet'!$B$14,Paramètres!$A$1:$I$89,5,0)</f>
        <v>343.50336000000033</v>
      </c>
      <c r="DQ133" s="14">
        <f t="shared" ref="DQ133:DQ153" si="151">EXP(-1.0587+0.8836*LN(DP133)+0.284)</f>
        <v>80.223330366727694</v>
      </c>
      <c r="DR133" s="22">
        <f t="shared" si="124"/>
        <v>737.99065238871788</v>
      </c>
      <c r="DS133" s="62">
        <f t="shared" si="125"/>
        <v>1031.3239857220512</v>
      </c>
      <c r="DT133" s="62">
        <f ca="1">AVERAGE(OFFSET($DS$3,0,0,'Données projet'!$E$14+1,1))-AVERAGE(OFFSET($H$3,0,0,'Données projet'!$E$14+1,1))</f>
        <v>431.38469096974364</v>
      </c>
      <c r="DU133" s="62">
        <f t="shared" ref="DU133:DU196" si="152">$DU$3</f>
        <v>295.48627059086647</v>
      </c>
      <c r="DV133" s="16">
        <f>IF(ISNA(VLOOKUP(A133,'Données projet'!$A$165:$I$185,3,0)),0,VLOOKUP(A133,'Données projet'!$A$165:$I$185,3,0))</f>
        <v>13</v>
      </c>
      <c r="DW133" s="16">
        <f>IF(ISNA(VLOOKUP(A133,'Données projet'!$A$165:$I$185,4,0)),0,VLOOKUP(A133,'Données projet'!$A$165:$I$185,4,0))</f>
        <v>20.9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6.1220383523236707E-2</v>
      </c>
      <c r="EC133" s="23">
        <f>EXP(-LN(2)/2)*EC132+(1-EXP(-LN(2)/2))/(LN(2)/2)*DW133*DZ133*VLOOKUP('Données projet'!$B$14,Paramètres!$A$1:$I$89,3,0)*0.475*44/12</f>
        <v>3.4092153105225532E-15</v>
      </c>
      <c r="ED133" s="24">
        <f t="shared" si="126"/>
        <v>6.1220383523240114E-2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6.4733285398688169E-14</v>
      </c>
      <c r="EL133" s="14">
        <f t="shared" ref="EL133:EL153" si="153">EXP(-1.0587+0.8836*LN(EK133)+0.284)</f>
        <v>1.0229736701638572E-12</v>
      </c>
      <c r="EM133" s="22">
        <f t="shared" si="127"/>
        <v>1.8944229476047665E-12</v>
      </c>
      <c r="EN133" s="62">
        <f t="shared" si="128"/>
        <v>293.33333333333519</v>
      </c>
      <c r="EO133" s="62">
        <f ca="1">AVERAGE(OFFSET($EN$3,0,0,'Données projet'!$E$15+1,1))-AVERAGE(OFFSET($H$3,0,0,'Données projet'!$E$15+1,1))</f>
        <v>220.03635832253951</v>
      </c>
      <c r="EP133" s="62">
        <f t="shared" ref="EP133:EP196" si="154">$EP$3</f>
        <v>136.30639155882233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516</v>
      </c>
      <c r="FC133" s="13">
        <f>VLOOKUP(A133,'Données projet'!$A$217:$I$237,9,0)</f>
        <v>4.2</v>
      </c>
      <c r="FD133" s="13">
        <f t="array" ref="FD133">INDEX(FC:FC,MIN(IF(ISNUMBER(FC133:FC329),ROW(FC133:FC329),"")))</f>
        <v>4.2</v>
      </c>
      <c r="FE133" s="13">
        <f>IF('Données projet'!$A$218&gt;35,FE132+FD133-FM132,IF(A133&lt;'Données projet'!$A$218,$FB$205^A133,IF(A133='Données projet'!$A$218,'Données projet'!$B$218,FE132+FD133-FM132)))</f>
        <v>516.00000000000091</v>
      </c>
      <c r="FF133" s="18">
        <f>FE133*VLOOKUP('Données projet'!$B$16,Paramètres!$A$1:$I$89,3,0)*VLOOKUP('Données projet'!$B$16,Paramètres!$A$1:$I$89,5,0)</f>
        <v>539.32320000000107</v>
      </c>
      <c r="FG133" s="14">
        <f t="shared" ref="FG133:FG153" si="155">EXP(-1.0587+0.8836*LN(FF133)+0.284)</f>
        <v>119.51266533243287</v>
      </c>
      <c r="FH133" s="22">
        <f t="shared" si="130"/>
        <v>1147.4724654539891</v>
      </c>
      <c r="FI133" s="62">
        <f t="shared" si="131"/>
        <v>1440.8057987873224</v>
      </c>
      <c r="FJ133" s="62">
        <f ca="1">AVERAGE(OFFSET($FI$3,0,0,'Données projet'!$E$16+1,1))-AVERAGE(OFFSET($H$3,0,0,'Données projet'!$E$16+1,1))</f>
        <v>641.62708445664862</v>
      </c>
      <c r="FK133" s="62">
        <f t="shared" ref="FK133:FK196" si="156">$FK$3</f>
        <v>379.46845863546929</v>
      </c>
      <c r="FL133" s="16">
        <f>IF(ISNA(VLOOKUP(A133,'Données projet'!$A$217:$I$237,3,0)),0,VLOOKUP(A133,'Données projet'!$A$217:$I$237,3,0))</f>
        <v>11</v>
      </c>
      <c r="FM133" s="16">
        <f>IF(ISNA(VLOOKUP(A133,'Données projet'!$A$217:$I$237,4,0)),0,VLOOKUP(A133,'Données projet'!$A$217:$I$237,4,0))</f>
        <v>26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1.9269772697685131E-14</v>
      </c>
      <c r="FT133" s="24">
        <f t="shared" si="132"/>
        <v>1.9269772697685131E-14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5.6843418860808015E-14</v>
      </c>
      <c r="GA133" s="18">
        <f>FZ133*VLOOKUP('Données projet'!$B$17,Paramètres!$A$1:$I$89,3,0)*VLOOKUP('Données projet'!$B$17,Paramètres!$A$1:$I$89,5,0)</f>
        <v>5.4978954722173515E-14</v>
      </c>
      <c r="GB133" s="14">
        <f t="shared" ref="GB133:GB153" si="157">EXP(-1.0587+0.8836*LN(GA133)+0.284)</f>
        <v>8.8550225887742724E-13</v>
      </c>
      <c r="GC133" s="22">
        <f t="shared" si="133"/>
        <v>1.6380047803526383E-12</v>
      </c>
      <c r="GD133" s="62">
        <f t="shared" si="134"/>
        <v>293.33333333333496</v>
      </c>
      <c r="GE133" s="62">
        <f ca="1">AVERAGE(OFFSET($GD$3,0,0,'Données projet'!$E$17+1,1))-AVERAGE(OFFSET($H$3,0,0,'Données projet'!$E$17+1,1))</f>
        <v>181.39066880931728</v>
      </c>
      <c r="GF133" s="62">
        <f t="shared" ref="GF133:GF196" si="158">$GF$3</f>
        <v>116.06078566855524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-1.7053025658242404E-13</v>
      </c>
      <c r="GV133" s="18">
        <f>GU133*VLOOKUP('Données projet'!$B$18,Paramètres!$A$1:$I$89,3,0)*VLOOKUP('Données projet'!$B$18,Paramètres!$A$1:$I$89,5,0)</f>
        <v>-1.4897523215040567E-13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2" t="e">
        <f t="shared" si="137"/>
        <v>#NUM!</v>
      </c>
      <c r="GZ133" s="62">
        <f ca="1">AVERAGE(OFFSET($GY$3,0,0,'Données projet'!$E$18+1,1))-AVERAGE(OFFSET($H$3,0,0,'Données projet'!$E$18+1,1))</f>
        <v>152.84277478695606</v>
      </c>
      <c r="HA133" s="62">
        <f t="shared" ref="HA133:HA196" si="160">$HA$3</f>
        <v>179.22995976651015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9">
        <f t="shared" si="110"/>
        <v>416.16491251812465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275.50379999999939</v>
      </c>
      <c r="P134" s="14">
        <f t="shared" si="141"/>
        <v>66.015939215007748</v>
      </c>
      <c r="Q134" s="22">
        <f t="shared" si="108"/>
        <v>594.81354579947072</v>
      </c>
      <c r="R134" s="62">
        <f t="shared" si="109"/>
        <v>888.14687913280409</v>
      </c>
      <c r="S134" s="62">
        <f ca="1">AVERAGE(OFFSET($R$3,0,0,'Données projet'!$E$9+1,1))-AVERAGE(OFFSET($H$3,0,0,'Données projet'!$E$9+1,1))</f>
        <v>383.26814640166805</v>
      </c>
      <c r="T134" s="62">
        <f t="shared" si="142"/>
        <v>233.71216103405249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6.1186256061773749E-14</v>
      </c>
      <c r="AK134" s="14">
        <f t="shared" si="143"/>
        <v>9.7328366192051127E-13</v>
      </c>
      <c r="AL134" s="22">
        <f t="shared" si="112"/>
        <v>1.8017017738191463E-12</v>
      </c>
      <c r="AM134" s="62">
        <f t="shared" si="113"/>
        <v>293.33333333333513</v>
      </c>
      <c r="AN134" s="62">
        <f ca="1">AVERAGE(OFFSET($AM$3,0,0,'Données projet'!$E$10+1,1))-AVERAGE(OFFSET($H$3,0,0,'Données projet'!$E$10+1,1))</f>
        <v>205.99910063756408</v>
      </c>
      <c r="AO134" s="62">
        <f t="shared" si="144"/>
        <v>128.95330275493671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293.3333333333353</v>
      </c>
      <c r="BI134" s="62">
        <f ca="1">AVERAGE(OFFSET($BH$3,0,0,'Données projet'!$E$11+1,1))-AVERAGE(OFFSET($H$3,0,0,'Données projet'!$E$11+1,1))</f>
        <v>222.20580087523689</v>
      </c>
      <c r="BJ134" s="62">
        <f t="shared" si="146"/>
        <v>232.08940427392253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1.3541723608094178</v>
      </c>
      <c r="BQ134" s="23">
        <f>EXP(-LN(2)/25)*BQ133+(1-EXP(-LN(2)/25))/(LN(2)/25)*Calculateur!BL134*Calculateur!BN134*VLOOKUP('Données projet'!$B$11,Paramètres!$A$1:$I$89,3,0)*0.475*44/12</f>
        <v>0.99916207099811949</v>
      </c>
      <c r="BR134" s="23">
        <f>EXP(-LN(2)/2)*BR133+(1-EXP(-LN(2)/2))/(LN(2)/2)*BL134*BO134*VLOOKUP('Données projet'!$B$11,Paramètres!$A$1:$I$89,3,0)*0.475*44/12</f>
        <v>3.981729947817872E-15</v>
      </c>
      <c r="BS134" s="24">
        <f t="shared" si="117"/>
        <v>2.3533344318075415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5.1159076974727213E-13</v>
      </c>
      <c r="BZ134" s="14">
        <f>BY134*VLOOKUP('Données projet'!$B$12,Paramètres!$A$1:$I$89,3,0)*VLOOKUP('Données projet'!$B$12,Paramètres!$A$1:$I$89,5,0)</f>
        <v>2.3942448024172334E-13</v>
      </c>
      <c r="CA134" s="14">
        <f t="shared" si="147"/>
        <v>3.2492669905861755E-12</v>
      </c>
      <c r="CB134" s="22">
        <f t="shared" si="118"/>
        <v>6.0761376450252565E-12</v>
      </c>
      <c r="CC134" s="62">
        <f t="shared" si="119"/>
        <v>293.3333333333394</v>
      </c>
      <c r="CD134" s="62">
        <f ca="1">AVERAGE(OFFSET($CC$3,0,0,'Données projet'!$E$12+1,1))-AVERAGE(OFFSET($H$3,0,0,'Données projet'!$E$12+1,1))</f>
        <v>179.14256291235466</v>
      </c>
      <c r="CE134" s="62">
        <f t="shared" si="148"/>
        <v>107.5256983607585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-2.8421709430404007E-13</v>
      </c>
      <c r="CU134" s="18">
        <f>CT134*VLOOKUP('Données projet'!$B$13,Paramètres!$A$1:$I$89,3,0)*VLOOKUP('Données projet'!$B$13,Paramètres!$A$1:$I$89,5,0)</f>
        <v>-1.69961822393816E-13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237.03649693529445</v>
      </c>
      <c r="CZ134" s="62">
        <f t="shared" si="150"/>
        <v>191.04289411674887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3.3052766081003367E-15</v>
      </c>
      <c r="DI134" s="24">
        <f t="shared" si="123"/>
        <v>3.3052766081003367E-15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2.8509999999999991</v>
      </c>
      <c r="DO134" s="13">
        <f>IF('Données projet'!$A$166&gt;35,DO133+DN134-DW133,IF(A134&lt;'Données projet'!$A$166,$DL$205^A134,IF(A134='Données projet'!$A$166,'Données projet'!$B$166,DO133+DN134-DW133)))</f>
        <v>280.13100000000031</v>
      </c>
      <c r="DP134" s="18">
        <f>DO134*VLOOKUP('Données projet'!$B$14,Paramètres!$A$1:$I$89,3,0)*VLOOKUP('Données projet'!$B$14,Paramètres!$A$1:$I$89,5,0)</f>
        <v>322.71091200000035</v>
      </c>
      <c r="DQ134" s="14">
        <f t="shared" si="151"/>
        <v>75.917134391395123</v>
      </c>
      <c r="DR134" s="22">
        <f t="shared" si="124"/>
        <v>694.2771807983471</v>
      </c>
      <c r="DS134" s="62">
        <f t="shared" si="125"/>
        <v>987.61051413168047</v>
      </c>
      <c r="DT134" s="62">
        <f ca="1">AVERAGE(OFFSET($DS$3,0,0,'Données projet'!$E$14+1,1))-AVERAGE(OFFSET($H$3,0,0,'Données projet'!$E$14+1,1))</f>
        <v>431.38469096974364</v>
      </c>
      <c r="DU134" s="62">
        <f t="shared" si="152"/>
        <v>295.48627059086647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5.9546308916353749E-2</v>
      </c>
      <c r="EC134" s="23">
        <f>EXP(-LN(2)/2)*EC133+(1-EXP(-LN(2)/2))/(LN(2)/2)*DW134*DZ134*VLOOKUP('Données projet'!$B$14,Paramètres!$A$1:$I$89,3,0)*0.475*44/12</f>
        <v>2.4106792645954986E-15</v>
      </c>
      <c r="ED134" s="24">
        <f t="shared" si="126"/>
        <v>5.9546308916356157E-2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6.4733285398688169E-14</v>
      </c>
      <c r="EL134" s="14">
        <f t="shared" si="153"/>
        <v>1.0229736701638572E-12</v>
      </c>
      <c r="EM134" s="22">
        <f t="shared" si="127"/>
        <v>1.8944229476047665E-12</v>
      </c>
      <c r="EN134" s="62">
        <f t="shared" si="128"/>
        <v>293.33333333333519</v>
      </c>
      <c r="EO134" s="62">
        <f ca="1">AVERAGE(OFFSET($EN$3,0,0,'Données projet'!$E$15+1,1))-AVERAGE(OFFSET($H$3,0,0,'Données projet'!$E$15+1,1))</f>
        <v>220.03635832253951</v>
      </c>
      <c r="EP134" s="62">
        <f t="shared" si="154"/>
        <v>136.30639155882233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490.00000000000091</v>
      </c>
      <c r="FF134" s="18">
        <f>FE134*VLOOKUP('Données projet'!$B$16,Paramètres!$A$1:$I$89,3,0)*VLOOKUP('Données projet'!$B$16,Paramètres!$A$1:$I$89,5,0)</f>
        <v>512.14800000000105</v>
      </c>
      <c r="FG134" s="14">
        <f t="shared" si="155"/>
        <v>114.17576021740676</v>
      </c>
      <c r="FH134" s="22">
        <f t="shared" si="130"/>
        <v>1090.8472157119852</v>
      </c>
      <c r="FI134" s="62">
        <f t="shared" si="131"/>
        <v>1384.1805490453185</v>
      </c>
      <c r="FJ134" s="62">
        <f ca="1">AVERAGE(OFFSET($FI$3,0,0,'Données projet'!$E$16+1,1))-AVERAGE(OFFSET($H$3,0,0,'Données projet'!$E$16+1,1))</f>
        <v>641.62708445664862</v>
      </c>
      <c r="FK134" s="62">
        <f t="shared" si="156"/>
        <v>379.46845863546929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1.3625786946456548E-14</v>
      </c>
      <c r="FT134" s="24">
        <f t="shared" si="132"/>
        <v>1.3625786946456548E-14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5.6843418860808015E-14</v>
      </c>
      <c r="GA134" s="18">
        <f>FZ134*VLOOKUP('Données projet'!$B$17,Paramètres!$A$1:$I$89,3,0)*VLOOKUP('Données projet'!$B$17,Paramètres!$A$1:$I$89,5,0)</f>
        <v>5.4978954722173515E-14</v>
      </c>
      <c r="GB134" s="14">
        <f t="shared" si="157"/>
        <v>8.8550225887742724E-13</v>
      </c>
      <c r="GC134" s="22">
        <f t="shared" si="133"/>
        <v>1.6380047803526383E-12</v>
      </c>
      <c r="GD134" s="62">
        <f t="shared" si="134"/>
        <v>293.33333333333496</v>
      </c>
      <c r="GE134" s="62">
        <f ca="1">AVERAGE(OFFSET($GD$3,0,0,'Données projet'!$E$17+1,1))-AVERAGE(OFFSET($H$3,0,0,'Données projet'!$E$17+1,1))</f>
        <v>181.39066880931728</v>
      </c>
      <c r="GF134" s="62">
        <f t="shared" si="158"/>
        <v>116.06078566855524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-1.7053025658242404E-13</v>
      </c>
      <c r="GV134" s="18">
        <f>GU134*VLOOKUP('Données projet'!$B$18,Paramètres!$A$1:$I$89,3,0)*VLOOKUP('Données projet'!$B$18,Paramètres!$A$1:$I$89,5,0)</f>
        <v>-1.4897523215040567E-13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152.84277478695606</v>
      </c>
      <c r="HA134" s="62">
        <f t="shared" si="160"/>
        <v>179.22995976651015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9">
        <f t="shared" si="110"/>
        <v>417.35132049579823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278.24159999999938</v>
      </c>
      <c r="P135" s="14">
        <f t="shared" si="141"/>
        <v>66.595272276139625</v>
      </c>
      <c r="Q135" s="22">
        <f t="shared" si="108"/>
        <v>600.59088588094198</v>
      </c>
      <c r="R135" s="62">
        <f t="shared" si="109"/>
        <v>893.92421921427535</v>
      </c>
      <c r="S135" s="62">
        <f ca="1">AVERAGE(OFFSET($R$3,0,0,'Données projet'!$E$9+1,1))-AVERAGE(OFFSET($H$3,0,0,'Données projet'!$E$9+1,1))</f>
        <v>383.26814640166805</v>
      </c>
      <c r="T135" s="62">
        <f t="shared" si="142"/>
        <v>233.71216103405249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6.1186256061773749E-14</v>
      </c>
      <c r="AK135" s="14">
        <f t="shared" si="143"/>
        <v>9.7328366192051127E-13</v>
      </c>
      <c r="AL135" s="22">
        <f t="shared" si="112"/>
        <v>1.8017017738191463E-12</v>
      </c>
      <c r="AM135" s="62">
        <f t="shared" si="113"/>
        <v>293.33333333333513</v>
      </c>
      <c r="AN135" s="62">
        <f ca="1">AVERAGE(OFFSET($AM$3,0,0,'Données projet'!$E$10+1,1))-AVERAGE(OFFSET($H$3,0,0,'Données projet'!$E$10+1,1))</f>
        <v>205.99910063756408</v>
      </c>
      <c r="AO135" s="62">
        <f t="shared" si="144"/>
        <v>128.95330275493671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293.3333333333353</v>
      </c>
      <c r="BI135" s="62">
        <f ca="1">AVERAGE(OFFSET($BH$3,0,0,'Données projet'!$E$11+1,1))-AVERAGE(OFFSET($H$3,0,0,'Données projet'!$E$11+1,1))</f>
        <v>222.20580087523689</v>
      </c>
      <c r="BJ135" s="62">
        <f t="shared" si="146"/>
        <v>232.08940427392253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1.327617866777528</v>
      </c>
      <c r="BQ135" s="23">
        <f>EXP(-LN(2)/25)*BQ134+(1-EXP(-LN(2)/25))/(LN(2)/25)*Calculateur!BL135*Calculateur!BN135*VLOOKUP('Données projet'!$B$11,Paramètres!$A$1:$I$89,3,0)*0.475*44/12</f>
        <v>0.97183993162302618</v>
      </c>
      <c r="BR135" s="23">
        <f>EXP(-LN(2)/2)*BR134+(1-EXP(-LN(2)/2))/(LN(2)/2)*BL135*BO135*VLOOKUP('Données projet'!$B$11,Paramètres!$A$1:$I$89,3,0)*0.475*44/12</f>
        <v>2.8155082469555753E-15</v>
      </c>
      <c r="BS135" s="24">
        <f t="shared" si="117"/>
        <v>2.2994577984005566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5.1159076974727213E-13</v>
      </c>
      <c r="BZ135" s="14">
        <f>BY135*VLOOKUP('Données projet'!$B$12,Paramètres!$A$1:$I$89,3,0)*VLOOKUP('Données projet'!$B$12,Paramètres!$A$1:$I$89,5,0)</f>
        <v>2.3942448024172334E-13</v>
      </c>
      <c r="CA135" s="14">
        <f t="shared" si="147"/>
        <v>3.2492669905861755E-12</v>
      </c>
      <c r="CB135" s="22">
        <f t="shared" si="118"/>
        <v>6.0761376450252565E-12</v>
      </c>
      <c r="CC135" s="62">
        <f t="shared" si="119"/>
        <v>293.3333333333394</v>
      </c>
      <c r="CD135" s="62">
        <f ca="1">AVERAGE(OFFSET($CC$3,0,0,'Données projet'!$E$12+1,1))-AVERAGE(OFFSET($H$3,0,0,'Données projet'!$E$12+1,1))</f>
        <v>179.14256291235466</v>
      </c>
      <c r="CE135" s="62">
        <f t="shared" si="148"/>
        <v>107.5256983607585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-2.8421709430404007E-13</v>
      </c>
      <c r="CU135" s="18">
        <f>CT135*VLOOKUP('Données projet'!$B$13,Paramètres!$A$1:$I$89,3,0)*VLOOKUP('Données projet'!$B$13,Paramètres!$A$1:$I$89,5,0)</f>
        <v>-1.69961822393816E-13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237.03649693529445</v>
      </c>
      <c r="CZ135" s="62">
        <f t="shared" si="150"/>
        <v>191.04289411674887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2.3371835032850188E-15</v>
      </c>
      <c r="DI135" s="24">
        <f t="shared" si="123"/>
        <v>2.3371835032850188E-15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2.8509999999999991</v>
      </c>
      <c r="DO135" s="13">
        <f>IF('Données projet'!$A$166&gt;35,DO134+DN135-DW134,IF(A135&lt;'Données projet'!$A$166,$DL$205^A135,IF(A135='Données projet'!$A$166,'Données projet'!$B$166,DO134+DN135-DW134)))</f>
        <v>282.98200000000031</v>
      </c>
      <c r="DP135" s="18">
        <f>DO135*VLOOKUP('Données projet'!$B$14,Paramètres!$A$1:$I$89,3,0)*VLOOKUP('Données projet'!$B$14,Paramètres!$A$1:$I$89,5,0)</f>
        <v>325.9952640000003</v>
      </c>
      <c r="DQ135" s="14">
        <f t="shared" si="151"/>
        <v>76.599434138125005</v>
      </c>
      <c r="DR135" s="22">
        <f t="shared" si="124"/>
        <v>701.18576592390161</v>
      </c>
      <c r="DS135" s="62">
        <f t="shared" si="125"/>
        <v>994.51909925723498</v>
      </c>
      <c r="DT135" s="62">
        <f ca="1">AVERAGE(OFFSET($DS$3,0,0,'Données projet'!$E$14+1,1))-AVERAGE(OFFSET($H$3,0,0,'Données projet'!$E$14+1,1))</f>
        <v>431.38469096974364</v>
      </c>
      <c r="DU135" s="62">
        <f t="shared" si="152"/>
        <v>295.48627059086647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5.7918011967631765E-2</v>
      </c>
      <c r="EC135" s="23">
        <f>EXP(-LN(2)/2)*EC134+(1-EXP(-LN(2)/2))/(LN(2)/2)*DW135*DZ135*VLOOKUP('Données projet'!$B$14,Paramètres!$A$1:$I$89,3,0)*0.475*44/12</f>
        <v>1.7046076552612766E-15</v>
      </c>
      <c r="ED135" s="24">
        <f t="shared" si="126"/>
        <v>5.7918011967633472E-2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6.4733285398688169E-14</v>
      </c>
      <c r="EL135" s="14">
        <f t="shared" si="153"/>
        <v>1.0229736701638572E-12</v>
      </c>
      <c r="EM135" s="22">
        <f t="shared" si="127"/>
        <v>1.8944229476047665E-12</v>
      </c>
      <c r="EN135" s="62">
        <f t="shared" si="128"/>
        <v>293.33333333333519</v>
      </c>
      <c r="EO135" s="62">
        <f ca="1">AVERAGE(OFFSET($EN$3,0,0,'Données projet'!$E$15+1,1))-AVERAGE(OFFSET($H$3,0,0,'Données projet'!$E$15+1,1))</f>
        <v>220.03635832253951</v>
      </c>
      <c r="EP135" s="62">
        <f t="shared" si="154"/>
        <v>136.30639155882233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490.00000000000091</v>
      </c>
      <c r="FF135" s="18">
        <f>FE135*VLOOKUP('Données projet'!$B$16,Paramètres!$A$1:$I$89,3,0)*VLOOKUP('Données projet'!$B$16,Paramètres!$A$1:$I$89,5,0)</f>
        <v>512.14800000000105</v>
      </c>
      <c r="FG135" s="14">
        <f t="shared" si="155"/>
        <v>114.17576021740676</v>
      </c>
      <c r="FH135" s="22">
        <f t="shared" si="130"/>
        <v>1090.8472157119852</v>
      </c>
      <c r="FI135" s="62">
        <f t="shared" si="131"/>
        <v>1384.1805490453185</v>
      </c>
      <c r="FJ135" s="62">
        <f ca="1">AVERAGE(OFFSET($FI$3,0,0,'Données projet'!$E$16+1,1))-AVERAGE(OFFSET($H$3,0,0,'Données projet'!$E$16+1,1))</f>
        <v>641.62708445664862</v>
      </c>
      <c r="FK135" s="62">
        <f t="shared" si="156"/>
        <v>379.46845863546929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9.6348863488425657E-15</v>
      </c>
      <c r="FT135" s="24">
        <f t="shared" si="132"/>
        <v>9.6348863488425657E-15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5.6843418860808015E-14</v>
      </c>
      <c r="GA135" s="18">
        <f>FZ135*VLOOKUP('Données projet'!$B$17,Paramètres!$A$1:$I$89,3,0)*VLOOKUP('Données projet'!$B$17,Paramètres!$A$1:$I$89,5,0)</f>
        <v>5.4978954722173515E-14</v>
      </c>
      <c r="GB135" s="14">
        <f t="shared" si="157"/>
        <v>8.8550225887742724E-13</v>
      </c>
      <c r="GC135" s="22">
        <f t="shared" si="133"/>
        <v>1.6380047803526383E-12</v>
      </c>
      <c r="GD135" s="62">
        <f t="shared" si="134"/>
        <v>293.33333333333496</v>
      </c>
      <c r="GE135" s="62">
        <f ca="1">AVERAGE(OFFSET($GD$3,0,0,'Données projet'!$E$17+1,1))-AVERAGE(OFFSET($H$3,0,0,'Données projet'!$E$17+1,1))</f>
        <v>181.39066880931728</v>
      </c>
      <c r="GF135" s="62">
        <f t="shared" si="158"/>
        <v>116.06078566855524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-1.7053025658242404E-13</v>
      </c>
      <c r="GV135" s="18">
        <f>GU135*VLOOKUP('Données projet'!$B$18,Paramètres!$A$1:$I$89,3,0)*VLOOKUP('Données projet'!$B$18,Paramètres!$A$1:$I$89,5,0)</f>
        <v>-1.4897523215040567E-13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152.84277478695606</v>
      </c>
      <c r="HA135" s="62">
        <f t="shared" si="160"/>
        <v>179.22995976651015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9">
        <f t="shared" si="110"/>
        <v>418.5375209317657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280.97939999999937</v>
      </c>
      <c r="P136" s="14">
        <f t="shared" si="141"/>
        <v>67.173942175199301</v>
      </c>
      <c r="Q136" s="22">
        <f t="shared" si="108"/>
        <v>606.36707095513759</v>
      </c>
      <c r="R136" s="62">
        <f t="shared" si="109"/>
        <v>899.70040428847096</v>
      </c>
      <c r="S136" s="62">
        <f ca="1">AVERAGE(OFFSET($R$3,0,0,'Données projet'!$E$9+1,1))-AVERAGE(OFFSET($H$3,0,0,'Données projet'!$E$9+1,1))</f>
        <v>383.26814640166805</v>
      </c>
      <c r="T136" s="62">
        <f t="shared" si="142"/>
        <v>233.71216103405249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6.1186256061773749E-14</v>
      </c>
      <c r="AK136" s="14">
        <f t="shared" si="143"/>
        <v>9.7328366192051127E-13</v>
      </c>
      <c r="AL136" s="22">
        <f t="shared" si="112"/>
        <v>1.8017017738191463E-12</v>
      </c>
      <c r="AM136" s="62">
        <f t="shared" si="113"/>
        <v>293.33333333333513</v>
      </c>
      <c r="AN136" s="62">
        <f ca="1">AVERAGE(OFFSET($AM$3,0,0,'Données projet'!$E$10+1,1))-AVERAGE(OFFSET($H$3,0,0,'Données projet'!$E$10+1,1))</f>
        <v>205.99910063756408</v>
      </c>
      <c r="AO136" s="62">
        <f t="shared" si="144"/>
        <v>128.95330275493671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293.3333333333353</v>
      </c>
      <c r="BI136" s="62">
        <f ca="1">AVERAGE(OFFSET($BH$3,0,0,'Données projet'!$E$11+1,1))-AVERAGE(OFFSET($H$3,0,0,'Données projet'!$E$11+1,1))</f>
        <v>222.20580087523689</v>
      </c>
      <c r="BJ136" s="62">
        <f t="shared" si="146"/>
        <v>232.08940427392253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1.3015840901769615</v>
      </c>
      <c r="BQ136" s="23">
        <f>EXP(-LN(2)/25)*BQ135+(1-EXP(-LN(2)/25))/(LN(2)/25)*Calculateur!BL136*Calculateur!BN136*VLOOKUP('Données projet'!$B$11,Paramètres!$A$1:$I$89,3,0)*0.475*44/12</f>
        <v>0.94526491758595366</v>
      </c>
      <c r="BR136" s="23">
        <f>EXP(-LN(2)/2)*BR135+(1-EXP(-LN(2)/2))/(LN(2)/2)*BL136*BO136*VLOOKUP('Données projet'!$B$11,Paramètres!$A$1:$I$89,3,0)*0.475*44/12</f>
        <v>1.990864973908936E-15</v>
      </c>
      <c r="BS136" s="24">
        <f t="shared" si="117"/>
        <v>2.2468490077629171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5.1159076974727213E-13</v>
      </c>
      <c r="BZ136" s="14">
        <f>BY136*VLOOKUP('Données projet'!$B$12,Paramètres!$A$1:$I$89,3,0)*VLOOKUP('Données projet'!$B$12,Paramètres!$A$1:$I$89,5,0)</f>
        <v>2.3942448024172334E-13</v>
      </c>
      <c r="CA136" s="14">
        <f t="shared" si="147"/>
        <v>3.2492669905861755E-12</v>
      </c>
      <c r="CB136" s="22">
        <f t="shared" si="118"/>
        <v>6.0761376450252565E-12</v>
      </c>
      <c r="CC136" s="62">
        <f t="shared" si="119"/>
        <v>293.3333333333394</v>
      </c>
      <c r="CD136" s="62">
        <f ca="1">AVERAGE(OFFSET($CC$3,0,0,'Données projet'!$E$12+1,1))-AVERAGE(OFFSET($H$3,0,0,'Données projet'!$E$12+1,1))</f>
        <v>179.14256291235466</v>
      </c>
      <c r="CE136" s="62">
        <f t="shared" si="148"/>
        <v>107.5256983607585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-2.8421709430404007E-13</v>
      </c>
      <c r="CU136" s="18">
        <f>CT136*VLOOKUP('Données projet'!$B$13,Paramètres!$A$1:$I$89,3,0)*VLOOKUP('Données projet'!$B$13,Paramètres!$A$1:$I$89,5,0)</f>
        <v>-1.69961822393816E-13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237.03649693529445</v>
      </c>
      <c r="CZ136" s="62">
        <f t="shared" si="150"/>
        <v>191.04289411674887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1.6526383040501684E-15</v>
      </c>
      <c r="DI136" s="24">
        <f t="shared" si="123"/>
        <v>1.6526383040501684E-15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2.8509999999999991</v>
      </c>
      <c r="DO136" s="13">
        <f>IF('Données projet'!$A$166&gt;35,DO135+DN136-DW135,IF(A136&lt;'Données projet'!$A$166,$DL$205^A136,IF(A136='Données projet'!$A$166,'Données projet'!$B$166,DO135+DN136-DW135)))</f>
        <v>285.83300000000031</v>
      </c>
      <c r="DP136" s="18">
        <f>DO136*VLOOKUP('Données projet'!$B$14,Paramètres!$A$1:$I$89,3,0)*VLOOKUP('Données projet'!$B$14,Paramètres!$A$1:$I$89,5,0)</f>
        <v>329.27961600000032</v>
      </c>
      <c r="DQ136" s="14">
        <f t="shared" si="151"/>
        <v>77.280934198399962</v>
      </c>
      <c r="DR136" s="22">
        <f t="shared" si="124"/>
        <v>708.09295826221376</v>
      </c>
      <c r="DS136" s="62">
        <f t="shared" si="125"/>
        <v>1001.4262915955471</v>
      </c>
      <c r="DT136" s="62">
        <f ca="1">AVERAGE(OFFSET($DS$3,0,0,'Données projet'!$E$14+1,1))-AVERAGE(OFFSET($H$3,0,0,'Données projet'!$E$14+1,1))</f>
        <v>431.38469096974364</v>
      </c>
      <c r="DU136" s="62">
        <f t="shared" si="152"/>
        <v>295.48627059086647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5.6334240884600997E-2</v>
      </c>
      <c r="EC136" s="23">
        <f>EXP(-LN(2)/2)*EC135+(1-EXP(-LN(2)/2))/(LN(2)/2)*DW136*DZ136*VLOOKUP('Données projet'!$B$14,Paramètres!$A$1:$I$89,3,0)*0.475*44/12</f>
        <v>1.2053396322977493E-15</v>
      </c>
      <c r="ED136" s="24">
        <f t="shared" si="126"/>
        <v>5.6334240884602205E-2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6.4733285398688169E-14</v>
      </c>
      <c r="EL136" s="14">
        <f t="shared" si="153"/>
        <v>1.0229736701638572E-12</v>
      </c>
      <c r="EM136" s="22">
        <f t="shared" si="127"/>
        <v>1.8944229476047665E-12</v>
      </c>
      <c r="EN136" s="62">
        <f t="shared" si="128"/>
        <v>293.33333333333519</v>
      </c>
      <c r="EO136" s="62">
        <f ca="1">AVERAGE(OFFSET($EN$3,0,0,'Données projet'!$E$15+1,1))-AVERAGE(OFFSET($H$3,0,0,'Données projet'!$E$15+1,1))</f>
        <v>220.03635832253951</v>
      </c>
      <c r="EP136" s="62">
        <f t="shared" si="154"/>
        <v>136.30639155882233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490.00000000000091</v>
      </c>
      <c r="FF136" s="18">
        <f>FE136*VLOOKUP('Données projet'!$B$16,Paramètres!$A$1:$I$89,3,0)*VLOOKUP('Données projet'!$B$16,Paramètres!$A$1:$I$89,5,0)</f>
        <v>512.14800000000105</v>
      </c>
      <c r="FG136" s="14">
        <f t="shared" si="155"/>
        <v>114.17576021740676</v>
      </c>
      <c r="FH136" s="22">
        <f t="shared" si="130"/>
        <v>1090.8472157119852</v>
      </c>
      <c r="FI136" s="62">
        <f t="shared" si="131"/>
        <v>1384.1805490453185</v>
      </c>
      <c r="FJ136" s="62">
        <f ca="1">AVERAGE(OFFSET($FI$3,0,0,'Données projet'!$E$16+1,1))-AVERAGE(OFFSET($H$3,0,0,'Données projet'!$E$16+1,1))</f>
        <v>641.62708445664862</v>
      </c>
      <c r="FK136" s="62">
        <f t="shared" si="156"/>
        <v>379.46845863546929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6.8128934732282739E-15</v>
      </c>
      <c r="FT136" s="24">
        <f t="shared" si="132"/>
        <v>6.8128934732282739E-15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5.6843418860808015E-14</v>
      </c>
      <c r="GA136" s="18">
        <f>FZ136*VLOOKUP('Données projet'!$B$17,Paramètres!$A$1:$I$89,3,0)*VLOOKUP('Données projet'!$B$17,Paramètres!$A$1:$I$89,5,0)</f>
        <v>5.4978954722173515E-14</v>
      </c>
      <c r="GB136" s="14">
        <f t="shared" si="157"/>
        <v>8.8550225887742724E-13</v>
      </c>
      <c r="GC136" s="22">
        <f t="shared" si="133"/>
        <v>1.6380047803526383E-12</v>
      </c>
      <c r="GD136" s="62">
        <f t="shared" si="134"/>
        <v>293.33333333333496</v>
      </c>
      <c r="GE136" s="62">
        <f ca="1">AVERAGE(OFFSET($GD$3,0,0,'Données projet'!$E$17+1,1))-AVERAGE(OFFSET($H$3,0,0,'Données projet'!$E$17+1,1))</f>
        <v>181.39066880931728</v>
      </c>
      <c r="GF136" s="62">
        <f t="shared" si="158"/>
        <v>116.06078566855524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-1.7053025658242404E-13</v>
      </c>
      <c r="GV136" s="18">
        <f>GU136*VLOOKUP('Données projet'!$B$18,Paramètres!$A$1:$I$89,3,0)*VLOOKUP('Données projet'!$B$18,Paramètres!$A$1:$I$89,5,0)</f>
        <v>-1.4897523215040567E-13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152.84277478695606</v>
      </c>
      <c r="HA136" s="62">
        <f t="shared" si="160"/>
        <v>179.22995976651015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9">
        <f t="shared" si="110"/>
        <v>419.72351556739994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283.71719999999937</v>
      </c>
      <c r="P137" s="14">
        <f t="shared" si="141"/>
        <v>67.751956122170526</v>
      </c>
      <c r="Q137" s="22">
        <f t="shared" si="108"/>
        <v>612.14211357944589</v>
      </c>
      <c r="R137" s="62">
        <f t="shared" si="109"/>
        <v>905.47544691277926</v>
      </c>
      <c r="S137" s="62">
        <f ca="1">AVERAGE(OFFSET($R$3,0,0,'Données projet'!$E$9+1,1))-AVERAGE(OFFSET($H$3,0,0,'Données projet'!$E$9+1,1))</f>
        <v>383.26814640166805</v>
      </c>
      <c r="T137" s="62">
        <f t="shared" si="142"/>
        <v>233.71216103405249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6.1186256061773749E-14</v>
      </c>
      <c r="AK137" s="14">
        <f t="shared" si="143"/>
        <v>9.7328366192051127E-13</v>
      </c>
      <c r="AL137" s="22">
        <f t="shared" si="112"/>
        <v>1.8017017738191463E-12</v>
      </c>
      <c r="AM137" s="62">
        <f t="shared" si="113"/>
        <v>293.33333333333513</v>
      </c>
      <c r="AN137" s="62">
        <f ca="1">AVERAGE(OFFSET($AM$3,0,0,'Données projet'!$E$10+1,1))-AVERAGE(OFFSET($H$3,0,0,'Données projet'!$E$10+1,1))</f>
        <v>205.99910063756408</v>
      </c>
      <c r="AO137" s="62">
        <f t="shared" si="144"/>
        <v>128.95330275493671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293.3333333333353</v>
      </c>
      <c r="BI137" s="62">
        <f ca="1">AVERAGE(OFFSET($BH$3,0,0,'Données projet'!$E$11+1,1))-AVERAGE(OFFSET($H$3,0,0,'Données projet'!$E$11+1,1))</f>
        <v>222.20580087523689</v>
      </c>
      <c r="BJ137" s="62">
        <f t="shared" si="146"/>
        <v>232.08940427392253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1.2760608200564965</v>
      </c>
      <c r="BQ137" s="23">
        <f>EXP(-LN(2)/25)*BQ136+(1-EXP(-LN(2)/25))/(LN(2)/25)*Calculateur!BL137*Calculateur!BN137*VLOOKUP('Données projet'!$B$11,Paramètres!$A$1:$I$89,3,0)*0.475*44/12</f>
        <v>0.91941659870524417</v>
      </c>
      <c r="BR137" s="23">
        <f>EXP(-LN(2)/2)*BR136+(1-EXP(-LN(2)/2))/(LN(2)/2)*BL137*BO137*VLOOKUP('Données projet'!$B$11,Paramètres!$A$1:$I$89,3,0)*0.475*44/12</f>
        <v>1.4077541234777877E-15</v>
      </c>
      <c r="BS137" s="24">
        <f t="shared" si="117"/>
        <v>2.1954774187617421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5.1159076974727213E-13</v>
      </c>
      <c r="BZ137" s="14">
        <f>BY137*VLOOKUP('Données projet'!$B$12,Paramètres!$A$1:$I$89,3,0)*VLOOKUP('Données projet'!$B$12,Paramètres!$A$1:$I$89,5,0)</f>
        <v>2.3942448024172334E-13</v>
      </c>
      <c r="CA137" s="14">
        <f t="shared" si="147"/>
        <v>3.2492669905861755E-12</v>
      </c>
      <c r="CB137" s="22">
        <f t="shared" si="118"/>
        <v>6.0761376450252565E-12</v>
      </c>
      <c r="CC137" s="62">
        <f t="shared" si="119"/>
        <v>293.3333333333394</v>
      </c>
      <c r="CD137" s="62">
        <f ca="1">AVERAGE(OFFSET($CC$3,0,0,'Données projet'!$E$12+1,1))-AVERAGE(OFFSET($H$3,0,0,'Données projet'!$E$12+1,1))</f>
        <v>179.14256291235466</v>
      </c>
      <c r="CE137" s="62">
        <f t="shared" si="148"/>
        <v>107.5256983607585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-2.8421709430404007E-13</v>
      </c>
      <c r="CU137" s="18">
        <f>CT137*VLOOKUP('Données projet'!$B$13,Paramètres!$A$1:$I$89,3,0)*VLOOKUP('Données projet'!$B$13,Paramètres!$A$1:$I$89,5,0)</f>
        <v>-1.69961822393816E-13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237.03649693529445</v>
      </c>
      <c r="CZ137" s="62">
        <f t="shared" si="150"/>
        <v>191.04289411674887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1.1685917516425094E-15</v>
      </c>
      <c r="DI137" s="24">
        <f t="shared" si="123"/>
        <v>1.1685917516425094E-15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2.8509999999999991</v>
      </c>
      <c r="DO137" s="13">
        <f>IF('Données projet'!$A$166&gt;35,DO136+DN137-DW136,IF(A137&lt;'Données projet'!$A$166,$DL$205^A137,IF(A137='Données projet'!$A$166,'Données projet'!$B$166,DO136+DN137-DW136)))</f>
        <v>288.68400000000031</v>
      </c>
      <c r="DP137" s="18">
        <f>DO137*VLOOKUP('Données projet'!$B$14,Paramètres!$A$1:$I$89,3,0)*VLOOKUP('Données projet'!$B$14,Paramètres!$A$1:$I$89,5,0)</f>
        <v>332.56396800000033</v>
      </c>
      <c r="DQ137" s="14">
        <f t="shared" si="151"/>
        <v>77.961643472154194</v>
      </c>
      <c r="DR137" s="22">
        <f t="shared" si="124"/>
        <v>714.99877331400251</v>
      </c>
      <c r="DS137" s="62">
        <f t="shared" si="125"/>
        <v>1008.3321066473359</v>
      </c>
      <c r="DT137" s="62">
        <f ca="1">AVERAGE(OFFSET($DS$3,0,0,'Données projet'!$E$14+1,1))-AVERAGE(OFFSET($H$3,0,0,'Données projet'!$E$14+1,1))</f>
        <v>431.38469096974364</v>
      </c>
      <c r="DU137" s="62">
        <f t="shared" si="152"/>
        <v>295.48627059086647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5.4793778105122606E-2</v>
      </c>
      <c r="EC137" s="23">
        <f>EXP(-LN(2)/2)*EC136+(1-EXP(-LN(2)/2))/(LN(2)/2)*DW137*DZ137*VLOOKUP('Données projet'!$B$14,Paramètres!$A$1:$I$89,3,0)*0.475*44/12</f>
        <v>8.5230382763063829E-16</v>
      </c>
      <c r="ED137" s="24">
        <f t="shared" si="126"/>
        <v>5.479377810512346E-2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6.4733285398688169E-14</v>
      </c>
      <c r="EL137" s="14">
        <f t="shared" si="153"/>
        <v>1.0229736701638572E-12</v>
      </c>
      <c r="EM137" s="22">
        <f t="shared" si="127"/>
        <v>1.8944229476047665E-12</v>
      </c>
      <c r="EN137" s="62">
        <f t="shared" si="128"/>
        <v>293.33333333333519</v>
      </c>
      <c r="EO137" s="62">
        <f ca="1">AVERAGE(OFFSET($EN$3,0,0,'Données projet'!$E$15+1,1))-AVERAGE(OFFSET($H$3,0,0,'Données projet'!$E$15+1,1))</f>
        <v>220.03635832253951</v>
      </c>
      <c r="EP137" s="62">
        <f t="shared" si="154"/>
        <v>136.30639155882233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490.00000000000091</v>
      </c>
      <c r="FF137" s="18">
        <f>FE137*VLOOKUP('Données projet'!$B$16,Paramètres!$A$1:$I$89,3,0)*VLOOKUP('Données projet'!$B$16,Paramètres!$A$1:$I$89,5,0)</f>
        <v>512.14800000000105</v>
      </c>
      <c r="FG137" s="14">
        <f t="shared" si="155"/>
        <v>114.17576021740676</v>
      </c>
      <c r="FH137" s="22">
        <f t="shared" si="130"/>
        <v>1090.8472157119852</v>
      </c>
      <c r="FI137" s="62">
        <f t="shared" si="131"/>
        <v>1384.1805490453185</v>
      </c>
      <c r="FJ137" s="62">
        <f ca="1">AVERAGE(OFFSET($FI$3,0,0,'Données projet'!$E$16+1,1))-AVERAGE(OFFSET($H$3,0,0,'Données projet'!$E$16+1,1))</f>
        <v>641.62708445664862</v>
      </c>
      <c r="FK137" s="62">
        <f t="shared" si="156"/>
        <v>379.46845863546929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4.8174431744212828E-15</v>
      </c>
      <c r="FT137" s="24">
        <f t="shared" si="132"/>
        <v>4.8174431744212828E-15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5.6843418860808015E-14</v>
      </c>
      <c r="GA137" s="18">
        <f>FZ137*VLOOKUP('Données projet'!$B$17,Paramètres!$A$1:$I$89,3,0)*VLOOKUP('Données projet'!$B$17,Paramètres!$A$1:$I$89,5,0)</f>
        <v>5.4978954722173515E-14</v>
      </c>
      <c r="GB137" s="14">
        <f t="shared" si="157"/>
        <v>8.8550225887742724E-13</v>
      </c>
      <c r="GC137" s="22">
        <f t="shared" si="133"/>
        <v>1.6380047803526383E-12</v>
      </c>
      <c r="GD137" s="62">
        <f t="shared" si="134"/>
        <v>293.33333333333496</v>
      </c>
      <c r="GE137" s="62">
        <f ca="1">AVERAGE(OFFSET($GD$3,0,0,'Données projet'!$E$17+1,1))-AVERAGE(OFFSET($H$3,0,0,'Données projet'!$E$17+1,1))</f>
        <v>181.39066880931728</v>
      </c>
      <c r="GF137" s="62">
        <f t="shared" si="158"/>
        <v>116.06078566855524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-1.7053025658242404E-13</v>
      </c>
      <c r="GV137" s="18">
        <f>GU137*VLOOKUP('Données projet'!$B$18,Paramètres!$A$1:$I$89,3,0)*VLOOKUP('Données projet'!$B$18,Paramètres!$A$1:$I$89,5,0)</f>
        <v>-1.4897523215040567E-13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152.84277478695606</v>
      </c>
      <c r="HA137" s="62">
        <f t="shared" si="160"/>
        <v>179.22995976651015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9">
        <f t="shared" si="110"/>
        <v>420.90930611658149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286.45499999999936</v>
      </c>
      <c r="P138" s="14">
        <f t="shared" si="141"/>
        <v>68.329321179865531</v>
      </c>
      <c r="Q138" s="22">
        <f t="shared" si="108"/>
        <v>617.91602605493142</v>
      </c>
      <c r="R138" s="62">
        <f t="shared" si="109"/>
        <v>911.24935938826479</v>
      </c>
      <c r="S138" s="62">
        <f ca="1">AVERAGE(OFFSET($R$3,0,0,'Données projet'!$E$9+1,1))-AVERAGE(OFFSET($H$3,0,0,'Données projet'!$E$9+1,1))</f>
        <v>383.26814640166805</v>
      </c>
      <c r="T138" s="62">
        <f t="shared" si="142"/>
        <v>233.71216103405249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6.1186256061773749E-14</v>
      </c>
      <c r="AK138" s="14">
        <f t="shared" si="143"/>
        <v>9.7328366192051127E-13</v>
      </c>
      <c r="AL138" s="22">
        <f t="shared" si="112"/>
        <v>1.8017017738191463E-12</v>
      </c>
      <c r="AM138" s="62">
        <f t="shared" si="113"/>
        <v>293.33333333333513</v>
      </c>
      <c r="AN138" s="62">
        <f ca="1">AVERAGE(OFFSET($AM$3,0,0,'Données projet'!$E$10+1,1))-AVERAGE(OFFSET($H$3,0,0,'Données projet'!$E$10+1,1))</f>
        <v>205.99910063756408</v>
      </c>
      <c r="AO138" s="62">
        <f t="shared" si="144"/>
        <v>128.95330275493671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293.3333333333353</v>
      </c>
      <c r="BI138" s="62">
        <f ca="1">AVERAGE(OFFSET($BH$3,0,0,'Données projet'!$E$11+1,1))-AVERAGE(OFFSET($H$3,0,0,'Données projet'!$E$11+1,1))</f>
        <v>222.20580087523689</v>
      </c>
      <c r="BJ138" s="62">
        <f t="shared" si="146"/>
        <v>232.08940427392253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1.251038045695436</v>
      </c>
      <c r="BQ138" s="23">
        <f>EXP(-LN(2)/25)*BQ137+(1-EXP(-LN(2)/25))/(LN(2)/25)*Calculateur!BL138*Calculateur!BN138*VLOOKUP('Données projet'!$B$11,Paramètres!$A$1:$I$89,3,0)*0.475*44/12</f>
        <v>0.8942751034636317</v>
      </c>
      <c r="BR138" s="23">
        <f>EXP(-LN(2)/2)*BR137+(1-EXP(-LN(2)/2))/(LN(2)/2)*BL138*BO138*VLOOKUP('Données projet'!$B$11,Paramètres!$A$1:$I$89,3,0)*0.475*44/12</f>
        <v>9.9543248695446801E-16</v>
      </c>
      <c r="BS138" s="24">
        <f t="shared" si="117"/>
        <v>2.1453131491590685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5.1159076974727213E-13</v>
      </c>
      <c r="BZ138" s="14">
        <f>BY138*VLOOKUP('Données projet'!$B$12,Paramètres!$A$1:$I$89,3,0)*VLOOKUP('Données projet'!$B$12,Paramètres!$A$1:$I$89,5,0)</f>
        <v>2.3942448024172334E-13</v>
      </c>
      <c r="CA138" s="14">
        <f t="shared" si="147"/>
        <v>3.2492669905861755E-12</v>
      </c>
      <c r="CB138" s="22">
        <f t="shared" si="118"/>
        <v>6.0761376450252565E-12</v>
      </c>
      <c r="CC138" s="62">
        <f t="shared" si="119"/>
        <v>293.3333333333394</v>
      </c>
      <c r="CD138" s="62">
        <f ca="1">AVERAGE(OFFSET($CC$3,0,0,'Données projet'!$E$12+1,1))-AVERAGE(OFFSET($H$3,0,0,'Données projet'!$E$12+1,1))</f>
        <v>179.14256291235466</v>
      </c>
      <c r="CE138" s="62">
        <f t="shared" si="148"/>
        <v>107.5256983607585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-2.8421709430404007E-13</v>
      </c>
      <c r="CU138" s="18">
        <f>CT138*VLOOKUP('Données projet'!$B$13,Paramètres!$A$1:$I$89,3,0)*VLOOKUP('Données projet'!$B$13,Paramètres!$A$1:$I$89,5,0)</f>
        <v>-1.69961822393816E-13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237.03649693529445</v>
      </c>
      <c r="CZ138" s="62">
        <f t="shared" si="150"/>
        <v>191.04289411674887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8.2631915202508418E-16</v>
      </c>
      <c r="DI138" s="24">
        <f t="shared" si="123"/>
        <v>8.2631915202508418E-16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2.8509999999999991</v>
      </c>
      <c r="DO138" s="13">
        <f>IF('Données projet'!$A$166&gt;35,DO137+DN138-DW137,IF(A138&lt;'Données projet'!$A$166,$DL$205^A138,IF(A138='Données projet'!$A$166,'Données projet'!$B$166,DO137+DN138-DW137)))</f>
        <v>291.53500000000031</v>
      </c>
      <c r="DP138" s="18">
        <f>DO138*VLOOKUP('Données projet'!$B$14,Paramètres!$A$1:$I$89,3,0)*VLOOKUP('Données projet'!$B$14,Paramètres!$A$1:$I$89,5,0)</f>
        <v>335.84832000000034</v>
      </c>
      <c r="DQ138" s="14">
        <f t="shared" si="151"/>
        <v>78.641570673400182</v>
      </c>
      <c r="DR138" s="22">
        <f t="shared" si="124"/>
        <v>721.90322625617262</v>
      </c>
      <c r="DS138" s="62">
        <f t="shared" si="125"/>
        <v>1015.236559589506</v>
      </c>
      <c r="DT138" s="62">
        <f ca="1">AVERAGE(OFFSET($DS$3,0,0,'Données projet'!$E$14+1,1))-AVERAGE(OFFSET($H$3,0,0,'Données projet'!$E$14+1,1))</f>
        <v>431.38469096974364</v>
      </c>
      <c r="DU138" s="62">
        <f t="shared" si="152"/>
        <v>295.48627059086647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5.3295439361358471E-2</v>
      </c>
      <c r="EC138" s="23">
        <f>EXP(-LN(2)/2)*EC137+(1-EXP(-LN(2)/2))/(LN(2)/2)*DW138*DZ138*VLOOKUP('Données projet'!$B$14,Paramètres!$A$1:$I$89,3,0)*0.475*44/12</f>
        <v>6.0266981614887466E-16</v>
      </c>
      <c r="ED138" s="24">
        <f t="shared" si="126"/>
        <v>5.3295439361359075E-2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6.4733285398688169E-14</v>
      </c>
      <c r="EL138" s="14">
        <f t="shared" si="153"/>
        <v>1.0229736701638572E-12</v>
      </c>
      <c r="EM138" s="22">
        <f t="shared" si="127"/>
        <v>1.8944229476047665E-12</v>
      </c>
      <c r="EN138" s="62">
        <f t="shared" si="128"/>
        <v>293.33333333333519</v>
      </c>
      <c r="EO138" s="62">
        <f ca="1">AVERAGE(OFFSET($EN$3,0,0,'Données projet'!$E$15+1,1))-AVERAGE(OFFSET($H$3,0,0,'Données projet'!$E$15+1,1))</f>
        <v>220.03635832253951</v>
      </c>
      <c r="EP138" s="62">
        <f t="shared" si="154"/>
        <v>136.30639155882233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490.00000000000091</v>
      </c>
      <c r="FF138" s="18">
        <f>FE138*VLOOKUP('Données projet'!$B$16,Paramètres!$A$1:$I$89,3,0)*VLOOKUP('Données projet'!$B$16,Paramètres!$A$1:$I$89,5,0)</f>
        <v>512.14800000000105</v>
      </c>
      <c r="FG138" s="14">
        <f t="shared" si="155"/>
        <v>114.17576021740676</v>
      </c>
      <c r="FH138" s="22">
        <f t="shared" si="130"/>
        <v>1090.8472157119852</v>
      </c>
      <c r="FI138" s="62">
        <f t="shared" si="131"/>
        <v>1384.1805490453185</v>
      </c>
      <c r="FJ138" s="62">
        <f ca="1">AVERAGE(OFFSET($FI$3,0,0,'Données projet'!$E$16+1,1))-AVERAGE(OFFSET($H$3,0,0,'Données projet'!$E$16+1,1))</f>
        <v>641.62708445664862</v>
      </c>
      <c r="FK138" s="62">
        <f t="shared" si="156"/>
        <v>379.46845863546929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3.406446736614137E-15</v>
      </c>
      <c r="FT138" s="24">
        <f t="shared" si="132"/>
        <v>3.406446736614137E-15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5.6843418860808015E-14</v>
      </c>
      <c r="GA138" s="18">
        <f>FZ138*VLOOKUP('Données projet'!$B$17,Paramètres!$A$1:$I$89,3,0)*VLOOKUP('Données projet'!$B$17,Paramètres!$A$1:$I$89,5,0)</f>
        <v>5.4978954722173515E-14</v>
      </c>
      <c r="GB138" s="14">
        <f t="shared" si="157"/>
        <v>8.8550225887742724E-13</v>
      </c>
      <c r="GC138" s="22">
        <f t="shared" si="133"/>
        <v>1.6380047803526383E-12</v>
      </c>
      <c r="GD138" s="62">
        <f t="shared" si="134"/>
        <v>293.33333333333496</v>
      </c>
      <c r="GE138" s="62">
        <f ca="1">AVERAGE(OFFSET($GD$3,0,0,'Données projet'!$E$17+1,1))-AVERAGE(OFFSET($H$3,0,0,'Données projet'!$E$17+1,1))</f>
        <v>181.39066880931728</v>
      </c>
      <c r="GF138" s="62">
        <f t="shared" si="158"/>
        <v>116.06078566855524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-1.7053025658242404E-13</v>
      </c>
      <c r="GV138" s="18">
        <f>GU138*VLOOKUP('Données projet'!$B$18,Paramètres!$A$1:$I$89,3,0)*VLOOKUP('Données projet'!$B$18,Paramètres!$A$1:$I$89,5,0)</f>
        <v>-1.4897523215040567E-13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152.84277478695606</v>
      </c>
      <c r="HA138" s="62">
        <f t="shared" si="160"/>
        <v>179.22995976651015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9">
        <f t="shared" si="110"/>
        <v>422.09489426633343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289.19279999999935</v>
      </c>
      <c r="P139" s="14">
        <f t="shared" si="141"/>
        <v>68.906044268306161</v>
      </c>
      <c r="Q139" s="22">
        <f t="shared" si="108"/>
        <v>623.68882043396547</v>
      </c>
      <c r="R139" s="62">
        <f t="shared" si="109"/>
        <v>917.02215376729873</v>
      </c>
      <c r="S139" s="62">
        <f ca="1">AVERAGE(OFFSET($R$3,0,0,'Données projet'!$E$9+1,1))-AVERAGE(OFFSET($H$3,0,0,'Données projet'!$E$9+1,1))</f>
        <v>383.26814640166805</v>
      </c>
      <c r="T139" s="62">
        <f t="shared" si="142"/>
        <v>233.71216103405249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6.1186256061773749E-14</v>
      </c>
      <c r="AK139" s="14">
        <f t="shared" si="143"/>
        <v>9.7328366192051127E-13</v>
      </c>
      <c r="AL139" s="22">
        <f t="shared" si="112"/>
        <v>1.8017017738191463E-12</v>
      </c>
      <c r="AM139" s="62">
        <f t="shared" si="113"/>
        <v>293.33333333333513</v>
      </c>
      <c r="AN139" s="62">
        <f ca="1">AVERAGE(OFFSET($AM$3,0,0,'Données projet'!$E$10+1,1))-AVERAGE(OFFSET($H$3,0,0,'Données projet'!$E$10+1,1))</f>
        <v>205.99910063756408</v>
      </c>
      <c r="AO139" s="62">
        <f t="shared" si="144"/>
        <v>128.95330275493671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293.3333333333353</v>
      </c>
      <c r="BI139" s="62">
        <f ca="1">AVERAGE(OFFSET($BH$3,0,0,'Données projet'!$E$11+1,1))-AVERAGE(OFFSET($H$3,0,0,'Données projet'!$E$11+1,1))</f>
        <v>222.20580087523689</v>
      </c>
      <c r="BJ139" s="62">
        <f t="shared" si="146"/>
        <v>232.08940427392253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1.2265059526772106</v>
      </c>
      <c r="BQ139" s="23">
        <f>EXP(-LN(2)/25)*BQ138+(1-EXP(-LN(2)/25))/(LN(2)/25)*Calculateur!BL139*Calculateur!BN139*VLOOKUP('Données projet'!$B$11,Paramètres!$A$1:$I$89,3,0)*0.475*44/12</f>
        <v>0.86982110373153487</v>
      </c>
      <c r="BR139" s="23">
        <f>EXP(-LN(2)/2)*BR138+(1-EXP(-LN(2)/2))/(LN(2)/2)*BL139*BO139*VLOOKUP('Données projet'!$B$11,Paramètres!$A$1:$I$89,3,0)*0.475*44/12</f>
        <v>7.0387706173889383E-16</v>
      </c>
      <c r="BS139" s="24">
        <f t="shared" si="117"/>
        <v>2.0963270564087466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5.1159076974727213E-13</v>
      </c>
      <c r="BZ139" s="14">
        <f>BY139*VLOOKUP('Données projet'!$B$12,Paramètres!$A$1:$I$89,3,0)*VLOOKUP('Données projet'!$B$12,Paramètres!$A$1:$I$89,5,0)</f>
        <v>2.3942448024172334E-13</v>
      </c>
      <c r="CA139" s="14">
        <f t="shared" si="147"/>
        <v>3.2492669905861755E-12</v>
      </c>
      <c r="CB139" s="22">
        <f t="shared" si="118"/>
        <v>6.0761376450252565E-12</v>
      </c>
      <c r="CC139" s="62">
        <f t="shared" si="119"/>
        <v>293.3333333333394</v>
      </c>
      <c r="CD139" s="62">
        <f ca="1">AVERAGE(OFFSET($CC$3,0,0,'Données projet'!$E$12+1,1))-AVERAGE(OFFSET($H$3,0,0,'Données projet'!$E$12+1,1))</f>
        <v>179.14256291235466</v>
      </c>
      <c r="CE139" s="62">
        <f t="shared" si="148"/>
        <v>107.5256983607585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-2.8421709430404007E-13</v>
      </c>
      <c r="CU139" s="18">
        <f>CT139*VLOOKUP('Données projet'!$B$13,Paramètres!$A$1:$I$89,3,0)*VLOOKUP('Données projet'!$B$13,Paramètres!$A$1:$I$89,5,0)</f>
        <v>-1.69961822393816E-13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237.03649693529445</v>
      </c>
      <c r="CZ139" s="62">
        <f t="shared" si="150"/>
        <v>191.04289411674887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5.8429587582125469E-16</v>
      </c>
      <c r="DI139" s="24">
        <f t="shared" si="123"/>
        <v>5.8429587582125469E-16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2.8509999999999991</v>
      </c>
      <c r="DO139" s="13">
        <f>IF('Données projet'!$A$166&gt;35,DO138+DN139-DW138,IF(A139&lt;'Données projet'!$A$166,$DL$205^A139,IF(A139='Données projet'!$A$166,'Données projet'!$B$166,DO138+DN139-DW138)))</f>
        <v>294.38600000000031</v>
      </c>
      <c r="DP139" s="18">
        <f>DO139*VLOOKUP('Données projet'!$B$14,Paramètres!$A$1:$I$89,3,0)*VLOOKUP('Données projet'!$B$14,Paramètres!$A$1:$I$89,5,0)</f>
        <v>339.13267200000035</v>
      </c>
      <c r="DQ139" s="14">
        <f t="shared" si="151"/>
        <v>79.320724335891697</v>
      </c>
      <c r="DR139" s="22">
        <f t="shared" si="124"/>
        <v>728.80633195167866</v>
      </c>
      <c r="DS139" s="62">
        <f t="shared" si="125"/>
        <v>1022.1396652850119</v>
      </c>
      <c r="DT139" s="62">
        <f ca="1">AVERAGE(OFFSET($DS$3,0,0,'Données projet'!$E$14+1,1))-AVERAGE(OFFSET($H$3,0,0,'Données projet'!$E$14+1,1))</f>
        <v>431.38469096974364</v>
      </c>
      <c r="DU139" s="62">
        <f t="shared" si="152"/>
        <v>295.48627059086647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5.1838072769336774E-2</v>
      </c>
      <c r="EC139" s="23">
        <f>EXP(-LN(2)/2)*EC138+(1-EXP(-LN(2)/2))/(LN(2)/2)*DW139*DZ139*VLOOKUP('Données projet'!$B$14,Paramètres!$A$1:$I$89,3,0)*0.475*44/12</f>
        <v>4.2615191381531915E-16</v>
      </c>
      <c r="ED139" s="24">
        <f t="shared" si="126"/>
        <v>5.1838072769337197E-2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6.4733285398688169E-14</v>
      </c>
      <c r="EL139" s="14">
        <f t="shared" si="153"/>
        <v>1.0229736701638572E-12</v>
      </c>
      <c r="EM139" s="22">
        <f t="shared" si="127"/>
        <v>1.8944229476047665E-12</v>
      </c>
      <c r="EN139" s="62">
        <f t="shared" si="128"/>
        <v>293.33333333333519</v>
      </c>
      <c r="EO139" s="62">
        <f ca="1">AVERAGE(OFFSET($EN$3,0,0,'Données projet'!$E$15+1,1))-AVERAGE(OFFSET($H$3,0,0,'Données projet'!$E$15+1,1))</f>
        <v>220.03635832253951</v>
      </c>
      <c r="EP139" s="62">
        <f t="shared" si="154"/>
        <v>136.30639155882233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490.00000000000091</v>
      </c>
      <c r="FF139" s="18">
        <f>FE139*VLOOKUP('Données projet'!$B$16,Paramètres!$A$1:$I$89,3,0)*VLOOKUP('Données projet'!$B$16,Paramètres!$A$1:$I$89,5,0)</f>
        <v>512.14800000000105</v>
      </c>
      <c r="FG139" s="14">
        <f t="shared" si="155"/>
        <v>114.17576021740676</v>
      </c>
      <c r="FH139" s="22">
        <f t="shared" si="130"/>
        <v>1090.8472157119852</v>
      </c>
      <c r="FI139" s="62">
        <f t="shared" si="131"/>
        <v>1384.1805490453185</v>
      </c>
      <c r="FJ139" s="62">
        <f ca="1">AVERAGE(OFFSET($FI$3,0,0,'Données projet'!$E$16+1,1))-AVERAGE(OFFSET($H$3,0,0,'Données projet'!$E$16+1,1))</f>
        <v>641.62708445664862</v>
      </c>
      <c r="FK139" s="62">
        <f t="shared" si="156"/>
        <v>379.46845863546929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2.4087215872106414E-15</v>
      </c>
      <c r="FT139" s="24">
        <f t="shared" si="132"/>
        <v>2.4087215872106414E-15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5.6843418860808015E-14</v>
      </c>
      <c r="GA139" s="18">
        <f>FZ139*VLOOKUP('Données projet'!$B$17,Paramètres!$A$1:$I$89,3,0)*VLOOKUP('Données projet'!$B$17,Paramètres!$A$1:$I$89,5,0)</f>
        <v>5.4978954722173515E-14</v>
      </c>
      <c r="GB139" s="14">
        <f t="shared" si="157"/>
        <v>8.8550225887742724E-13</v>
      </c>
      <c r="GC139" s="22">
        <f t="shared" si="133"/>
        <v>1.6380047803526383E-12</v>
      </c>
      <c r="GD139" s="62">
        <f t="shared" si="134"/>
        <v>293.33333333333496</v>
      </c>
      <c r="GE139" s="62">
        <f ca="1">AVERAGE(OFFSET($GD$3,0,0,'Données projet'!$E$17+1,1))-AVERAGE(OFFSET($H$3,0,0,'Données projet'!$E$17+1,1))</f>
        <v>181.39066880931728</v>
      </c>
      <c r="GF139" s="62">
        <f t="shared" si="158"/>
        <v>116.06078566855524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-1.7053025658242404E-13</v>
      </c>
      <c r="GV139" s="18">
        <f>GU139*VLOOKUP('Données projet'!$B$18,Paramètres!$A$1:$I$89,3,0)*VLOOKUP('Données projet'!$B$18,Paramètres!$A$1:$I$89,5,0)</f>
        <v>-1.4897523215040567E-13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152.84277478695606</v>
      </c>
      <c r="HA139" s="62">
        <f t="shared" si="160"/>
        <v>179.22995976651015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9">
        <f t="shared" si="110"/>
        <v>423.28028167743605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291.93059999999929</v>
      </c>
      <c r="P140" s="14">
        <f t="shared" si="141"/>
        <v>69.482132168934584</v>
      </c>
      <c r="Q140" s="22">
        <f t="shared" si="108"/>
        <v>629.4605085275598</v>
      </c>
      <c r="R140" s="62">
        <f t="shared" si="109"/>
        <v>922.79384186089305</v>
      </c>
      <c r="S140" s="62">
        <f ca="1">AVERAGE(OFFSET($R$3,0,0,'Données projet'!$E$9+1,1))-AVERAGE(OFFSET($H$3,0,0,'Données projet'!$E$9+1,1))</f>
        <v>383.26814640166805</v>
      </c>
      <c r="T140" s="62">
        <f t="shared" si="142"/>
        <v>233.71216103405249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6.1186256061773749E-14</v>
      </c>
      <c r="AK140" s="14">
        <f t="shared" si="143"/>
        <v>9.7328366192051127E-13</v>
      </c>
      <c r="AL140" s="22">
        <f t="shared" si="112"/>
        <v>1.8017017738191463E-12</v>
      </c>
      <c r="AM140" s="62">
        <f t="shared" si="113"/>
        <v>293.33333333333513</v>
      </c>
      <c r="AN140" s="62">
        <f ca="1">AVERAGE(OFFSET($AM$3,0,0,'Données projet'!$E$10+1,1))-AVERAGE(OFFSET($H$3,0,0,'Données projet'!$E$10+1,1))</f>
        <v>205.99910063756408</v>
      </c>
      <c r="AO140" s="62">
        <f t="shared" si="144"/>
        <v>128.95330275493671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293.3333333333353</v>
      </c>
      <c r="BI140" s="62">
        <f ca="1">AVERAGE(OFFSET($BH$3,0,0,'Données projet'!$E$11+1,1))-AVERAGE(OFFSET($H$3,0,0,'Données projet'!$E$11+1,1))</f>
        <v>222.20580087523689</v>
      </c>
      <c r="BJ140" s="62">
        <f t="shared" si="146"/>
        <v>232.08940427392253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1.2024549190399734</v>
      </c>
      <c r="BQ140" s="23">
        <f>EXP(-LN(2)/25)*BQ139+(1-EXP(-LN(2)/25))/(LN(2)/25)*Calculateur!BL140*Calculateur!BN140*VLOOKUP('Données projet'!$B$11,Paramètres!$A$1:$I$89,3,0)*0.475*44/12</f>
        <v>0.84603579990809219</v>
      </c>
      <c r="BR140" s="23">
        <f>EXP(-LN(2)/2)*BR139+(1-EXP(-LN(2)/2))/(LN(2)/2)*BL140*BO140*VLOOKUP('Données projet'!$B$11,Paramètres!$A$1:$I$89,3,0)*0.475*44/12</f>
        <v>4.97716243477234E-16</v>
      </c>
      <c r="BS140" s="24">
        <f t="shared" si="117"/>
        <v>2.0484907189480661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5.1159076974727213E-13</v>
      </c>
      <c r="BZ140" s="14">
        <f>BY140*VLOOKUP('Données projet'!$B$12,Paramètres!$A$1:$I$89,3,0)*VLOOKUP('Données projet'!$B$12,Paramètres!$A$1:$I$89,5,0)</f>
        <v>2.3942448024172334E-13</v>
      </c>
      <c r="CA140" s="14">
        <f t="shared" si="147"/>
        <v>3.2492669905861755E-12</v>
      </c>
      <c r="CB140" s="22">
        <f t="shared" si="118"/>
        <v>6.0761376450252565E-12</v>
      </c>
      <c r="CC140" s="62">
        <f t="shared" si="119"/>
        <v>293.3333333333394</v>
      </c>
      <c r="CD140" s="62">
        <f ca="1">AVERAGE(OFFSET($CC$3,0,0,'Données projet'!$E$12+1,1))-AVERAGE(OFFSET($H$3,0,0,'Données projet'!$E$12+1,1))</f>
        <v>179.14256291235466</v>
      </c>
      <c r="CE140" s="62">
        <f t="shared" si="148"/>
        <v>107.5256983607585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-2.8421709430404007E-13</v>
      </c>
      <c r="CU140" s="18">
        <f>CT140*VLOOKUP('Données projet'!$B$13,Paramètres!$A$1:$I$89,3,0)*VLOOKUP('Données projet'!$B$13,Paramètres!$A$1:$I$89,5,0)</f>
        <v>-1.69961822393816E-13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237.03649693529445</v>
      </c>
      <c r="CZ140" s="62">
        <f t="shared" si="150"/>
        <v>191.04289411674887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4.1315957601254209E-16</v>
      </c>
      <c r="DI140" s="24">
        <f t="shared" si="123"/>
        <v>4.1315957601254209E-16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2.8509999999999991</v>
      </c>
      <c r="DO140" s="13">
        <f>IF('Données projet'!$A$166&gt;35,DO139+DN140-DW139,IF(A140&lt;'Données projet'!$A$166,$DL$205^A140,IF(A140='Données projet'!$A$166,'Données projet'!$B$166,DO139+DN140-DW139)))</f>
        <v>297.23700000000031</v>
      </c>
      <c r="DP140" s="18">
        <f>DO140*VLOOKUP('Données projet'!$B$14,Paramètres!$A$1:$I$89,3,0)*VLOOKUP('Données projet'!$B$14,Paramètres!$A$1:$I$89,5,0)</f>
        <v>342.41702400000031</v>
      </c>
      <c r="DQ140" s="14">
        <f t="shared" si="151"/>
        <v>79.999112818561741</v>
      </c>
      <c r="DR140" s="22">
        <f t="shared" si="124"/>
        <v>735.70810495899548</v>
      </c>
      <c r="DS140" s="62">
        <f t="shared" si="125"/>
        <v>1029.0414382923288</v>
      </c>
      <c r="DT140" s="62">
        <f ca="1">AVERAGE(OFFSET($DS$3,0,0,'Données projet'!$E$14+1,1))-AVERAGE(OFFSET($H$3,0,0,'Données projet'!$E$14+1,1))</f>
        <v>431.38469096974364</v>
      </c>
      <c r="DU140" s="62">
        <f t="shared" si="152"/>
        <v>295.48627059086647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5.0420557943413491E-2</v>
      </c>
      <c r="EC140" s="23">
        <f>EXP(-LN(2)/2)*EC139+(1-EXP(-LN(2)/2))/(LN(2)/2)*DW140*DZ140*VLOOKUP('Données projet'!$B$14,Paramètres!$A$1:$I$89,3,0)*0.475*44/12</f>
        <v>3.0133490807443733E-16</v>
      </c>
      <c r="ED140" s="24">
        <f t="shared" si="126"/>
        <v>5.0420557943413789E-2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6.4733285398688169E-14</v>
      </c>
      <c r="EL140" s="14">
        <f t="shared" si="153"/>
        <v>1.0229736701638572E-12</v>
      </c>
      <c r="EM140" s="22">
        <f t="shared" si="127"/>
        <v>1.8944229476047665E-12</v>
      </c>
      <c r="EN140" s="62">
        <f t="shared" si="128"/>
        <v>293.33333333333519</v>
      </c>
      <c r="EO140" s="62">
        <f ca="1">AVERAGE(OFFSET($EN$3,0,0,'Données projet'!$E$15+1,1))-AVERAGE(OFFSET($H$3,0,0,'Données projet'!$E$15+1,1))</f>
        <v>220.03635832253951</v>
      </c>
      <c r="EP140" s="62">
        <f t="shared" si="154"/>
        <v>136.30639155882233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490.00000000000091</v>
      </c>
      <c r="FF140" s="18">
        <f>FE140*VLOOKUP('Données projet'!$B$16,Paramètres!$A$1:$I$89,3,0)*VLOOKUP('Données projet'!$B$16,Paramètres!$A$1:$I$89,5,0)</f>
        <v>512.14800000000105</v>
      </c>
      <c r="FG140" s="14">
        <f t="shared" si="155"/>
        <v>114.17576021740676</v>
      </c>
      <c r="FH140" s="22">
        <f t="shared" si="130"/>
        <v>1090.8472157119852</v>
      </c>
      <c r="FI140" s="62">
        <f t="shared" si="131"/>
        <v>1384.1805490453185</v>
      </c>
      <c r="FJ140" s="62">
        <f ca="1">AVERAGE(OFFSET($FI$3,0,0,'Données projet'!$E$16+1,1))-AVERAGE(OFFSET($H$3,0,0,'Données projet'!$E$16+1,1))</f>
        <v>641.62708445664862</v>
      </c>
      <c r="FK140" s="62">
        <f t="shared" si="156"/>
        <v>379.46845863546929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1.7032233683070685E-15</v>
      </c>
      <c r="FT140" s="24">
        <f t="shared" si="132"/>
        <v>1.7032233683070685E-15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5.6843418860808015E-14</v>
      </c>
      <c r="GA140" s="18">
        <f>FZ140*VLOOKUP('Données projet'!$B$17,Paramètres!$A$1:$I$89,3,0)*VLOOKUP('Données projet'!$B$17,Paramètres!$A$1:$I$89,5,0)</f>
        <v>5.4978954722173515E-14</v>
      </c>
      <c r="GB140" s="14">
        <f t="shared" si="157"/>
        <v>8.8550225887742724E-13</v>
      </c>
      <c r="GC140" s="22">
        <f t="shared" si="133"/>
        <v>1.6380047803526383E-12</v>
      </c>
      <c r="GD140" s="62">
        <f t="shared" si="134"/>
        <v>293.33333333333496</v>
      </c>
      <c r="GE140" s="62">
        <f ca="1">AVERAGE(OFFSET($GD$3,0,0,'Données projet'!$E$17+1,1))-AVERAGE(OFFSET($H$3,0,0,'Données projet'!$E$17+1,1))</f>
        <v>181.39066880931728</v>
      </c>
      <c r="GF140" s="62">
        <f t="shared" si="158"/>
        <v>116.06078566855524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-1.7053025658242404E-13</v>
      </c>
      <c r="GV140" s="18">
        <f>GU140*VLOOKUP('Données projet'!$B$18,Paramètres!$A$1:$I$89,3,0)*VLOOKUP('Données projet'!$B$18,Paramètres!$A$1:$I$89,5,0)</f>
        <v>-1.4897523215040567E-13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152.84277478695606</v>
      </c>
      <c r="HA140" s="62">
        <f t="shared" si="160"/>
        <v>179.22995976651015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9">
        <f t="shared" si="110"/>
        <v>424.46546998502401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294.66839999999928</v>
      </c>
      <c r="P141" s="14">
        <f t="shared" si="141"/>
        <v>70.057591528661433</v>
      </c>
      <c r="Q141" s="22">
        <f t="shared" si="108"/>
        <v>635.23110191241733</v>
      </c>
      <c r="R141" s="62">
        <f t="shared" si="109"/>
        <v>928.5644352457507</v>
      </c>
      <c r="S141" s="62">
        <f ca="1">AVERAGE(OFFSET($R$3,0,0,'Données projet'!$E$9+1,1))-AVERAGE(OFFSET($H$3,0,0,'Données projet'!$E$9+1,1))</f>
        <v>383.26814640166805</v>
      </c>
      <c r="T141" s="62">
        <f t="shared" si="142"/>
        <v>233.71216103405249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6.1186256061773749E-14</v>
      </c>
      <c r="AK141" s="14">
        <f t="shared" si="143"/>
        <v>9.7328366192051127E-13</v>
      </c>
      <c r="AL141" s="22">
        <f t="shared" si="112"/>
        <v>1.8017017738191463E-12</v>
      </c>
      <c r="AM141" s="62">
        <f t="shared" si="113"/>
        <v>293.33333333333513</v>
      </c>
      <c r="AN141" s="62">
        <f ca="1">AVERAGE(OFFSET($AM$3,0,0,'Données projet'!$E$10+1,1))-AVERAGE(OFFSET($H$3,0,0,'Données projet'!$E$10+1,1))</f>
        <v>205.99910063756408</v>
      </c>
      <c r="AO141" s="62">
        <f t="shared" si="144"/>
        <v>128.95330275493671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293.3333333333353</v>
      </c>
      <c r="BI141" s="62">
        <f ca="1">AVERAGE(OFFSET($BH$3,0,0,'Données projet'!$E$11+1,1))-AVERAGE(OFFSET($H$3,0,0,'Données projet'!$E$11+1,1))</f>
        <v>222.20580087523689</v>
      </c>
      <c r="BJ141" s="62">
        <f t="shared" si="146"/>
        <v>232.08940427392253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1.1788755115026803</v>
      </c>
      <c r="BQ141" s="23">
        <f>EXP(-LN(2)/25)*BQ140+(1-EXP(-LN(2)/25))/(LN(2)/25)*Calculateur!BL141*Calculateur!BN141*VLOOKUP('Données projet'!$B$11,Paramètres!$A$1:$I$89,3,0)*0.475*44/12</f>
        <v>0.82290090646851632</v>
      </c>
      <c r="BR141" s="23">
        <f>EXP(-LN(2)/2)*BR140+(1-EXP(-LN(2)/2))/(LN(2)/2)*BL141*BO141*VLOOKUP('Données projet'!$B$11,Paramètres!$A$1:$I$89,3,0)*0.475*44/12</f>
        <v>3.5193853086944692E-16</v>
      </c>
      <c r="BS141" s="24">
        <f t="shared" si="117"/>
        <v>2.0017764179711972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5.1159076974727213E-13</v>
      </c>
      <c r="BZ141" s="14">
        <f>BY141*VLOOKUP('Données projet'!$B$12,Paramètres!$A$1:$I$89,3,0)*VLOOKUP('Données projet'!$B$12,Paramètres!$A$1:$I$89,5,0)</f>
        <v>2.3942448024172334E-13</v>
      </c>
      <c r="CA141" s="14">
        <f t="shared" si="147"/>
        <v>3.2492669905861755E-12</v>
      </c>
      <c r="CB141" s="22">
        <f t="shared" si="118"/>
        <v>6.0761376450252565E-12</v>
      </c>
      <c r="CC141" s="62">
        <f t="shared" si="119"/>
        <v>293.3333333333394</v>
      </c>
      <c r="CD141" s="62">
        <f ca="1">AVERAGE(OFFSET($CC$3,0,0,'Données projet'!$E$12+1,1))-AVERAGE(OFFSET($H$3,0,0,'Données projet'!$E$12+1,1))</f>
        <v>179.14256291235466</v>
      </c>
      <c r="CE141" s="62">
        <f t="shared" si="148"/>
        <v>107.5256983607585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-2.8421709430404007E-13</v>
      </c>
      <c r="CU141" s="18">
        <f>CT141*VLOOKUP('Données projet'!$B$13,Paramètres!$A$1:$I$89,3,0)*VLOOKUP('Données projet'!$B$13,Paramètres!$A$1:$I$89,5,0)</f>
        <v>-1.69961822393816E-13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237.03649693529445</v>
      </c>
      <c r="CZ141" s="62">
        <f t="shared" si="150"/>
        <v>191.04289411674887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2.9214793791062735E-16</v>
      </c>
      <c r="DI141" s="24">
        <f t="shared" si="123"/>
        <v>2.9214793791062735E-16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2.8509999999999991</v>
      </c>
      <c r="DO141" s="13">
        <f>IF('Données projet'!$A$166&gt;35,DO140+DN141-DW140,IF(A141&lt;'Données projet'!$A$166,$DL$205^A141,IF(A141='Données projet'!$A$166,'Données projet'!$B$166,DO140+DN141-DW140)))</f>
        <v>300.08800000000031</v>
      </c>
      <c r="DP141" s="18">
        <f>DO141*VLOOKUP('Données projet'!$B$14,Paramètres!$A$1:$I$89,3,0)*VLOOKUP('Données projet'!$B$14,Paramètres!$A$1:$I$89,5,0)</f>
        <v>345.70137600000032</v>
      </c>
      <c r="DQ141" s="14">
        <f t="shared" si="151"/>
        <v>80.676744310745448</v>
      </c>
      <c r="DR141" s="22">
        <f t="shared" si="124"/>
        <v>742.60855954121553</v>
      </c>
      <c r="DS141" s="62">
        <f t="shared" si="125"/>
        <v>1035.9418928745488</v>
      </c>
      <c r="DT141" s="62">
        <f ca="1">AVERAGE(OFFSET($DS$3,0,0,'Données projet'!$E$14+1,1))-AVERAGE(OFFSET($H$3,0,0,'Données projet'!$E$14+1,1))</f>
        <v>431.38469096974364</v>
      </c>
      <c r="DU141" s="62">
        <f t="shared" si="152"/>
        <v>295.48627059086647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4.9041805134948942E-2</v>
      </c>
      <c r="EC141" s="23">
        <f>EXP(-LN(2)/2)*EC140+(1-EXP(-LN(2)/2))/(LN(2)/2)*DW141*DZ141*VLOOKUP('Données projet'!$B$14,Paramètres!$A$1:$I$89,3,0)*0.475*44/12</f>
        <v>2.1307595690765957E-16</v>
      </c>
      <c r="ED141" s="24">
        <f t="shared" si="126"/>
        <v>4.9041805134949157E-2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6.4733285398688169E-14</v>
      </c>
      <c r="EL141" s="14">
        <f t="shared" si="153"/>
        <v>1.0229736701638572E-12</v>
      </c>
      <c r="EM141" s="22">
        <f t="shared" si="127"/>
        <v>1.8944229476047665E-12</v>
      </c>
      <c r="EN141" s="62">
        <f t="shared" si="128"/>
        <v>293.33333333333519</v>
      </c>
      <c r="EO141" s="62">
        <f ca="1">AVERAGE(OFFSET($EN$3,0,0,'Données projet'!$E$15+1,1))-AVERAGE(OFFSET($H$3,0,0,'Données projet'!$E$15+1,1))</f>
        <v>220.03635832253951</v>
      </c>
      <c r="EP141" s="62">
        <f t="shared" si="154"/>
        <v>136.30639155882233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490.00000000000091</v>
      </c>
      <c r="FF141" s="18">
        <f>FE141*VLOOKUP('Données projet'!$B$16,Paramètres!$A$1:$I$89,3,0)*VLOOKUP('Données projet'!$B$16,Paramètres!$A$1:$I$89,5,0)</f>
        <v>512.14800000000105</v>
      </c>
      <c r="FG141" s="14">
        <f t="shared" si="155"/>
        <v>114.17576021740676</v>
      </c>
      <c r="FH141" s="22">
        <f t="shared" si="130"/>
        <v>1090.8472157119852</v>
      </c>
      <c r="FI141" s="62">
        <f t="shared" si="131"/>
        <v>1384.1805490453185</v>
      </c>
      <c r="FJ141" s="62">
        <f ca="1">AVERAGE(OFFSET($FI$3,0,0,'Données projet'!$E$16+1,1))-AVERAGE(OFFSET($H$3,0,0,'Données projet'!$E$16+1,1))</f>
        <v>641.62708445664862</v>
      </c>
      <c r="FK141" s="62">
        <f t="shared" si="156"/>
        <v>379.46845863546929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1.2043607936053207E-15</v>
      </c>
      <c r="FT141" s="24">
        <f t="shared" si="132"/>
        <v>1.2043607936053207E-15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5.6843418860808015E-14</v>
      </c>
      <c r="GA141" s="18">
        <f>FZ141*VLOOKUP('Données projet'!$B$17,Paramètres!$A$1:$I$89,3,0)*VLOOKUP('Données projet'!$B$17,Paramètres!$A$1:$I$89,5,0)</f>
        <v>5.4978954722173515E-14</v>
      </c>
      <c r="GB141" s="14">
        <f t="shared" si="157"/>
        <v>8.8550225887742724E-13</v>
      </c>
      <c r="GC141" s="22">
        <f t="shared" si="133"/>
        <v>1.6380047803526383E-12</v>
      </c>
      <c r="GD141" s="62">
        <f t="shared" si="134"/>
        <v>293.33333333333496</v>
      </c>
      <c r="GE141" s="62">
        <f ca="1">AVERAGE(OFFSET($GD$3,0,0,'Données projet'!$E$17+1,1))-AVERAGE(OFFSET($H$3,0,0,'Données projet'!$E$17+1,1))</f>
        <v>181.39066880931728</v>
      </c>
      <c r="GF141" s="62">
        <f t="shared" si="158"/>
        <v>116.06078566855524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-1.7053025658242404E-13</v>
      </c>
      <c r="GV141" s="18">
        <f>GU141*VLOOKUP('Données projet'!$B$18,Paramètres!$A$1:$I$89,3,0)*VLOOKUP('Données projet'!$B$18,Paramètres!$A$1:$I$89,5,0)</f>
        <v>-1.4897523215040567E-13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152.84277478695606</v>
      </c>
      <c r="HA141" s="62">
        <f t="shared" si="160"/>
        <v>179.22995976651015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9">
        <f t="shared" si="110"/>
        <v>425.6504607991651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297.40619999999927</v>
      </c>
      <c r="P142" s="14">
        <f t="shared" si="141"/>
        <v>70.632428863759543</v>
      </c>
      <c r="Q142" s="22">
        <f t="shared" si="108"/>
        <v>641.0006119377133</v>
      </c>
      <c r="R142" s="62">
        <f t="shared" si="109"/>
        <v>934.33394527104656</v>
      </c>
      <c r="S142" s="62">
        <f ca="1">AVERAGE(OFFSET($R$3,0,0,'Données projet'!$E$9+1,1))-AVERAGE(OFFSET($H$3,0,0,'Données projet'!$E$9+1,1))</f>
        <v>383.26814640166805</v>
      </c>
      <c r="T142" s="62">
        <f t="shared" si="142"/>
        <v>233.71216103405249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6.1186256061773749E-14</v>
      </c>
      <c r="AK142" s="14">
        <f t="shared" si="143"/>
        <v>9.7328366192051127E-13</v>
      </c>
      <c r="AL142" s="22">
        <f t="shared" si="112"/>
        <v>1.8017017738191463E-12</v>
      </c>
      <c r="AM142" s="62">
        <f t="shared" si="113"/>
        <v>293.33333333333513</v>
      </c>
      <c r="AN142" s="62">
        <f ca="1">AVERAGE(OFFSET($AM$3,0,0,'Données projet'!$E$10+1,1))-AVERAGE(OFFSET($H$3,0,0,'Données projet'!$E$10+1,1))</f>
        <v>205.99910063756408</v>
      </c>
      <c r="AO142" s="62">
        <f t="shared" si="144"/>
        <v>128.95330275493671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293.3333333333353</v>
      </c>
      <c r="BI142" s="62">
        <f ca="1">AVERAGE(OFFSET($BH$3,0,0,'Données projet'!$E$11+1,1))-AVERAGE(OFFSET($H$3,0,0,'Données projet'!$E$11+1,1))</f>
        <v>222.20580087523689</v>
      </c>
      <c r="BJ142" s="62">
        <f t="shared" si="146"/>
        <v>232.08940427392253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1.1557584817651751</v>
      </c>
      <c r="BQ142" s="23">
        <f>EXP(-LN(2)/25)*BQ141+(1-EXP(-LN(2)/25))/(LN(2)/25)*Calculateur!BL142*Calculateur!BN142*VLOOKUP('Données projet'!$B$11,Paramètres!$A$1:$I$89,3,0)*0.475*44/12</f>
        <v>0.80039863790665688</v>
      </c>
      <c r="BR142" s="23">
        <f>EXP(-LN(2)/2)*BR141+(1-EXP(-LN(2)/2))/(LN(2)/2)*BL142*BO142*VLOOKUP('Données projet'!$B$11,Paramètres!$A$1:$I$89,3,0)*0.475*44/12</f>
        <v>2.48858121738617E-16</v>
      </c>
      <c r="BS142" s="24">
        <f t="shared" si="117"/>
        <v>1.9561571196718324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5.1159076974727213E-13</v>
      </c>
      <c r="BZ142" s="14">
        <f>BY142*VLOOKUP('Données projet'!$B$12,Paramètres!$A$1:$I$89,3,0)*VLOOKUP('Données projet'!$B$12,Paramètres!$A$1:$I$89,5,0)</f>
        <v>2.3942448024172334E-13</v>
      </c>
      <c r="CA142" s="14">
        <f t="shared" si="147"/>
        <v>3.2492669905861755E-12</v>
      </c>
      <c r="CB142" s="22">
        <f t="shared" si="118"/>
        <v>6.0761376450252565E-12</v>
      </c>
      <c r="CC142" s="62">
        <f t="shared" si="119"/>
        <v>293.3333333333394</v>
      </c>
      <c r="CD142" s="62">
        <f ca="1">AVERAGE(OFFSET($CC$3,0,0,'Données projet'!$E$12+1,1))-AVERAGE(OFFSET($H$3,0,0,'Données projet'!$E$12+1,1))</f>
        <v>179.14256291235466</v>
      </c>
      <c r="CE142" s="62">
        <f t="shared" si="148"/>
        <v>107.5256983607585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-2.8421709430404007E-13</v>
      </c>
      <c r="CU142" s="18">
        <f>CT142*VLOOKUP('Données projet'!$B$13,Paramètres!$A$1:$I$89,3,0)*VLOOKUP('Données projet'!$B$13,Paramètres!$A$1:$I$89,5,0)</f>
        <v>-1.69961822393816E-13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237.03649693529445</v>
      </c>
      <c r="CZ142" s="62">
        <f t="shared" si="150"/>
        <v>191.04289411674887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2.0657978800627104E-16</v>
      </c>
      <c r="DI142" s="24">
        <f t="shared" si="123"/>
        <v>2.0657978800627104E-16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2.8509999999999991</v>
      </c>
      <c r="DO142" s="13">
        <f>IF('Données projet'!$A$166&gt;35,DO141+DN142-DW141,IF(A142&lt;'Données projet'!$A$166,$DL$205^A142,IF(A142='Données projet'!$A$166,'Données projet'!$B$166,DO141+DN142-DW141)))</f>
        <v>302.93900000000031</v>
      </c>
      <c r="DP142" s="18">
        <f>DO142*VLOOKUP('Données projet'!$B$14,Paramètres!$A$1:$I$89,3,0)*VLOOKUP('Données projet'!$B$14,Paramètres!$A$1:$I$89,5,0)</f>
        <v>348.98572800000034</v>
      </c>
      <c r="DQ142" s="14">
        <f t="shared" si="151"/>
        <v>81.353626837198988</v>
      </c>
      <c r="DR142" s="22">
        <f t="shared" si="124"/>
        <v>749.50770967478877</v>
      </c>
      <c r="DS142" s="62">
        <f t="shared" si="125"/>
        <v>1042.8410430081221</v>
      </c>
      <c r="DT142" s="62">
        <f ca="1">AVERAGE(OFFSET($DS$3,0,0,'Données projet'!$E$14+1,1))-AVERAGE(OFFSET($H$3,0,0,'Données projet'!$E$14+1,1))</f>
        <v>431.38469096974364</v>
      </c>
      <c r="DU142" s="62">
        <f t="shared" si="152"/>
        <v>295.48627059086647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4.7700754394537317E-2</v>
      </c>
      <c r="EC142" s="23">
        <f>EXP(-LN(2)/2)*EC141+(1-EXP(-LN(2)/2))/(LN(2)/2)*DW142*DZ142*VLOOKUP('Données projet'!$B$14,Paramètres!$A$1:$I$89,3,0)*0.475*44/12</f>
        <v>1.5066745403721867E-16</v>
      </c>
      <c r="ED142" s="24">
        <f t="shared" si="126"/>
        <v>4.770075439453747E-2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6.4733285398688169E-14</v>
      </c>
      <c r="EL142" s="14">
        <f t="shared" si="153"/>
        <v>1.0229736701638572E-12</v>
      </c>
      <c r="EM142" s="22">
        <f t="shared" si="127"/>
        <v>1.8944229476047665E-12</v>
      </c>
      <c r="EN142" s="62">
        <f t="shared" si="128"/>
        <v>293.33333333333519</v>
      </c>
      <c r="EO142" s="62">
        <f ca="1">AVERAGE(OFFSET($EN$3,0,0,'Données projet'!$E$15+1,1))-AVERAGE(OFFSET($H$3,0,0,'Données projet'!$E$15+1,1))</f>
        <v>220.03635832253951</v>
      </c>
      <c r="EP142" s="62">
        <f t="shared" si="154"/>
        <v>136.30639155882233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490.00000000000091</v>
      </c>
      <c r="FF142" s="18">
        <f>FE142*VLOOKUP('Données projet'!$B$16,Paramètres!$A$1:$I$89,3,0)*VLOOKUP('Données projet'!$B$16,Paramètres!$A$1:$I$89,5,0)</f>
        <v>512.14800000000105</v>
      </c>
      <c r="FG142" s="14">
        <f t="shared" si="155"/>
        <v>114.17576021740676</v>
      </c>
      <c r="FH142" s="22">
        <f t="shared" si="130"/>
        <v>1090.8472157119852</v>
      </c>
      <c r="FI142" s="62">
        <f t="shared" si="131"/>
        <v>1384.1805490453185</v>
      </c>
      <c r="FJ142" s="62">
        <f ca="1">AVERAGE(OFFSET($FI$3,0,0,'Données projet'!$E$16+1,1))-AVERAGE(OFFSET($H$3,0,0,'Données projet'!$E$16+1,1))</f>
        <v>641.62708445664862</v>
      </c>
      <c r="FK142" s="62">
        <f t="shared" si="156"/>
        <v>379.46845863546929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8.5161168415353424E-16</v>
      </c>
      <c r="FT142" s="24">
        <f t="shared" si="132"/>
        <v>8.5161168415353424E-16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5.6843418860808015E-14</v>
      </c>
      <c r="GA142" s="18">
        <f>FZ142*VLOOKUP('Données projet'!$B$17,Paramètres!$A$1:$I$89,3,0)*VLOOKUP('Données projet'!$B$17,Paramètres!$A$1:$I$89,5,0)</f>
        <v>5.4978954722173515E-14</v>
      </c>
      <c r="GB142" s="14">
        <f t="shared" si="157"/>
        <v>8.8550225887742724E-13</v>
      </c>
      <c r="GC142" s="22">
        <f t="shared" si="133"/>
        <v>1.6380047803526383E-12</v>
      </c>
      <c r="GD142" s="62">
        <f t="shared" si="134"/>
        <v>293.33333333333496</v>
      </c>
      <c r="GE142" s="62">
        <f ca="1">AVERAGE(OFFSET($GD$3,0,0,'Données projet'!$E$17+1,1))-AVERAGE(OFFSET($H$3,0,0,'Données projet'!$E$17+1,1))</f>
        <v>181.39066880931728</v>
      </c>
      <c r="GF142" s="62">
        <f t="shared" si="158"/>
        <v>116.06078566855524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-1.7053025658242404E-13</v>
      </c>
      <c r="GV142" s="18">
        <f>GU142*VLOOKUP('Données projet'!$B$18,Paramètres!$A$1:$I$89,3,0)*VLOOKUP('Données projet'!$B$18,Paramètres!$A$1:$I$89,5,0)</f>
        <v>-1.4897523215040567E-13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152.84277478695606</v>
      </c>
      <c r="HA142" s="62">
        <f t="shared" si="160"/>
        <v>179.22995976651015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9">
        <f t="shared" si="110"/>
        <v>426.8352557054219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300.14399999999927</v>
      </c>
      <c r="P143" s="14">
        <f t="shared" si="141"/>
        <v>71.206650563609728</v>
      </c>
      <c r="Q143" s="22">
        <f t="shared" si="108"/>
        <v>646.76904973161891</v>
      </c>
      <c r="R143" s="62">
        <f t="shared" si="109"/>
        <v>940.10238306495216</v>
      </c>
      <c r="S143" s="62">
        <f ca="1">AVERAGE(OFFSET($R$3,0,0,'Données projet'!$E$9+1,1))-AVERAGE(OFFSET($H$3,0,0,'Données projet'!$E$9+1,1))</f>
        <v>383.26814640166805</v>
      </c>
      <c r="T143" s="62">
        <f t="shared" si="142"/>
        <v>233.71216103405249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6.1186256061773749E-14</v>
      </c>
      <c r="AK143" s="14">
        <f t="shared" si="143"/>
        <v>9.7328366192051127E-13</v>
      </c>
      <c r="AL143" s="22">
        <f t="shared" si="112"/>
        <v>1.8017017738191463E-12</v>
      </c>
      <c r="AM143" s="62">
        <f t="shared" si="113"/>
        <v>293.33333333333513</v>
      </c>
      <c r="AN143" s="62">
        <f ca="1">AVERAGE(OFFSET($AM$3,0,0,'Données projet'!$E$10+1,1))-AVERAGE(OFFSET($H$3,0,0,'Données projet'!$E$10+1,1))</f>
        <v>205.99910063756408</v>
      </c>
      <c r="AO143" s="62">
        <f t="shared" si="144"/>
        <v>128.95330275493671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293.3333333333353</v>
      </c>
      <c r="BI143" s="62">
        <f ca="1">AVERAGE(OFFSET($BH$3,0,0,'Données projet'!$E$11+1,1))-AVERAGE(OFFSET($H$3,0,0,'Données projet'!$E$11+1,1))</f>
        <v>222.20580087523689</v>
      </c>
      <c r="BJ143" s="62">
        <f t="shared" si="146"/>
        <v>232.08940427392253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1.1330947628808266</v>
      </c>
      <c r="BQ143" s="23">
        <f>EXP(-LN(2)/25)*BQ142+(1-EXP(-LN(2)/25))/(LN(2)/25)*Calculateur!BL143*Calculateur!BN143*VLOOKUP('Données projet'!$B$11,Paramètres!$A$1:$I$89,3,0)*0.475*44/12</f>
        <v>0.77851169506196427</v>
      </c>
      <c r="BR143" s="23">
        <f>EXP(-LN(2)/2)*BR142+(1-EXP(-LN(2)/2))/(LN(2)/2)*BL143*BO143*VLOOKUP('Données projet'!$B$11,Paramètres!$A$1:$I$89,3,0)*0.475*44/12</f>
        <v>1.7596926543472346E-16</v>
      </c>
      <c r="BS143" s="24">
        <f t="shared" si="117"/>
        <v>1.9116064579427909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5.1159076974727213E-13</v>
      </c>
      <c r="BZ143" s="14">
        <f>BY143*VLOOKUP('Données projet'!$B$12,Paramètres!$A$1:$I$89,3,0)*VLOOKUP('Données projet'!$B$12,Paramètres!$A$1:$I$89,5,0)</f>
        <v>2.3942448024172334E-13</v>
      </c>
      <c r="CA143" s="14">
        <f t="shared" si="147"/>
        <v>3.2492669905861755E-12</v>
      </c>
      <c r="CB143" s="22">
        <f t="shared" si="118"/>
        <v>6.0761376450252565E-12</v>
      </c>
      <c r="CC143" s="62">
        <f t="shared" si="119"/>
        <v>293.3333333333394</v>
      </c>
      <c r="CD143" s="62">
        <f ca="1">AVERAGE(OFFSET($CC$3,0,0,'Données projet'!$E$12+1,1))-AVERAGE(OFFSET($H$3,0,0,'Données projet'!$E$12+1,1))</f>
        <v>179.14256291235466</v>
      </c>
      <c r="CE143" s="62">
        <f t="shared" si="148"/>
        <v>107.5256983607585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-2.8421709430404007E-13</v>
      </c>
      <c r="CU143" s="18">
        <f>CT143*VLOOKUP('Données projet'!$B$13,Paramètres!$A$1:$I$89,3,0)*VLOOKUP('Données projet'!$B$13,Paramètres!$A$1:$I$89,5,0)</f>
        <v>-1.69961822393816E-13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237.03649693529445</v>
      </c>
      <c r="CZ143" s="62">
        <f t="shared" si="150"/>
        <v>191.04289411674887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1.4607396895531367E-16</v>
      </c>
      <c r="DI143" s="24">
        <f t="shared" si="123"/>
        <v>1.4607396895531367E-16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305.79000000000002</v>
      </c>
      <c r="DM143" s="13">
        <f>VLOOKUP(A143,'Données projet'!$A$165:$I$185,9,0)</f>
        <v>2.8509999999999991</v>
      </c>
      <c r="DN143" s="13">
        <f t="array" ref="DN143">INDEX(DM:DM,MIN(IF(ISNUMBER(DM143:DM339),ROW(DM143:DM339),"")))</f>
        <v>2.8509999999999991</v>
      </c>
      <c r="DO143" s="13">
        <f>IF('Données projet'!$A$166&gt;35,DO142+DN143-DW142,IF(A143&lt;'Données projet'!$A$166,$DL$205^A143,IF(A143='Données projet'!$A$166,'Données projet'!$B$166,DO142+DN143-DW142)))</f>
        <v>305.7900000000003</v>
      </c>
      <c r="DP143" s="18">
        <f>DO143*VLOOKUP('Données projet'!$B$14,Paramètres!$A$1:$I$89,3,0)*VLOOKUP('Données projet'!$B$14,Paramètres!$A$1:$I$89,5,0)</f>
        <v>352.27008000000035</v>
      </c>
      <c r="DQ143" s="14">
        <f t="shared" si="151"/>
        <v>82.029768262924264</v>
      </c>
      <c r="DR143" s="22">
        <f t="shared" si="124"/>
        <v>756.40556905792698</v>
      </c>
      <c r="DS143" s="62">
        <f t="shared" si="125"/>
        <v>1049.7389023912604</v>
      </c>
      <c r="DT143" s="62">
        <f ca="1">AVERAGE(OFFSET($DS$3,0,0,'Données projet'!$E$14+1,1))-AVERAGE(OFFSET($H$3,0,0,'Données projet'!$E$14+1,1))</f>
        <v>431.38469096974364</v>
      </c>
      <c r="DU143" s="62">
        <f t="shared" si="152"/>
        <v>295.48627059086647</v>
      </c>
      <c r="DV143" s="16">
        <f>IF(ISNA(VLOOKUP(A143,'Données projet'!$A$165:$I$185,3,0)),0,VLOOKUP(A143,'Données projet'!$A$165:$I$185,3,0))</f>
        <v>14</v>
      </c>
      <c r="DW143" s="16">
        <f>IF(ISNA(VLOOKUP(A143,'Données projet'!$A$165:$I$185,4,0)),0,VLOOKUP(A143,'Données projet'!$A$165:$I$185,4,0))</f>
        <v>20.5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4.6396374757145045E-2</v>
      </c>
      <c r="EC143" s="23">
        <f>EXP(-LN(2)/2)*EC142+(1-EXP(-LN(2)/2))/(LN(2)/2)*DW143*DZ143*VLOOKUP('Données projet'!$B$14,Paramètres!$A$1:$I$89,3,0)*0.475*44/12</f>
        <v>1.0653797845382979E-16</v>
      </c>
      <c r="ED143" s="24">
        <f t="shared" si="126"/>
        <v>4.6396374757145149E-2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6.4733285398688169E-14</v>
      </c>
      <c r="EL143" s="14">
        <f t="shared" si="153"/>
        <v>1.0229736701638572E-12</v>
      </c>
      <c r="EM143" s="22">
        <f t="shared" si="127"/>
        <v>1.8944229476047665E-12</v>
      </c>
      <c r="EN143" s="62">
        <f t="shared" si="128"/>
        <v>293.33333333333519</v>
      </c>
      <c r="EO143" s="62">
        <f ca="1">AVERAGE(OFFSET($EN$3,0,0,'Données projet'!$E$15+1,1))-AVERAGE(OFFSET($H$3,0,0,'Données projet'!$E$15+1,1))</f>
        <v>220.03635832253951</v>
      </c>
      <c r="EP143" s="62">
        <f t="shared" si="154"/>
        <v>136.30639155882233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490.00000000000091</v>
      </c>
      <c r="FF143" s="18">
        <f>FE143*VLOOKUP('Données projet'!$B$16,Paramètres!$A$1:$I$89,3,0)*VLOOKUP('Données projet'!$B$16,Paramètres!$A$1:$I$89,5,0)</f>
        <v>512.14800000000105</v>
      </c>
      <c r="FG143" s="14">
        <f t="shared" si="155"/>
        <v>114.17576021740676</v>
      </c>
      <c r="FH143" s="22">
        <f t="shared" si="130"/>
        <v>1090.8472157119852</v>
      </c>
      <c r="FI143" s="62">
        <f t="shared" si="131"/>
        <v>1384.1805490453185</v>
      </c>
      <c r="FJ143" s="62">
        <f ca="1">AVERAGE(OFFSET($FI$3,0,0,'Données projet'!$E$16+1,1))-AVERAGE(OFFSET($H$3,0,0,'Données projet'!$E$16+1,1))</f>
        <v>641.62708445664862</v>
      </c>
      <c r="FK143" s="62">
        <f t="shared" si="156"/>
        <v>379.46845863546929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6.0218039680266035E-16</v>
      </c>
      <c r="FT143" s="24">
        <f t="shared" si="132"/>
        <v>6.0218039680266035E-16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5.6843418860808015E-14</v>
      </c>
      <c r="GA143" s="18">
        <f>FZ143*VLOOKUP('Données projet'!$B$17,Paramètres!$A$1:$I$89,3,0)*VLOOKUP('Données projet'!$B$17,Paramètres!$A$1:$I$89,5,0)</f>
        <v>5.4978954722173515E-14</v>
      </c>
      <c r="GB143" s="14">
        <f t="shared" si="157"/>
        <v>8.8550225887742724E-13</v>
      </c>
      <c r="GC143" s="22">
        <f t="shared" si="133"/>
        <v>1.6380047803526383E-12</v>
      </c>
      <c r="GD143" s="62">
        <f t="shared" si="134"/>
        <v>293.33333333333496</v>
      </c>
      <c r="GE143" s="62">
        <f ca="1">AVERAGE(OFFSET($GD$3,0,0,'Données projet'!$E$17+1,1))-AVERAGE(OFFSET($H$3,0,0,'Données projet'!$E$17+1,1))</f>
        <v>181.39066880931728</v>
      </c>
      <c r="GF143" s="62">
        <f t="shared" si="158"/>
        <v>116.06078566855524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-1.7053025658242404E-13</v>
      </c>
      <c r="GV143" s="18">
        <f>GU143*VLOOKUP('Données projet'!$B$18,Paramètres!$A$1:$I$89,3,0)*VLOOKUP('Données projet'!$B$18,Paramètres!$A$1:$I$89,5,0)</f>
        <v>-1.4897523215040567E-13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152.84277478695606</v>
      </c>
      <c r="HA143" s="62">
        <f t="shared" si="160"/>
        <v>179.22995976651015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9">
        <f t="shared" si="110"/>
        <v>428.01985626539732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275.19959999999924</v>
      </c>
      <c r="P144" s="14">
        <f t="shared" si="141"/>
        <v>65.951527620662489</v>
      </c>
      <c r="Q144" s="22">
        <f t="shared" si="108"/>
        <v>594.17154727265245</v>
      </c>
      <c r="R144" s="62">
        <f t="shared" si="109"/>
        <v>887.50488060598582</v>
      </c>
      <c r="S144" s="62">
        <f ca="1">AVERAGE(OFFSET($R$3,0,0,'Données projet'!$E$9+1,1))-AVERAGE(OFFSET($H$3,0,0,'Données projet'!$E$9+1,1))</f>
        <v>383.26814640166805</v>
      </c>
      <c r="T144" s="62">
        <f t="shared" si="142"/>
        <v>233.71216103405249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6.1186256061773749E-14</v>
      </c>
      <c r="AK144" s="14">
        <f t="shared" si="143"/>
        <v>9.7328366192051127E-13</v>
      </c>
      <c r="AL144" s="22">
        <f t="shared" si="112"/>
        <v>1.8017017738191463E-12</v>
      </c>
      <c r="AM144" s="62">
        <f t="shared" si="113"/>
        <v>293.33333333333513</v>
      </c>
      <c r="AN144" s="62">
        <f ca="1">AVERAGE(OFFSET($AM$3,0,0,'Données projet'!$E$10+1,1))-AVERAGE(OFFSET($H$3,0,0,'Données projet'!$E$10+1,1))</f>
        <v>205.99910063756408</v>
      </c>
      <c r="AO144" s="62">
        <f t="shared" si="144"/>
        <v>128.95330275493671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293.3333333333353</v>
      </c>
      <c r="BI144" s="62">
        <f ca="1">AVERAGE(OFFSET($BH$3,0,0,'Données projet'!$E$11+1,1))-AVERAGE(OFFSET($H$3,0,0,'Données projet'!$E$11+1,1))</f>
        <v>222.20580087523689</v>
      </c>
      <c r="BJ144" s="62">
        <f t="shared" si="146"/>
        <v>232.08940427392253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1.1108754657002966</v>
      </c>
      <c r="BQ144" s="23">
        <f>EXP(-LN(2)/25)*BQ143+(1-EXP(-LN(2)/25))/(LN(2)/25)*Calculateur!BL144*Calculateur!BN144*VLOOKUP('Données projet'!$B$11,Paramètres!$A$1:$I$89,3,0)*0.475*44/12</f>
        <v>0.75722325182034411</v>
      </c>
      <c r="BR144" s="23">
        <f>EXP(-LN(2)/2)*BR143+(1-EXP(-LN(2)/2))/(LN(2)/2)*BL144*BO144*VLOOKUP('Données projet'!$B$11,Paramètres!$A$1:$I$89,3,0)*0.475*44/12</f>
        <v>1.244290608693085E-16</v>
      </c>
      <c r="BS144" s="24">
        <f t="shared" si="117"/>
        <v>1.8680987175206409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5.1159076974727213E-13</v>
      </c>
      <c r="BZ144" s="14">
        <f>BY144*VLOOKUP('Données projet'!$B$12,Paramètres!$A$1:$I$89,3,0)*VLOOKUP('Données projet'!$B$12,Paramètres!$A$1:$I$89,5,0)</f>
        <v>2.3942448024172334E-13</v>
      </c>
      <c r="CA144" s="14">
        <f t="shared" si="147"/>
        <v>3.2492669905861755E-12</v>
      </c>
      <c r="CB144" s="22">
        <f t="shared" si="118"/>
        <v>6.0761376450252565E-12</v>
      </c>
      <c r="CC144" s="62">
        <f t="shared" si="119"/>
        <v>293.3333333333394</v>
      </c>
      <c r="CD144" s="62">
        <f ca="1">AVERAGE(OFFSET($CC$3,0,0,'Données projet'!$E$12+1,1))-AVERAGE(OFFSET($H$3,0,0,'Données projet'!$E$12+1,1))</f>
        <v>179.14256291235466</v>
      </c>
      <c r="CE144" s="62">
        <f t="shared" si="148"/>
        <v>107.5256983607585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-2.8421709430404007E-13</v>
      </c>
      <c r="CU144" s="18">
        <f>CT144*VLOOKUP('Données projet'!$B$13,Paramètres!$A$1:$I$89,3,0)*VLOOKUP('Données projet'!$B$13,Paramètres!$A$1:$I$89,5,0)</f>
        <v>-1.69961822393816E-13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237.03649693529445</v>
      </c>
      <c r="CZ144" s="62">
        <f t="shared" si="150"/>
        <v>191.04289411674887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1.0328989400313552E-16</v>
      </c>
      <c r="DI144" s="24">
        <f t="shared" si="123"/>
        <v>1.0328989400313552E-16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2.7219999999999969</v>
      </c>
      <c r="DO144" s="13">
        <f>IF('Données projet'!$A$166&gt;35,DO143+DN144-DW143,IF(A144&lt;'Données projet'!$A$166,$DL$205^A144,IF(A144='Données projet'!$A$166,'Données projet'!$B$166,DO143+DN144-DW143)))</f>
        <v>288.01200000000028</v>
      </c>
      <c r="DP144" s="18">
        <f>DO144*VLOOKUP('Données projet'!$B$14,Paramètres!$A$1:$I$89,3,0)*VLOOKUP('Données projet'!$B$14,Paramètres!$A$1:$I$89,5,0)</f>
        <v>331.78982400000029</v>
      </c>
      <c r="DQ144" s="14">
        <f t="shared" si="151"/>
        <v>77.801266453372406</v>
      </c>
      <c r="DR144" s="22">
        <f t="shared" si="124"/>
        <v>713.37114920629074</v>
      </c>
      <c r="DS144" s="62">
        <f t="shared" si="125"/>
        <v>1006.704482539624</v>
      </c>
      <c r="DT144" s="62">
        <f ca="1">AVERAGE(OFFSET($DS$3,0,0,'Données projet'!$E$14+1,1))-AVERAGE(OFFSET($H$3,0,0,'Données projet'!$E$14+1,1))</f>
        <v>431.38469096974364</v>
      </c>
      <c r="DU144" s="62">
        <f t="shared" si="152"/>
        <v>295.48627059086647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4.5127663449531605E-2</v>
      </c>
      <c r="EC144" s="23">
        <f>EXP(-LN(2)/2)*EC143+(1-EXP(-LN(2)/2))/(LN(2)/2)*DW144*DZ144*VLOOKUP('Données projet'!$B$14,Paramètres!$A$1:$I$89,3,0)*0.475*44/12</f>
        <v>7.5333727018609333E-17</v>
      </c>
      <c r="ED144" s="24">
        <f t="shared" si="126"/>
        <v>4.5127663449531681E-2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6.4733285398688169E-14</v>
      </c>
      <c r="EL144" s="14">
        <f t="shared" si="153"/>
        <v>1.0229736701638572E-12</v>
      </c>
      <c r="EM144" s="22">
        <f t="shared" si="127"/>
        <v>1.8944229476047665E-12</v>
      </c>
      <c r="EN144" s="62">
        <f t="shared" si="128"/>
        <v>293.33333333333519</v>
      </c>
      <c r="EO144" s="62">
        <f ca="1">AVERAGE(OFFSET($EN$3,0,0,'Données projet'!$E$15+1,1))-AVERAGE(OFFSET($H$3,0,0,'Données projet'!$E$15+1,1))</f>
        <v>220.03635832253951</v>
      </c>
      <c r="EP144" s="62">
        <f t="shared" si="154"/>
        <v>136.30639155882233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490.00000000000091</v>
      </c>
      <c r="FF144" s="18">
        <f>FE144*VLOOKUP('Données projet'!$B$16,Paramètres!$A$1:$I$89,3,0)*VLOOKUP('Données projet'!$B$16,Paramètres!$A$1:$I$89,5,0)</f>
        <v>512.14800000000105</v>
      </c>
      <c r="FG144" s="14">
        <f t="shared" si="155"/>
        <v>114.17576021740676</v>
      </c>
      <c r="FH144" s="22">
        <f t="shared" si="130"/>
        <v>1090.8472157119852</v>
      </c>
      <c r="FI144" s="62">
        <f t="shared" si="131"/>
        <v>1384.1805490453185</v>
      </c>
      <c r="FJ144" s="62">
        <f ca="1">AVERAGE(OFFSET($FI$3,0,0,'Données projet'!$E$16+1,1))-AVERAGE(OFFSET($H$3,0,0,'Données projet'!$E$16+1,1))</f>
        <v>641.62708445664862</v>
      </c>
      <c r="FK144" s="62">
        <f t="shared" si="156"/>
        <v>379.46845863546929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4.2580584207676712E-16</v>
      </c>
      <c r="FT144" s="24">
        <f t="shared" si="132"/>
        <v>4.2580584207676712E-16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5.6843418860808015E-14</v>
      </c>
      <c r="GA144" s="18">
        <f>FZ144*VLOOKUP('Données projet'!$B$17,Paramètres!$A$1:$I$89,3,0)*VLOOKUP('Données projet'!$B$17,Paramètres!$A$1:$I$89,5,0)</f>
        <v>5.4978954722173515E-14</v>
      </c>
      <c r="GB144" s="14">
        <f t="shared" si="157"/>
        <v>8.8550225887742724E-13</v>
      </c>
      <c r="GC144" s="22">
        <f t="shared" si="133"/>
        <v>1.6380047803526383E-12</v>
      </c>
      <c r="GD144" s="62">
        <f t="shared" si="134"/>
        <v>293.33333333333496</v>
      </c>
      <c r="GE144" s="62">
        <f ca="1">AVERAGE(OFFSET($GD$3,0,0,'Données projet'!$E$17+1,1))-AVERAGE(OFFSET($H$3,0,0,'Données projet'!$E$17+1,1))</f>
        <v>181.39066880931728</v>
      </c>
      <c r="GF144" s="62">
        <f t="shared" si="158"/>
        <v>116.06078566855524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-1.7053025658242404E-13</v>
      </c>
      <c r="GV144" s="18">
        <f>GU144*VLOOKUP('Données projet'!$B$18,Paramètres!$A$1:$I$89,3,0)*VLOOKUP('Données projet'!$B$18,Paramètres!$A$1:$I$89,5,0)</f>
        <v>-1.4897523215040567E-13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152.84277478695606</v>
      </c>
      <c r="HA144" s="62">
        <f t="shared" si="160"/>
        <v>179.22995976651015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9">
        <f t="shared" si="110"/>
        <v>429.20426401726365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277.63319999999919</v>
      </c>
      <c r="P145" s="14">
        <f t="shared" si="141"/>
        <v>66.466589162975524</v>
      </c>
      <c r="Q145" s="22">
        <f t="shared" si="108"/>
        <v>599.30713279218094</v>
      </c>
      <c r="R145" s="62">
        <f t="shared" si="109"/>
        <v>892.64046612551419</v>
      </c>
      <c r="S145" s="62">
        <f ca="1">AVERAGE(OFFSET($R$3,0,0,'Données projet'!$E$9+1,1))-AVERAGE(OFFSET($H$3,0,0,'Données projet'!$E$9+1,1))</f>
        <v>383.26814640166805</v>
      </c>
      <c r="T145" s="62">
        <f t="shared" si="142"/>
        <v>233.71216103405249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6.1186256061773749E-14</v>
      </c>
      <c r="AK145" s="14">
        <f t="shared" si="143"/>
        <v>9.7328366192051127E-13</v>
      </c>
      <c r="AL145" s="22">
        <f t="shared" si="112"/>
        <v>1.8017017738191463E-12</v>
      </c>
      <c r="AM145" s="62">
        <f t="shared" si="113"/>
        <v>293.33333333333513</v>
      </c>
      <c r="AN145" s="62">
        <f ca="1">AVERAGE(OFFSET($AM$3,0,0,'Données projet'!$E$10+1,1))-AVERAGE(OFFSET($H$3,0,0,'Données projet'!$E$10+1,1))</f>
        <v>205.99910063756408</v>
      </c>
      <c r="AO145" s="62">
        <f t="shared" si="144"/>
        <v>128.95330275493671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293.3333333333353</v>
      </c>
      <c r="BI145" s="62">
        <f ca="1">AVERAGE(OFFSET($BH$3,0,0,'Données projet'!$E$11+1,1))-AVERAGE(OFFSET($H$3,0,0,'Données projet'!$E$11+1,1))</f>
        <v>222.20580087523689</v>
      </c>
      <c r="BJ145" s="62">
        <f t="shared" si="146"/>
        <v>232.08940427392253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1.0890918753850436</v>
      </c>
      <c r="BQ145" s="23">
        <f>EXP(-LN(2)/25)*BQ144+(1-EXP(-LN(2)/25))/(LN(2)/25)*Calculateur!BL145*Calculateur!BN145*VLOOKUP('Données projet'!$B$11,Paramètres!$A$1:$I$89,3,0)*0.475*44/12</f>
        <v>0.73651694217867669</v>
      </c>
      <c r="BR145" s="23">
        <f>EXP(-LN(2)/2)*BR144+(1-EXP(-LN(2)/2))/(LN(2)/2)*BL145*BO145*VLOOKUP('Données projet'!$B$11,Paramètres!$A$1:$I$89,3,0)*0.475*44/12</f>
        <v>8.7984632717361729E-17</v>
      </c>
      <c r="BS145" s="24">
        <f t="shared" si="117"/>
        <v>1.8256088175637202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5.1159076974727213E-13</v>
      </c>
      <c r="BZ145" s="14">
        <f>BY145*VLOOKUP('Données projet'!$B$12,Paramètres!$A$1:$I$89,3,0)*VLOOKUP('Données projet'!$B$12,Paramètres!$A$1:$I$89,5,0)</f>
        <v>2.3942448024172334E-13</v>
      </c>
      <c r="CA145" s="14">
        <f t="shared" si="147"/>
        <v>3.2492669905861755E-12</v>
      </c>
      <c r="CB145" s="22">
        <f t="shared" si="118"/>
        <v>6.0761376450252565E-12</v>
      </c>
      <c r="CC145" s="62">
        <f t="shared" si="119"/>
        <v>293.3333333333394</v>
      </c>
      <c r="CD145" s="62">
        <f ca="1">AVERAGE(OFFSET($CC$3,0,0,'Données projet'!$E$12+1,1))-AVERAGE(OFFSET($H$3,0,0,'Données projet'!$E$12+1,1))</f>
        <v>179.14256291235466</v>
      </c>
      <c r="CE145" s="62">
        <f t="shared" si="148"/>
        <v>107.5256983607585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-2.8421709430404007E-13</v>
      </c>
      <c r="CU145" s="18">
        <f>CT145*VLOOKUP('Données projet'!$B$13,Paramètres!$A$1:$I$89,3,0)*VLOOKUP('Données projet'!$B$13,Paramètres!$A$1:$I$89,5,0)</f>
        <v>-1.69961822393816E-13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237.03649693529445</v>
      </c>
      <c r="CZ145" s="62">
        <f t="shared" si="150"/>
        <v>191.04289411674887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7.3036984477656836E-17</v>
      </c>
      <c r="DI145" s="24">
        <f t="shared" si="123"/>
        <v>7.3036984477656836E-17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2.7219999999999969</v>
      </c>
      <c r="DO145" s="13">
        <f>IF('Données projet'!$A$166&gt;35,DO144+DN145-DW144,IF(A145&lt;'Données projet'!$A$166,$DL$205^A145,IF(A145='Données projet'!$A$166,'Données projet'!$B$166,DO144+DN145-DW144)))</f>
        <v>290.73400000000026</v>
      </c>
      <c r="DP145" s="18">
        <f>DO145*VLOOKUP('Données projet'!$B$14,Paramètres!$A$1:$I$89,3,0)*VLOOKUP('Données projet'!$B$14,Paramètres!$A$1:$I$89,5,0)</f>
        <v>334.92556800000028</v>
      </c>
      <c r="DQ145" s="14">
        <f t="shared" si="151"/>
        <v>78.450620871166507</v>
      </c>
      <c r="DR145" s="22">
        <f t="shared" si="124"/>
        <v>719.96352895061545</v>
      </c>
      <c r="DS145" s="62">
        <f t="shared" si="125"/>
        <v>1013.2968622839487</v>
      </c>
      <c r="DT145" s="62">
        <f ca="1">AVERAGE(OFFSET($DS$3,0,0,'Données projet'!$E$14+1,1))-AVERAGE(OFFSET($H$3,0,0,'Données projet'!$E$14+1,1))</f>
        <v>431.38469096974364</v>
      </c>
      <c r="DU145" s="62">
        <f t="shared" si="152"/>
        <v>295.48627059086647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4.3893645119343482E-2</v>
      </c>
      <c r="EC145" s="23">
        <f>EXP(-LN(2)/2)*EC144+(1-EXP(-LN(2)/2))/(LN(2)/2)*DW145*DZ145*VLOOKUP('Données projet'!$B$14,Paramètres!$A$1:$I$89,3,0)*0.475*44/12</f>
        <v>5.3268989226914893E-17</v>
      </c>
      <c r="ED145" s="24">
        <f t="shared" si="126"/>
        <v>4.3893645119343537E-2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6.4733285398688169E-14</v>
      </c>
      <c r="EL145" s="14">
        <f t="shared" si="153"/>
        <v>1.0229736701638572E-12</v>
      </c>
      <c r="EM145" s="22">
        <f t="shared" si="127"/>
        <v>1.8944229476047665E-12</v>
      </c>
      <c r="EN145" s="62">
        <f t="shared" si="128"/>
        <v>293.33333333333519</v>
      </c>
      <c r="EO145" s="62">
        <f ca="1">AVERAGE(OFFSET($EN$3,0,0,'Données projet'!$E$15+1,1))-AVERAGE(OFFSET($H$3,0,0,'Données projet'!$E$15+1,1))</f>
        <v>220.03635832253951</v>
      </c>
      <c r="EP145" s="62">
        <f t="shared" si="154"/>
        <v>136.30639155882233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490.00000000000091</v>
      </c>
      <c r="FF145" s="18">
        <f>FE145*VLOOKUP('Données projet'!$B$16,Paramètres!$A$1:$I$89,3,0)*VLOOKUP('Données projet'!$B$16,Paramètres!$A$1:$I$89,5,0)</f>
        <v>512.14800000000105</v>
      </c>
      <c r="FG145" s="14">
        <f t="shared" si="155"/>
        <v>114.17576021740676</v>
      </c>
      <c r="FH145" s="22">
        <f t="shared" si="130"/>
        <v>1090.8472157119852</v>
      </c>
      <c r="FI145" s="62">
        <f t="shared" si="131"/>
        <v>1384.1805490453185</v>
      </c>
      <c r="FJ145" s="62">
        <f ca="1">AVERAGE(OFFSET($FI$3,0,0,'Données projet'!$E$16+1,1))-AVERAGE(OFFSET($H$3,0,0,'Données projet'!$E$16+1,1))</f>
        <v>641.62708445664862</v>
      </c>
      <c r="FK145" s="62">
        <f t="shared" si="156"/>
        <v>379.46845863546929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3.0109019840133018E-16</v>
      </c>
      <c r="FT145" s="24">
        <f t="shared" si="132"/>
        <v>3.0109019840133018E-16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5.6843418860808015E-14</v>
      </c>
      <c r="GA145" s="18">
        <f>FZ145*VLOOKUP('Données projet'!$B$17,Paramètres!$A$1:$I$89,3,0)*VLOOKUP('Données projet'!$B$17,Paramètres!$A$1:$I$89,5,0)</f>
        <v>5.4978954722173515E-14</v>
      </c>
      <c r="GB145" s="14">
        <f t="shared" si="157"/>
        <v>8.8550225887742724E-13</v>
      </c>
      <c r="GC145" s="22">
        <f t="shared" si="133"/>
        <v>1.6380047803526383E-12</v>
      </c>
      <c r="GD145" s="62">
        <f t="shared" si="134"/>
        <v>293.33333333333496</v>
      </c>
      <c r="GE145" s="62">
        <f ca="1">AVERAGE(OFFSET($GD$3,0,0,'Données projet'!$E$17+1,1))-AVERAGE(OFFSET($H$3,0,0,'Données projet'!$E$17+1,1))</f>
        <v>181.39066880931728</v>
      </c>
      <c r="GF145" s="62">
        <f t="shared" si="158"/>
        <v>116.06078566855524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-1.7053025658242404E-13</v>
      </c>
      <c r="GV145" s="18">
        <f>GU145*VLOOKUP('Données projet'!$B$18,Paramètres!$A$1:$I$89,3,0)*VLOOKUP('Données projet'!$B$18,Paramètres!$A$1:$I$89,5,0)</f>
        <v>-1.4897523215040567E-13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152.84277478695606</v>
      </c>
      <c r="HA145" s="62">
        <f t="shared" si="160"/>
        <v>179.22995976651015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9">
        <f t="shared" si="110"/>
        <v>430.38848047627687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280.0667999999992</v>
      </c>
      <c r="P146" s="14">
        <f t="shared" si="141"/>
        <v>66.981125445388756</v>
      </c>
      <c r="Q146" s="22">
        <f t="shared" si="108"/>
        <v>604.44180348405064</v>
      </c>
      <c r="R146" s="62">
        <f t="shared" si="109"/>
        <v>897.77513681738401</v>
      </c>
      <c r="S146" s="62">
        <f ca="1">AVERAGE(OFFSET($R$3,0,0,'Données projet'!$E$9+1,1))-AVERAGE(OFFSET($H$3,0,0,'Données projet'!$E$9+1,1))</f>
        <v>383.26814640166805</v>
      </c>
      <c r="T146" s="62">
        <f t="shared" si="142"/>
        <v>233.71216103405249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6.1186256061773749E-14</v>
      </c>
      <c r="AK146" s="14">
        <f t="shared" si="143"/>
        <v>9.7328366192051127E-13</v>
      </c>
      <c r="AL146" s="22">
        <f t="shared" si="112"/>
        <v>1.8017017738191463E-12</v>
      </c>
      <c r="AM146" s="62">
        <f t="shared" si="113"/>
        <v>293.33333333333513</v>
      </c>
      <c r="AN146" s="62">
        <f ca="1">AVERAGE(OFFSET($AM$3,0,0,'Données projet'!$E$10+1,1))-AVERAGE(OFFSET($H$3,0,0,'Données projet'!$E$10+1,1))</f>
        <v>205.99910063756408</v>
      </c>
      <c r="AO146" s="62">
        <f t="shared" si="144"/>
        <v>128.95330275493671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293.3333333333353</v>
      </c>
      <c r="BI146" s="62">
        <f ca="1">AVERAGE(OFFSET($BH$3,0,0,'Données projet'!$E$11+1,1))-AVERAGE(OFFSET($H$3,0,0,'Données projet'!$E$11+1,1))</f>
        <v>222.20580087523689</v>
      </c>
      <c r="BJ146" s="62">
        <f t="shared" si="146"/>
        <v>232.08940427392253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1.0677354479891947</v>
      </c>
      <c r="BQ146" s="23">
        <f>EXP(-LN(2)/25)*BQ145+(1-EXP(-LN(2)/25))/(LN(2)/25)*Calculateur!BL146*Calculateur!BN146*VLOOKUP('Données projet'!$B$11,Paramètres!$A$1:$I$89,3,0)*0.475*44/12</f>
        <v>0.71637684766305809</v>
      </c>
      <c r="BR146" s="23">
        <f>EXP(-LN(2)/2)*BR145+(1-EXP(-LN(2)/2))/(LN(2)/2)*BL146*BO146*VLOOKUP('Données projet'!$B$11,Paramètres!$A$1:$I$89,3,0)*0.475*44/12</f>
        <v>6.221453043465425E-17</v>
      </c>
      <c r="BS146" s="24">
        <f t="shared" si="117"/>
        <v>1.7841122956522528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5.1159076974727213E-13</v>
      </c>
      <c r="BZ146" s="14">
        <f>BY146*VLOOKUP('Données projet'!$B$12,Paramètres!$A$1:$I$89,3,0)*VLOOKUP('Données projet'!$B$12,Paramètres!$A$1:$I$89,5,0)</f>
        <v>2.3942448024172334E-13</v>
      </c>
      <c r="CA146" s="14">
        <f t="shared" si="147"/>
        <v>3.2492669905861755E-12</v>
      </c>
      <c r="CB146" s="22">
        <f t="shared" si="118"/>
        <v>6.0761376450252565E-12</v>
      </c>
      <c r="CC146" s="62">
        <f t="shared" si="119"/>
        <v>293.3333333333394</v>
      </c>
      <c r="CD146" s="62">
        <f ca="1">AVERAGE(OFFSET($CC$3,0,0,'Données projet'!$E$12+1,1))-AVERAGE(OFFSET($H$3,0,0,'Données projet'!$E$12+1,1))</f>
        <v>179.14256291235466</v>
      </c>
      <c r="CE146" s="62">
        <f t="shared" si="148"/>
        <v>107.5256983607585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-2.8421709430404007E-13</v>
      </c>
      <c r="CU146" s="18">
        <f>CT146*VLOOKUP('Données projet'!$B$13,Paramètres!$A$1:$I$89,3,0)*VLOOKUP('Données projet'!$B$13,Paramètres!$A$1:$I$89,5,0)</f>
        <v>-1.69961822393816E-13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237.03649693529445</v>
      </c>
      <c r="CZ146" s="62">
        <f t="shared" si="150"/>
        <v>191.04289411674887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5.1644947001567761E-17</v>
      </c>
      <c r="DI146" s="24">
        <f t="shared" si="123"/>
        <v>5.1644947001567761E-17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2.7219999999999969</v>
      </c>
      <c r="DO146" s="13">
        <f>IF('Données projet'!$A$166&gt;35,DO145+DN146-DW145,IF(A146&lt;'Données projet'!$A$166,$DL$205^A146,IF(A146='Données projet'!$A$166,'Données projet'!$B$166,DO145+DN146-DW145)))</f>
        <v>293.45600000000024</v>
      </c>
      <c r="DP146" s="18">
        <f>DO146*VLOOKUP('Données projet'!$B$14,Paramètres!$A$1:$I$89,3,0)*VLOOKUP('Données projet'!$B$14,Paramètres!$A$1:$I$89,5,0)</f>
        <v>338.06131200000027</v>
      </c>
      <c r="DQ146" s="14">
        <f t="shared" si="151"/>
        <v>79.099267999538355</v>
      </c>
      <c r="DR146" s="22">
        <f t="shared" si="124"/>
        <v>726.55467683252971</v>
      </c>
      <c r="DS146" s="62">
        <f t="shared" si="125"/>
        <v>1019.8880101658631</v>
      </c>
      <c r="DT146" s="62">
        <f ca="1">AVERAGE(OFFSET($DS$3,0,0,'Données projet'!$E$14+1,1))-AVERAGE(OFFSET($H$3,0,0,'Données projet'!$E$14+1,1))</f>
        <v>431.38469096974364</v>
      </c>
      <c r="DU146" s="62">
        <f t="shared" si="152"/>
        <v>295.48627059086647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4.2693371085288555E-2</v>
      </c>
      <c r="EC146" s="23">
        <f>EXP(-LN(2)/2)*EC145+(1-EXP(-LN(2)/2))/(LN(2)/2)*DW146*DZ146*VLOOKUP('Données projet'!$B$14,Paramètres!$A$1:$I$89,3,0)*0.475*44/12</f>
        <v>3.7666863509304666E-17</v>
      </c>
      <c r="ED146" s="24">
        <f t="shared" si="126"/>
        <v>4.2693371085288589E-2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6.4733285398688169E-14</v>
      </c>
      <c r="EL146" s="14">
        <f t="shared" si="153"/>
        <v>1.0229736701638572E-12</v>
      </c>
      <c r="EM146" s="22">
        <f t="shared" si="127"/>
        <v>1.8944229476047665E-12</v>
      </c>
      <c r="EN146" s="62">
        <f t="shared" si="128"/>
        <v>293.33333333333519</v>
      </c>
      <c r="EO146" s="62">
        <f ca="1">AVERAGE(OFFSET($EN$3,0,0,'Données projet'!$E$15+1,1))-AVERAGE(OFFSET($H$3,0,0,'Données projet'!$E$15+1,1))</f>
        <v>220.03635832253951</v>
      </c>
      <c r="EP146" s="62">
        <f t="shared" si="154"/>
        <v>136.30639155882233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490.00000000000091</v>
      </c>
      <c r="FF146" s="18">
        <f>FE146*VLOOKUP('Données projet'!$B$16,Paramètres!$A$1:$I$89,3,0)*VLOOKUP('Données projet'!$B$16,Paramètres!$A$1:$I$89,5,0)</f>
        <v>512.14800000000105</v>
      </c>
      <c r="FG146" s="14">
        <f t="shared" si="155"/>
        <v>114.17576021740676</v>
      </c>
      <c r="FH146" s="22">
        <f t="shared" si="130"/>
        <v>1090.8472157119852</v>
      </c>
      <c r="FI146" s="62">
        <f t="shared" si="131"/>
        <v>1384.1805490453185</v>
      </c>
      <c r="FJ146" s="62">
        <f ca="1">AVERAGE(OFFSET($FI$3,0,0,'Données projet'!$E$16+1,1))-AVERAGE(OFFSET($H$3,0,0,'Données projet'!$E$16+1,1))</f>
        <v>641.62708445664862</v>
      </c>
      <c r="FK146" s="62">
        <f t="shared" si="156"/>
        <v>379.46845863546929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2.1290292103838356E-16</v>
      </c>
      <c r="FT146" s="24">
        <f t="shared" si="132"/>
        <v>2.1290292103838356E-16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5.6843418860808015E-14</v>
      </c>
      <c r="GA146" s="18">
        <f>FZ146*VLOOKUP('Données projet'!$B$17,Paramètres!$A$1:$I$89,3,0)*VLOOKUP('Données projet'!$B$17,Paramètres!$A$1:$I$89,5,0)</f>
        <v>5.4978954722173515E-14</v>
      </c>
      <c r="GB146" s="14">
        <f t="shared" si="157"/>
        <v>8.8550225887742724E-13</v>
      </c>
      <c r="GC146" s="22">
        <f t="shared" si="133"/>
        <v>1.6380047803526383E-12</v>
      </c>
      <c r="GD146" s="62">
        <f t="shared" si="134"/>
        <v>293.33333333333496</v>
      </c>
      <c r="GE146" s="62">
        <f ca="1">AVERAGE(OFFSET($GD$3,0,0,'Données projet'!$E$17+1,1))-AVERAGE(OFFSET($H$3,0,0,'Données projet'!$E$17+1,1))</f>
        <v>181.39066880931728</v>
      </c>
      <c r="GF146" s="62">
        <f t="shared" si="158"/>
        <v>116.06078566855524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-1.7053025658242404E-13</v>
      </c>
      <c r="GV146" s="18">
        <f>GU146*VLOOKUP('Données projet'!$B$18,Paramètres!$A$1:$I$89,3,0)*VLOOKUP('Données projet'!$B$18,Paramètres!$A$1:$I$89,5,0)</f>
        <v>-1.4897523215040567E-13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152.84277478695606</v>
      </c>
      <c r="HA146" s="62">
        <f t="shared" si="160"/>
        <v>179.22995976651015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9">
        <f t="shared" si="110"/>
        <v>431.57250713527566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282.50039999999916</v>
      </c>
      <c r="P147" s="14">
        <f t="shared" si="141"/>
        <v>67.495141560894254</v>
      </c>
      <c r="Q147" s="22">
        <f t="shared" si="108"/>
        <v>609.57556821855599</v>
      </c>
      <c r="R147" s="62">
        <f t="shared" si="109"/>
        <v>902.90890155188936</v>
      </c>
      <c r="S147" s="62">
        <f ca="1">AVERAGE(OFFSET($R$3,0,0,'Données projet'!$E$9+1,1))-AVERAGE(OFFSET($H$3,0,0,'Données projet'!$E$9+1,1))</f>
        <v>383.26814640166805</v>
      </c>
      <c r="T147" s="62">
        <f t="shared" si="142"/>
        <v>233.71216103405249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6.1186256061773749E-14</v>
      </c>
      <c r="AK147" s="14">
        <f t="shared" si="143"/>
        <v>9.7328366192051127E-13</v>
      </c>
      <c r="AL147" s="22">
        <f t="shared" si="112"/>
        <v>1.8017017738191463E-12</v>
      </c>
      <c r="AM147" s="62">
        <f t="shared" si="113"/>
        <v>293.33333333333513</v>
      </c>
      <c r="AN147" s="62">
        <f ca="1">AVERAGE(OFFSET($AM$3,0,0,'Données projet'!$E$10+1,1))-AVERAGE(OFFSET($H$3,0,0,'Données projet'!$E$10+1,1))</f>
        <v>205.99910063756408</v>
      </c>
      <c r="AO147" s="62">
        <f t="shared" si="144"/>
        <v>128.95330275493671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293.3333333333353</v>
      </c>
      <c r="BI147" s="62">
        <f ca="1">AVERAGE(OFFSET($BH$3,0,0,'Données projet'!$E$11+1,1))-AVERAGE(OFFSET($H$3,0,0,'Données projet'!$E$11+1,1))</f>
        <v>222.20580087523689</v>
      </c>
      <c r="BJ147" s="62">
        <f t="shared" si="146"/>
        <v>232.08940427392253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1.0467978071084438</v>
      </c>
      <c r="BQ147" s="23">
        <f>EXP(-LN(2)/25)*BQ146+(1-EXP(-LN(2)/25))/(LN(2)/25)*Calculateur!BL147*Calculateur!BN147*VLOOKUP('Données projet'!$B$11,Paramètres!$A$1:$I$89,3,0)*0.475*44/12</f>
        <v>0.69678748509109067</v>
      </c>
      <c r="BR147" s="23">
        <f>EXP(-LN(2)/2)*BR146+(1-EXP(-LN(2)/2))/(LN(2)/2)*BL147*BO147*VLOOKUP('Données projet'!$B$11,Paramètres!$A$1:$I$89,3,0)*0.475*44/12</f>
        <v>4.3992316358680865E-17</v>
      </c>
      <c r="BS147" s="24">
        <f t="shared" si="117"/>
        <v>1.7435852921995345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5.1159076974727213E-13</v>
      </c>
      <c r="BZ147" s="14">
        <f>BY147*VLOOKUP('Données projet'!$B$12,Paramètres!$A$1:$I$89,3,0)*VLOOKUP('Données projet'!$B$12,Paramètres!$A$1:$I$89,5,0)</f>
        <v>2.3942448024172334E-13</v>
      </c>
      <c r="CA147" s="14">
        <f t="shared" si="147"/>
        <v>3.2492669905861755E-12</v>
      </c>
      <c r="CB147" s="22">
        <f t="shared" si="118"/>
        <v>6.0761376450252565E-12</v>
      </c>
      <c r="CC147" s="62">
        <f t="shared" si="119"/>
        <v>293.3333333333394</v>
      </c>
      <c r="CD147" s="62">
        <f ca="1">AVERAGE(OFFSET($CC$3,0,0,'Données projet'!$E$12+1,1))-AVERAGE(OFFSET($H$3,0,0,'Données projet'!$E$12+1,1))</f>
        <v>179.14256291235466</v>
      </c>
      <c r="CE147" s="62">
        <f t="shared" si="148"/>
        <v>107.5256983607585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-2.8421709430404007E-13</v>
      </c>
      <c r="CU147" s="18">
        <f>CT147*VLOOKUP('Données projet'!$B$13,Paramètres!$A$1:$I$89,3,0)*VLOOKUP('Données projet'!$B$13,Paramètres!$A$1:$I$89,5,0)</f>
        <v>-1.69961822393816E-13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237.03649693529445</v>
      </c>
      <c r="CZ147" s="62">
        <f t="shared" si="150"/>
        <v>191.04289411674887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3.6518492238828418E-17</v>
      </c>
      <c r="DI147" s="24">
        <f t="shared" si="123"/>
        <v>3.6518492238828418E-17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2.7219999999999969</v>
      </c>
      <c r="DO147" s="13">
        <f>IF('Données projet'!$A$166&gt;35,DO146+DN147-DW146,IF(A147&lt;'Données projet'!$A$166,$DL$205^A147,IF(A147='Données projet'!$A$166,'Données projet'!$B$166,DO146+DN147-DW146)))</f>
        <v>296.17800000000022</v>
      </c>
      <c r="DP147" s="18">
        <f>DO147*VLOOKUP('Données projet'!$B$14,Paramètres!$A$1:$I$89,3,0)*VLOOKUP('Données projet'!$B$14,Paramètres!$A$1:$I$89,5,0)</f>
        <v>341.19705600000026</v>
      </c>
      <c r="DQ147" s="14">
        <f t="shared" si="151"/>
        <v>79.747215158978662</v>
      </c>
      <c r="DR147" s="22">
        <f t="shared" si="124"/>
        <v>733.1446056018882</v>
      </c>
      <c r="DS147" s="62">
        <f t="shared" si="125"/>
        <v>1026.4779389352216</v>
      </c>
      <c r="DT147" s="62">
        <f ca="1">AVERAGE(OFFSET($DS$3,0,0,'Données projet'!$E$14+1,1))-AVERAGE(OFFSET($H$3,0,0,'Données projet'!$E$14+1,1))</f>
        <v>431.38469096974364</v>
      </c>
      <c r="DU147" s="62">
        <f t="shared" si="152"/>
        <v>295.48627059086647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4.152591860781453E-2</v>
      </c>
      <c r="EC147" s="23">
        <f>EXP(-LN(2)/2)*EC146+(1-EXP(-LN(2)/2))/(LN(2)/2)*DW147*DZ147*VLOOKUP('Données projet'!$B$14,Paramètres!$A$1:$I$89,3,0)*0.475*44/12</f>
        <v>2.6634494613457447E-17</v>
      </c>
      <c r="ED147" s="24">
        <f t="shared" si="126"/>
        <v>4.1525918607814558E-2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6.4733285398688169E-14</v>
      </c>
      <c r="EL147" s="14">
        <f t="shared" si="153"/>
        <v>1.0229736701638572E-12</v>
      </c>
      <c r="EM147" s="22">
        <f t="shared" si="127"/>
        <v>1.8944229476047665E-12</v>
      </c>
      <c r="EN147" s="62">
        <f t="shared" si="128"/>
        <v>293.33333333333519</v>
      </c>
      <c r="EO147" s="62">
        <f ca="1">AVERAGE(OFFSET($EN$3,0,0,'Données projet'!$E$15+1,1))-AVERAGE(OFFSET($H$3,0,0,'Données projet'!$E$15+1,1))</f>
        <v>220.03635832253951</v>
      </c>
      <c r="EP147" s="62">
        <f t="shared" si="154"/>
        <v>136.30639155882233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490.00000000000091</v>
      </c>
      <c r="FF147" s="18">
        <f>FE147*VLOOKUP('Données projet'!$B$16,Paramètres!$A$1:$I$89,3,0)*VLOOKUP('Données projet'!$B$16,Paramètres!$A$1:$I$89,5,0)</f>
        <v>512.14800000000105</v>
      </c>
      <c r="FG147" s="14">
        <f t="shared" si="155"/>
        <v>114.17576021740676</v>
      </c>
      <c r="FH147" s="22">
        <f t="shared" si="130"/>
        <v>1090.8472157119852</v>
      </c>
      <c r="FI147" s="62">
        <f t="shared" si="131"/>
        <v>1384.1805490453185</v>
      </c>
      <c r="FJ147" s="62">
        <f ca="1">AVERAGE(OFFSET($FI$3,0,0,'Données projet'!$E$16+1,1))-AVERAGE(OFFSET($H$3,0,0,'Données projet'!$E$16+1,1))</f>
        <v>641.62708445664862</v>
      </c>
      <c r="FK147" s="62">
        <f t="shared" si="156"/>
        <v>379.46845863546929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1.5054509920066509E-16</v>
      </c>
      <c r="FT147" s="24">
        <f t="shared" si="132"/>
        <v>1.5054509920066509E-16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5.6843418860808015E-14</v>
      </c>
      <c r="GA147" s="18">
        <f>FZ147*VLOOKUP('Données projet'!$B$17,Paramètres!$A$1:$I$89,3,0)*VLOOKUP('Données projet'!$B$17,Paramètres!$A$1:$I$89,5,0)</f>
        <v>5.4978954722173515E-14</v>
      </c>
      <c r="GB147" s="14">
        <f t="shared" si="157"/>
        <v>8.8550225887742724E-13</v>
      </c>
      <c r="GC147" s="22">
        <f t="shared" si="133"/>
        <v>1.6380047803526383E-12</v>
      </c>
      <c r="GD147" s="62">
        <f t="shared" si="134"/>
        <v>293.33333333333496</v>
      </c>
      <c r="GE147" s="62">
        <f ca="1">AVERAGE(OFFSET($GD$3,0,0,'Données projet'!$E$17+1,1))-AVERAGE(OFFSET($H$3,0,0,'Données projet'!$E$17+1,1))</f>
        <v>181.39066880931728</v>
      </c>
      <c r="GF147" s="62">
        <f t="shared" si="158"/>
        <v>116.06078566855524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-1.7053025658242404E-13</v>
      </c>
      <c r="GV147" s="18">
        <f>GU147*VLOOKUP('Données projet'!$B$18,Paramètres!$A$1:$I$89,3,0)*VLOOKUP('Données projet'!$B$18,Paramètres!$A$1:$I$89,5,0)</f>
        <v>-1.4897523215040567E-13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152.84277478695606</v>
      </c>
      <c r="HA147" s="62">
        <f t="shared" si="160"/>
        <v>179.22995976651015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9">
        <f t="shared" si="110"/>
        <v>432.75634546516653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284.93399999999917</v>
      </c>
      <c r="P148" s="14">
        <f t="shared" si="141"/>
        <v>68.008642509673109</v>
      </c>
      <c r="Q148" s="22">
        <f t="shared" si="108"/>
        <v>614.7084357043459</v>
      </c>
      <c r="R148" s="62">
        <f t="shared" si="109"/>
        <v>908.04176903767916</v>
      </c>
      <c r="S148" s="62">
        <f ca="1">AVERAGE(OFFSET($R$3,0,0,'Données projet'!$E$9+1,1))-AVERAGE(OFFSET($H$3,0,0,'Données projet'!$E$9+1,1))</f>
        <v>383.26814640166805</v>
      </c>
      <c r="T148" s="62">
        <f t="shared" si="142"/>
        <v>233.71216103405249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6.1186256061773749E-14</v>
      </c>
      <c r="AK148" s="14">
        <f t="shared" si="143"/>
        <v>9.7328366192051127E-13</v>
      </c>
      <c r="AL148" s="22">
        <f t="shared" si="112"/>
        <v>1.8017017738191463E-12</v>
      </c>
      <c r="AM148" s="62">
        <f t="shared" si="113"/>
        <v>293.33333333333513</v>
      </c>
      <c r="AN148" s="62">
        <f ca="1">AVERAGE(OFFSET($AM$3,0,0,'Données projet'!$E$10+1,1))-AVERAGE(OFFSET($H$3,0,0,'Données projet'!$E$10+1,1))</f>
        <v>205.99910063756408</v>
      </c>
      <c r="AO148" s="62">
        <f t="shared" si="144"/>
        <v>128.95330275493671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293.3333333333353</v>
      </c>
      <c r="BI148" s="62">
        <f ca="1">AVERAGE(OFFSET($BH$3,0,0,'Données projet'!$E$11+1,1))-AVERAGE(OFFSET($H$3,0,0,'Données projet'!$E$11+1,1))</f>
        <v>222.20580087523689</v>
      </c>
      <c r="BJ148" s="62">
        <f t="shared" si="146"/>
        <v>232.08940427392253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1.0262707405946645</v>
      </c>
      <c r="BQ148" s="23">
        <f>EXP(-LN(2)/25)*BQ147+(1-EXP(-LN(2)/25))/(LN(2)/25)*Calculateur!BL148*Calculateur!BN148*VLOOKUP('Données projet'!$B$11,Paramètres!$A$1:$I$89,3,0)*0.475*44/12</f>
        <v>0.67773379466881345</v>
      </c>
      <c r="BR148" s="23">
        <f>EXP(-LN(2)/2)*BR147+(1-EXP(-LN(2)/2))/(LN(2)/2)*BL148*BO148*VLOOKUP('Données projet'!$B$11,Paramètres!$A$1:$I$89,3,0)*0.475*44/12</f>
        <v>3.1107265217327125E-17</v>
      </c>
      <c r="BS148" s="24">
        <f t="shared" si="117"/>
        <v>1.7040045352634778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5.1159076974727213E-13</v>
      </c>
      <c r="BZ148" s="14">
        <f>BY148*VLOOKUP('Données projet'!$B$12,Paramètres!$A$1:$I$89,3,0)*VLOOKUP('Données projet'!$B$12,Paramètres!$A$1:$I$89,5,0)</f>
        <v>2.3942448024172334E-13</v>
      </c>
      <c r="CA148" s="14">
        <f t="shared" si="147"/>
        <v>3.2492669905861755E-12</v>
      </c>
      <c r="CB148" s="22">
        <f t="shared" si="118"/>
        <v>6.0761376450252565E-12</v>
      </c>
      <c r="CC148" s="62">
        <f t="shared" si="119"/>
        <v>293.3333333333394</v>
      </c>
      <c r="CD148" s="62">
        <f ca="1">AVERAGE(OFFSET($CC$3,0,0,'Données projet'!$E$12+1,1))-AVERAGE(OFFSET($H$3,0,0,'Données projet'!$E$12+1,1))</f>
        <v>179.14256291235466</v>
      </c>
      <c r="CE148" s="62">
        <f t="shared" si="148"/>
        <v>107.5256983607585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-2.8421709430404007E-13</v>
      </c>
      <c r="CU148" s="18">
        <f>CT148*VLOOKUP('Données projet'!$B$13,Paramètres!$A$1:$I$89,3,0)*VLOOKUP('Données projet'!$B$13,Paramètres!$A$1:$I$89,5,0)</f>
        <v>-1.69961822393816E-13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237.03649693529445</v>
      </c>
      <c r="CZ148" s="62">
        <f t="shared" si="150"/>
        <v>191.04289411674887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2.5822473500783881E-17</v>
      </c>
      <c r="DI148" s="24">
        <f t="shared" si="123"/>
        <v>2.5822473500783881E-17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2.7219999999999969</v>
      </c>
      <c r="DO148" s="13">
        <f>IF('Données projet'!$A$166&gt;35,DO147+DN148-DW147,IF(A148&lt;'Données projet'!$A$166,$DL$205^A148,IF(A148='Données projet'!$A$166,'Données projet'!$B$166,DO147+DN148-DW147)))</f>
        <v>298.9000000000002</v>
      </c>
      <c r="DP148" s="18">
        <f>DO148*VLOOKUP('Données projet'!$B$14,Paramètres!$A$1:$I$89,3,0)*VLOOKUP('Données projet'!$B$14,Paramètres!$A$1:$I$89,5,0)</f>
        <v>344.33280000000019</v>
      </c>
      <c r="DQ148" s="14">
        <f t="shared" si="151"/>
        <v>80.394469527660391</v>
      </c>
      <c r="DR148" s="22">
        <f t="shared" si="124"/>
        <v>739.73332776067548</v>
      </c>
      <c r="DS148" s="62">
        <f t="shared" si="125"/>
        <v>1033.0666610940089</v>
      </c>
      <c r="DT148" s="62">
        <f ca="1">AVERAGE(OFFSET($DS$3,0,0,'Données projet'!$E$14+1,1))-AVERAGE(OFFSET($H$3,0,0,'Données projet'!$E$14+1,1))</f>
        <v>431.38469096974364</v>
      </c>
      <c r="DU148" s="62">
        <f t="shared" si="152"/>
        <v>295.48627059086647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4.0390390179730694E-2</v>
      </c>
      <c r="EC148" s="23">
        <f>EXP(-LN(2)/2)*EC147+(1-EXP(-LN(2)/2))/(LN(2)/2)*DW148*DZ148*VLOOKUP('Données projet'!$B$14,Paramètres!$A$1:$I$89,3,0)*0.475*44/12</f>
        <v>1.8833431754652333E-17</v>
      </c>
      <c r="ED148" s="24">
        <f t="shared" si="126"/>
        <v>4.0390390179730715E-2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6.4733285398688169E-14</v>
      </c>
      <c r="EL148" s="14">
        <f t="shared" si="153"/>
        <v>1.0229736701638572E-12</v>
      </c>
      <c r="EM148" s="22">
        <f t="shared" si="127"/>
        <v>1.8944229476047665E-12</v>
      </c>
      <c r="EN148" s="62">
        <f t="shared" si="128"/>
        <v>293.33333333333519</v>
      </c>
      <c r="EO148" s="62">
        <f ca="1">AVERAGE(OFFSET($EN$3,0,0,'Données projet'!$E$15+1,1))-AVERAGE(OFFSET($H$3,0,0,'Données projet'!$E$15+1,1))</f>
        <v>220.03635832253951</v>
      </c>
      <c r="EP148" s="62">
        <f t="shared" si="154"/>
        <v>136.30639155882233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490.00000000000091</v>
      </c>
      <c r="FF148" s="18">
        <f>FE148*VLOOKUP('Données projet'!$B$16,Paramètres!$A$1:$I$89,3,0)*VLOOKUP('Données projet'!$B$16,Paramètres!$A$1:$I$89,5,0)</f>
        <v>512.14800000000105</v>
      </c>
      <c r="FG148" s="14">
        <f t="shared" si="155"/>
        <v>114.17576021740676</v>
      </c>
      <c r="FH148" s="22">
        <f t="shared" si="130"/>
        <v>1090.8472157119852</v>
      </c>
      <c r="FI148" s="62">
        <f t="shared" si="131"/>
        <v>1384.1805490453185</v>
      </c>
      <c r="FJ148" s="62">
        <f ca="1">AVERAGE(OFFSET($FI$3,0,0,'Données projet'!$E$16+1,1))-AVERAGE(OFFSET($H$3,0,0,'Données projet'!$E$16+1,1))</f>
        <v>641.62708445664862</v>
      </c>
      <c r="FK148" s="62">
        <f t="shared" si="156"/>
        <v>379.46845863546929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1.0645146051919178E-16</v>
      </c>
      <c r="FT148" s="24">
        <f t="shared" si="132"/>
        <v>1.0645146051919178E-16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5.6843418860808015E-14</v>
      </c>
      <c r="GA148" s="18">
        <f>FZ148*VLOOKUP('Données projet'!$B$17,Paramètres!$A$1:$I$89,3,0)*VLOOKUP('Données projet'!$B$17,Paramètres!$A$1:$I$89,5,0)</f>
        <v>5.4978954722173515E-14</v>
      </c>
      <c r="GB148" s="14">
        <f t="shared" si="157"/>
        <v>8.8550225887742724E-13</v>
      </c>
      <c r="GC148" s="22">
        <f t="shared" si="133"/>
        <v>1.6380047803526383E-12</v>
      </c>
      <c r="GD148" s="62">
        <f t="shared" si="134"/>
        <v>293.33333333333496</v>
      </c>
      <c r="GE148" s="62">
        <f ca="1">AVERAGE(OFFSET($GD$3,0,0,'Données projet'!$E$17+1,1))-AVERAGE(OFFSET($H$3,0,0,'Données projet'!$E$17+1,1))</f>
        <v>181.39066880931728</v>
      </c>
      <c r="GF148" s="62">
        <f t="shared" si="158"/>
        <v>116.06078566855524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-1.7053025658242404E-13</v>
      </c>
      <c r="GV148" s="18">
        <f>GU148*VLOOKUP('Données projet'!$B$18,Paramètres!$A$1:$I$89,3,0)*VLOOKUP('Données projet'!$B$18,Paramètres!$A$1:$I$89,5,0)</f>
        <v>-1.4897523215040567E-13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152.84277478695606</v>
      </c>
      <c r="HA148" s="62">
        <f t="shared" si="160"/>
        <v>179.22995976651015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9">
        <f t="shared" si="110"/>
        <v>433.939996915395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287.36759999999913</v>
      </c>
      <c r="P149" s="14">
        <f t="shared" si="141"/>
        <v>68.521633201564995</v>
      </c>
      <c r="Q149" s="22">
        <f t="shared" si="108"/>
        <v>619.84041449272411</v>
      </c>
      <c r="R149" s="62">
        <f t="shared" si="109"/>
        <v>913.17374782605748</v>
      </c>
      <c r="S149" s="62">
        <f ca="1">AVERAGE(OFFSET($R$3,0,0,'Données projet'!$E$9+1,1))-AVERAGE(OFFSET($H$3,0,0,'Données projet'!$E$9+1,1))</f>
        <v>383.26814640166805</v>
      </c>
      <c r="T149" s="62">
        <f t="shared" si="142"/>
        <v>233.71216103405249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6.1186256061773749E-14</v>
      </c>
      <c r="AK149" s="14">
        <f t="shared" si="143"/>
        <v>9.7328366192051127E-13</v>
      </c>
      <c r="AL149" s="22">
        <f t="shared" si="112"/>
        <v>1.8017017738191463E-12</v>
      </c>
      <c r="AM149" s="62">
        <f t="shared" si="113"/>
        <v>293.33333333333513</v>
      </c>
      <c r="AN149" s="62">
        <f ca="1">AVERAGE(OFFSET($AM$3,0,0,'Données projet'!$E$10+1,1))-AVERAGE(OFFSET($H$3,0,0,'Données projet'!$E$10+1,1))</f>
        <v>205.99910063756408</v>
      </c>
      <c r="AO149" s="62">
        <f t="shared" si="144"/>
        <v>128.95330275493671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293.3333333333353</v>
      </c>
      <c r="BI149" s="62">
        <f ca="1">AVERAGE(OFFSET($BH$3,0,0,'Données projet'!$E$11+1,1))-AVERAGE(OFFSET($H$3,0,0,'Données projet'!$E$11+1,1))</f>
        <v>222.20580087523689</v>
      </c>
      <c r="BJ149" s="62">
        <f t="shared" si="146"/>
        <v>232.08940427392253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1.0061461973349461</v>
      </c>
      <c r="BQ149" s="23">
        <f>EXP(-LN(2)/25)*BQ148+(1-EXP(-LN(2)/25))/(LN(2)/25)*Calculateur!BL149*Calculateur!BN149*VLOOKUP('Données projet'!$B$11,Paramètres!$A$1:$I$89,3,0)*0.475*44/12</f>
        <v>0.6592011284131235</v>
      </c>
      <c r="BR149" s="23">
        <f>EXP(-LN(2)/2)*BR148+(1-EXP(-LN(2)/2))/(LN(2)/2)*BL149*BO149*VLOOKUP('Données projet'!$B$11,Paramètres!$A$1:$I$89,3,0)*0.475*44/12</f>
        <v>2.1996158179340432E-17</v>
      </c>
      <c r="BS149" s="24">
        <f t="shared" si="117"/>
        <v>1.6653473257480695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5.1159076974727213E-13</v>
      </c>
      <c r="BZ149" s="14">
        <f>BY149*VLOOKUP('Données projet'!$B$12,Paramètres!$A$1:$I$89,3,0)*VLOOKUP('Données projet'!$B$12,Paramètres!$A$1:$I$89,5,0)</f>
        <v>2.3942448024172334E-13</v>
      </c>
      <c r="CA149" s="14">
        <f t="shared" si="147"/>
        <v>3.2492669905861755E-12</v>
      </c>
      <c r="CB149" s="22">
        <f t="shared" si="118"/>
        <v>6.0761376450252565E-12</v>
      </c>
      <c r="CC149" s="62">
        <f t="shared" si="119"/>
        <v>293.3333333333394</v>
      </c>
      <c r="CD149" s="62">
        <f ca="1">AVERAGE(OFFSET($CC$3,0,0,'Données projet'!$E$12+1,1))-AVERAGE(OFFSET($H$3,0,0,'Données projet'!$E$12+1,1))</f>
        <v>179.14256291235466</v>
      </c>
      <c r="CE149" s="62">
        <f t="shared" si="148"/>
        <v>107.5256983607585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-2.8421709430404007E-13</v>
      </c>
      <c r="CU149" s="18">
        <f>CT149*VLOOKUP('Données projet'!$B$13,Paramètres!$A$1:$I$89,3,0)*VLOOKUP('Données projet'!$B$13,Paramètres!$A$1:$I$89,5,0)</f>
        <v>-1.69961822393816E-13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237.03649693529445</v>
      </c>
      <c r="CZ149" s="62">
        <f t="shared" si="150"/>
        <v>191.04289411674887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1.8259246119414209E-17</v>
      </c>
      <c r="DI149" s="24">
        <f t="shared" si="123"/>
        <v>1.8259246119414209E-17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2.7219999999999969</v>
      </c>
      <c r="DO149" s="13">
        <f>IF('Données projet'!$A$166&gt;35,DO148+DN149-DW148,IF(A149&lt;'Données projet'!$A$166,$DL$205^A149,IF(A149='Données projet'!$A$166,'Données projet'!$B$166,DO148+DN149-DW148)))</f>
        <v>301.62200000000018</v>
      </c>
      <c r="DP149" s="18">
        <f>DO149*VLOOKUP('Données projet'!$B$14,Paramètres!$A$1:$I$89,3,0)*VLOOKUP('Données projet'!$B$14,Paramètres!$A$1:$I$89,5,0)</f>
        <v>347.46854400000018</v>
      </c>
      <c r="DQ149" s="14">
        <f t="shared" si="151"/>
        <v>81.041038145475866</v>
      </c>
      <c r="DR149" s="22">
        <f t="shared" si="124"/>
        <v>746.32085557003745</v>
      </c>
      <c r="DS149" s="62">
        <f t="shared" si="125"/>
        <v>1039.6541889033708</v>
      </c>
      <c r="DT149" s="62">
        <f ca="1">AVERAGE(OFFSET($DS$3,0,0,'Données projet'!$E$14+1,1))-AVERAGE(OFFSET($H$3,0,0,'Données projet'!$E$14+1,1))</f>
        <v>431.38469096974364</v>
      </c>
      <c r="DU149" s="62">
        <f t="shared" si="152"/>
        <v>295.48627059086647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3.9285912836227649E-2</v>
      </c>
      <c r="EC149" s="23">
        <f>EXP(-LN(2)/2)*EC148+(1-EXP(-LN(2)/2))/(LN(2)/2)*DW149*DZ149*VLOOKUP('Données projet'!$B$14,Paramètres!$A$1:$I$89,3,0)*0.475*44/12</f>
        <v>1.3317247306728723E-17</v>
      </c>
      <c r="ED149" s="24">
        <f t="shared" si="126"/>
        <v>3.9285912836227663E-2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6.4733285398688169E-14</v>
      </c>
      <c r="EL149" s="14">
        <f t="shared" si="153"/>
        <v>1.0229736701638572E-12</v>
      </c>
      <c r="EM149" s="22">
        <f t="shared" si="127"/>
        <v>1.8944229476047665E-12</v>
      </c>
      <c r="EN149" s="62">
        <f t="shared" si="128"/>
        <v>293.33333333333519</v>
      </c>
      <c r="EO149" s="62">
        <f ca="1">AVERAGE(OFFSET($EN$3,0,0,'Données projet'!$E$15+1,1))-AVERAGE(OFFSET($H$3,0,0,'Données projet'!$E$15+1,1))</f>
        <v>220.03635832253951</v>
      </c>
      <c r="EP149" s="62">
        <f t="shared" si="154"/>
        <v>136.30639155882233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490.00000000000091</v>
      </c>
      <c r="FF149" s="18">
        <f>FE149*VLOOKUP('Données projet'!$B$16,Paramètres!$A$1:$I$89,3,0)*VLOOKUP('Données projet'!$B$16,Paramètres!$A$1:$I$89,5,0)</f>
        <v>512.14800000000105</v>
      </c>
      <c r="FG149" s="14">
        <f t="shared" si="155"/>
        <v>114.17576021740676</v>
      </c>
      <c r="FH149" s="22">
        <f t="shared" si="130"/>
        <v>1090.8472157119852</v>
      </c>
      <c r="FI149" s="62">
        <f t="shared" si="131"/>
        <v>1384.1805490453185</v>
      </c>
      <c r="FJ149" s="62">
        <f ca="1">AVERAGE(OFFSET($FI$3,0,0,'Données projet'!$E$16+1,1))-AVERAGE(OFFSET($H$3,0,0,'Données projet'!$E$16+1,1))</f>
        <v>641.62708445664862</v>
      </c>
      <c r="FK149" s="62">
        <f t="shared" si="156"/>
        <v>379.46845863546929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7.5272549600332544E-17</v>
      </c>
      <c r="FT149" s="24">
        <f t="shared" si="132"/>
        <v>7.5272549600332544E-17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5.6843418860808015E-14</v>
      </c>
      <c r="GA149" s="18">
        <f>FZ149*VLOOKUP('Données projet'!$B$17,Paramètres!$A$1:$I$89,3,0)*VLOOKUP('Données projet'!$B$17,Paramètres!$A$1:$I$89,5,0)</f>
        <v>5.4978954722173515E-14</v>
      </c>
      <c r="GB149" s="14">
        <f t="shared" si="157"/>
        <v>8.8550225887742724E-13</v>
      </c>
      <c r="GC149" s="22">
        <f t="shared" si="133"/>
        <v>1.6380047803526383E-12</v>
      </c>
      <c r="GD149" s="62">
        <f t="shared" si="134"/>
        <v>293.33333333333496</v>
      </c>
      <c r="GE149" s="62">
        <f ca="1">AVERAGE(OFFSET($GD$3,0,0,'Données projet'!$E$17+1,1))-AVERAGE(OFFSET($H$3,0,0,'Données projet'!$E$17+1,1))</f>
        <v>181.39066880931728</v>
      </c>
      <c r="GF149" s="62">
        <f t="shared" si="158"/>
        <v>116.06078566855524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-1.7053025658242404E-13</v>
      </c>
      <c r="GV149" s="18">
        <f>GU149*VLOOKUP('Données projet'!$B$18,Paramètres!$A$1:$I$89,3,0)*VLOOKUP('Données projet'!$B$18,Paramètres!$A$1:$I$89,5,0)</f>
        <v>-1.4897523215040567E-13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152.84277478695606</v>
      </c>
      <c r="HA149" s="62">
        <f t="shared" si="160"/>
        <v>179.22995976651015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9">
        <f t="shared" si="110"/>
        <v>435.12346291440332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289.80119999999908</v>
      </c>
      <c r="P150" s="14">
        <f t="shared" si="141"/>
        <v>69.034118458450664</v>
      </c>
      <c r="Q150" s="22">
        <f t="shared" si="108"/>
        <v>624.97151298179995</v>
      </c>
      <c r="R150" s="62">
        <f t="shared" si="109"/>
        <v>918.30484631513332</v>
      </c>
      <c r="S150" s="62">
        <f ca="1">AVERAGE(OFFSET($R$3,0,0,'Données projet'!$E$9+1,1))-AVERAGE(OFFSET($H$3,0,0,'Données projet'!$E$9+1,1))</f>
        <v>383.26814640166805</v>
      </c>
      <c r="T150" s="62">
        <f t="shared" si="142"/>
        <v>233.71216103405249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6.1186256061773749E-14</v>
      </c>
      <c r="AK150" s="14">
        <f t="shared" si="143"/>
        <v>9.7328366192051127E-13</v>
      </c>
      <c r="AL150" s="22">
        <f t="shared" si="112"/>
        <v>1.8017017738191463E-12</v>
      </c>
      <c r="AM150" s="62">
        <f t="shared" si="113"/>
        <v>293.33333333333513</v>
      </c>
      <c r="AN150" s="62">
        <f ca="1">AVERAGE(OFFSET($AM$3,0,0,'Données projet'!$E$10+1,1))-AVERAGE(OFFSET($H$3,0,0,'Données projet'!$E$10+1,1))</f>
        <v>205.99910063756408</v>
      </c>
      <c r="AO150" s="62">
        <f t="shared" si="144"/>
        <v>128.95330275493671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293.3333333333353</v>
      </c>
      <c r="BI150" s="62">
        <f ca="1">AVERAGE(OFFSET($BH$3,0,0,'Données projet'!$E$11+1,1))-AVERAGE(OFFSET($H$3,0,0,'Données projet'!$E$11+1,1))</f>
        <v>222.20580087523689</v>
      </c>
      <c r="BJ150" s="62">
        <f t="shared" si="146"/>
        <v>232.08940427392253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0.98641628409379156</v>
      </c>
      <c r="BQ150" s="23">
        <f>EXP(-LN(2)/25)*BQ149+(1-EXP(-LN(2)/25))/(LN(2)/25)*Calculateur!BL150*Calculateur!BN150*VLOOKUP('Données projet'!$B$11,Paramètres!$A$1:$I$89,3,0)*0.475*44/12</f>
        <v>0.64117523889078587</v>
      </c>
      <c r="BR150" s="23">
        <f>EXP(-LN(2)/2)*BR149+(1-EXP(-LN(2)/2))/(LN(2)/2)*BL150*BO150*VLOOKUP('Données projet'!$B$11,Paramètres!$A$1:$I$89,3,0)*0.475*44/12</f>
        <v>1.5553632608663563E-17</v>
      </c>
      <c r="BS150" s="24">
        <f t="shared" si="117"/>
        <v>1.6275915229845774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5.1159076974727213E-13</v>
      </c>
      <c r="BZ150" s="14">
        <f>BY150*VLOOKUP('Données projet'!$B$12,Paramètres!$A$1:$I$89,3,0)*VLOOKUP('Données projet'!$B$12,Paramètres!$A$1:$I$89,5,0)</f>
        <v>2.3942448024172334E-13</v>
      </c>
      <c r="CA150" s="14">
        <f t="shared" si="147"/>
        <v>3.2492669905861755E-12</v>
      </c>
      <c r="CB150" s="22">
        <f t="shared" si="118"/>
        <v>6.0761376450252565E-12</v>
      </c>
      <c r="CC150" s="62">
        <f t="shared" si="119"/>
        <v>293.3333333333394</v>
      </c>
      <c r="CD150" s="62">
        <f ca="1">AVERAGE(OFFSET($CC$3,0,0,'Données projet'!$E$12+1,1))-AVERAGE(OFFSET($H$3,0,0,'Données projet'!$E$12+1,1))</f>
        <v>179.14256291235466</v>
      </c>
      <c r="CE150" s="62">
        <f t="shared" si="148"/>
        <v>107.5256983607585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-2.8421709430404007E-13</v>
      </c>
      <c r="CU150" s="18">
        <f>CT150*VLOOKUP('Données projet'!$B$13,Paramètres!$A$1:$I$89,3,0)*VLOOKUP('Données projet'!$B$13,Paramètres!$A$1:$I$89,5,0)</f>
        <v>-1.69961822393816E-13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237.03649693529445</v>
      </c>
      <c r="CZ150" s="62">
        <f t="shared" si="150"/>
        <v>191.04289411674887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1.291123675039194E-17</v>
      </c>
      <c r="DI150" s="24">
        <f t="shared" si="123"/>
        <v>1.291123675039194E-17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2.7219999999999969</v>
      </c>
      <c r="DO150" s="13">
        <f>IF('Données projet'!$A$166&gt;35,DO149+DN150-DW149,IF(A150&lt;'Données projet'!$A$166,$DL$205^A150,IF(A150='Données projet'!$A$166,'Données projet'!$B$166,DO149+DN150-DW149)))</f>
        <v>304.34400000000016</v>
      </c>
      <c r="DP150" s="18">
        <f>DO150*VLOOKUP('Données projet'!$B$14,Paramètres!$A$1:$I$89,3,0)*VLOOKUP('Données projet'!$B$14,Paramètres!$A$1:$I$89,5,0)</f>
        <v>350.60428800000017</v>
      </c>
      <c r="DQ150" s="14">
        <f t="shared" si="151"/>
        <v>81.686927917923896</v>
      </c>
      <c r="DR150" s="22">
        <f t="shared" si="124"/>
        <v>752.90720105705111</v>
      </c>
      <c r="DS150" s="62">
        <f t="shared" si="125"/>
        <v>1046.2405343903845</v>
      </c>
      <c r="DT150" s="62">
        <f ca="1">AVERAGE(OFFSET($DS$3,0,0,'Données projet'!$E$14+1,1))-AVERAGE(OFFSET($H$3,0,0,'Données projet'!$E$14+1,1))</f>
        <v>431.38469096974364</v>
      </c>
      <c r="DU150" s="62">
        <f t="shared" si="152"/>
        <v>295.48627059086647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3.8211637483764639E-2</v>
      </c>
      <c r="EC150" s="23">
        <f>EXP(-LN(2)/2)*EC149+(1-EXP(-LN(2)/2))/(LN(2)/2)*DW150*DZ150*VLOOKUP('Données projet'!$B$14,Paramètres!$A$1:$I$89,3,0)*0.475*44/12</f>
        <v>9.4167158773261666E-18</v>
      </c>
      <c r="ED150" s="24">
        <f t="shared" si="126"/>
        <v>3.8211637483764646E-2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6.4733285398688169E-14</v>
      </c>
      <c r="EL150" s="14">
        <f t="shared" si="153"/>
        <v>1.0229736701638572E-12</v>
      </c>
      <c r="EM150" s="22">
        <f t="shared" si="127"/>
        <v>1.8944229476047665E-12</v>
      </c>
      <c r="EN150" s="62">
        <f t="shared" si="128"/>
        <v>293.33333333333519</v>
      </c>
      <c r="EO150" s="62">
        <f ca="1">AVERAGE(OFFSET($EN$3,0,0,'Données projet'!$E$15+1,1))-AVERAGE(OFFSET($H$3,0,0,'Données projet'!$E$15+1,1))</f>
        <v>220.03635832253951</v>
      </c>
      <c r="EP150" s="62">
        <f t="shared" si="154"/>
        <v>136.30639155882233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490.00000000000091</v>
      </c>
      <c r="FF150" s="18">
        <f>FE150*VLOOKUP('Données projet'!$B$16,Paramètres!$A$1:$I$89,3,0)*VLOOKUP('Données projet'!$B$16,Paramètres!$A$1:$I$89,5,0)</f>
        <v>512.14800000000105</v>
      </c>
      <c r="FG150" s="14">
        <f t="shared" si="155"/>
        <v>114.17576021740676</v>
      </c>
      <c r="FH150" s="22">
        <f t="shared" si="130"/>
        <v>1090.8472157119852</v>
      </c>
      <c r="FI150" s="62">
        <f t="shared" si="131"/>
        <v>1384.1805490453185</v>
      </c>
      <c r="FJ150" s="62">
        <f ca="1">AVERAGE(OFFSET($FI$3,0,0,'Données projet'!$E$16+1,1))-AVERAGE(OFFSET($H$3,0,0,'Données projet'!$E$16+1,1))</f>
        <v>641.62708445664862</v>
      </c>
      <c r="FK150" s="62">
        <f t="shared" si="156"/>
        <v>379.46845863546929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5.322573025959589E-17</v>
      </c>
      <c r="FT150" s="24">
        <f t="shared" si="132"/>
        <v>5.322573025959589E-17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5.6843418860808015E-14</v>
      </c>
      <c r="GA150" s="18">
        <f>FZ150*VLOOKUP('Données projet'!$B$17,Paramètres!$A$1:$I$89,3,0)*VLOOKUP('Données projet'!$B$17,Paramètres!$A$1:$I$89,5,0)</f>
        <v>5.4978954722173515E-14</v>
      </c>
      <c r="GB150" s="14">
        <f t="shared" si="157"/>
        <v>8.8550225887742724E-13</v>
      </c>
      <c r="GC150" s="22">
        <f t="shared" si="133"/>
        <v>1.6380047803526383E-12</v>
      </c>
      <c r="GD150" s="62">
        <f t="shared" si="134"/>
        <v>293.33333333333496</v>
      </c>
      <c r="GE150" s="62">
        <f ca="1">AVERAGE(OFFSET($GD$3,0,0,'Données projet'!$E$17+1,1))-AVERAGE(OFFSET($H$3,0,0,'Données projet'!$E$17+1,1))</f>
        <v>181.39066880931728</v>
      </c>
      <c r="GF150" s="62">
        <f t="shared" si="158"/>
        <v>116.06078566855524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-1.7053025658242404E-13</v>
      </c>
      <c r="GV150" s="18">
        <f>GU150*VLOOKUP('Données projet'!$B$18,Paramètres!$A$1:$I$89,3,0)*VLOOKUP('Données projet'!$B$18,Paramètres!$A$1:$I$89,5,0)</f>
        <v>-1.4897523215040567E-13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152.84277478695606</v>
      </c>
      <c r="HA150" s="62">
        <f t="shared" si="160"/>
        <v>179.22995976651015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9">
        <f t="shared" si="110"/>
        <v>436.30674487007587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292.2347999999991</v>
      </c>
      <c r="P151" s="14">
        <f t="shared" si="141"/>
        <v>69.546103016553573</v>
      </c>
      <c r="Q151" s="22">
        <f t="shared" si="108"/>
        <v>630.10173942049585</v>
      </c>
      <c r="R151" s="62">
        <f t="shared" si="109"/>
        <v>923.43507275382922</v>
      </c>
      <c r="S151" s="62">
        <f ca="1">AVERAGE(OFFSET($R$3,0,0,'Données projet'!$E$9+1,1))-AVERAGE(OFFSET($H$3,0,0,'Données projet'!$E$9+1,1))</f>
        <v>383.26814640166805</v>
      </c>
      <c r="T151" s="62">
        <f t="shared" si="142"/>
        <v>233.71216103405249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6.1186256061773749E-14</v>
      </c>
      <c r="AK151" s="14">
        <f t="shared" si="143"/>
        <v>9.7328366192051127E-13</v>
      </c>
      <c r="AL151" s="22">
        <f t="shared" si="112"/>
        <v>1.8017017738191463E-12</v>
      </c>
      <c r="AM151" s="62">
        <f t="shared" si="113"/>
        <v>293.33333333333513</v>
      </c>
      <c r="AN151" s="62">
        <f ca="1">AVERAGE(OFFSET($AM$3,0,0,'Données projet'!$E$10+1,1))-AVERAGE(OFFSET($H$3,0,0,'Données projet'!$E$10+1,1))</f>
        <v>205.99910063756408</v>
      </c>
      <c r="AO151" s="62">
        <f t="shared" si="144"/>
        <v>128.95330275493671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293.3333333333353</v>
      </c>
      <c r="BI151" s="62">
        <f ca="1">AVERAGE(OFFSET($BH$3,0,0,'Données projet'!$E$11+1,1))-AVERAGE(OFFSET($H$3,0,0,'Données projet'!$E$11+1,1))</f>
        <v>222.20580087523689</v>
      </c>
      <c r="BJ151" s="62">
        <f t="shared" si="146"/>
        <v>232.08940427392253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0.96707326241723712</v>
      </c>
      <c r="BQ151" s="23">
        <f>EXP(-LN(2)/25)*BQ150+(1-EXP(-LN(2)/25))/(LN(2)/25)*Calculateur!BL151*Calculateur!BN151*VLOOKUP('Données projet'!$B$11,Paramètres!$A$1:$I$89,3,0)*0.475*44/12</f>
        <v>0.62364226826537694</v>
      </c>
      <c r="BR151" s="23">
        <f>EXP(-LN(2)/2)*BR150+(1-EXP(-LN(2)/2))/(LN(2)/2)*BL151*BO151*VLOOKUP('Données projet'!$B$11,Paramètres!$A$1:$I$89,3,0)*0.475*44/12</f>
        <v>1.0998079089670216E-17</v>
      </c>
      <c r="BS151" s="24">
        <f t="shared" si="117"/>
        <v>1.5907155306826142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5.1159076974727213E-13</v>
      </c>
      <c r="BZ151" s="14">
        <f>BY151*VLOOKUP('Données projet'!$B$12,Paramètres!$A$1:$I$89,3,0)*VLOOKUP('Données projet'!$B$12,Paramètres!$A$1:$I$89,5,0)</f>
        <v>2.3942448024172334E-13</v>
      </c>
      <c r="CA151" s="14">
        <f t="shared" si="147"/>
        <v>3.2492669905861755E-12</v>
      </c>
      <c r="CB151" s="22">
        <f t="shared" si="118"/>
        <v>6.0761376450252565E-12</v>
      </c>
      <c r="CC151" s="62">
        <f t="shared" si="119"/>
        <v>293.3333333333394</v>
      </c>
      <c r="CD151" s="62">
        <f ca="1">AVERAGE(OFFSET($CC$3,0,0,'Données projet'!$E$12+1,1))-AVERAGE(OFFSET($H$3,0,0,'Données projet'!$E$12+1,1))</f>
        <v>179.14256291235466</v>
      </c>
      <c r="CE151" s="62">
        <f t="shared" si="148"/>
        <v>107.5256983607585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-2.8421709430404007E-13</v>
      </c>
      <c r="CU151" s="18">
        <f>CT151*VLOOKUP('Données projet'!$B$13,Paramètres!$A$1:$I$89,3,0)*VLOOKUP('Données projet'!$B$13,Paramètres!$A$1:$I$89,5,0)</f>
        <v>-1.69961822393816E-13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237.03649693529445</v>
      </c>
      <c r="CZ151" s="62">
        <f t="shared" si="150"/>
        <v>191.04289411674887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9.1296230597071045E-18</v>
      </c>
      <c r="DI151" s="24">
        <f t="shared" si="123"/>
        <v>9.1296230597071045E-18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2.7219999999999969</v>
      </c>
      <c r="DO151" s="13">
        <f>IF('Données projet'!$A$166&gt;35,DO150+DN151-DW150,IF(A151&lt;'Données projet'!$A$166,$DL$205^A151,IF(A151='Données projet'!$A$166,'Données projet'!$B$166,DO150+DN151-DW150)))</f>
        <v>307.06600000000014</v>
      </c>
      <c r="DP151" s="18">
        <f>DO151*VLOOKUP('Données projet'!$B$14,Paramètres!$A$1:$I$89,3,0)*VLOOKUP('Données projet'!$B$14,Paramètres!$A$1:$I$89,5,0)</f>
        <v>353.74003200000016</v>
      </c>
      <c r="DQ151" s="14">
        <f t="shared" si="151"/>
        <v>82.332145619853705</v>
      </c>
      <c r="DR151" s="22">
        <f t="shared" si="124"/>
        <v>759.49237602124538</v>
      </c>
      <c r="DS151" s="62">
        <f t="shared" si="125"/>
        <v>1052.8257093545787</v>
      </c>
      <c r="DT151" s="62">
        <f ca="1">AVERAGE(OFFSET($DS$3,0,0,'Données projet'!$E$14+1,1))-AVERAGE(OFFSET($H$3,0,0,'Données projet'!$E$14+1,1))</f>
        <v>431.38469096974364</v>
      </c>
      <c r="DU151" s="62">
        <f t="shared" si="152"/>
        <v>295.48627059086647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3.7166738247308415E-2</v>
      </c>
      <c r="EC151" s="23">
        <f>EXP(-LN(2)/2)*EC150+(1-EXP(-LN(2)/2))/(LN(2)/2)*DW151*DZ151*VLOOKUP('Données projet'!$B$14,Paramètres!$A$1:$I$89,3,0)*0.475*44/12</f>
        <v>6.6586236533643616E-18</v>
      </c>
      <c r="ED151" s="24">
        <f t="shared" si="126"/>
        <v>3.7166738247308422E-2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6.4733285398688169E-14</v>
      </c>
      <c r="EL151" s="14">
        <f t="shared" si="153"/>
        <v>1.0229736701638572E-12</v>
      </c>
      <c r="EM151" s="22">
        <f t="shared" si="127"/>
        <v>1.8944229476047665E-12</v>
      </c>
      <c r="EN151" s="62">
        <f t="shared" si="128"/>
        <v>293.33333333333519</v>
      </c>
      <c r="EO151" s="62">
        <f ca="1">AVERAGE(OFFSET($EN$3,0,0,'Données projet'!$E$15+1,1))-AVERAGE(OFFSET($H$3,0,0,'Données projet'!$E$15+1,1))</f>
        <v>220.03635832253951</v>
      </c>
      <c r="EP151" s="62">
        <f t="shared" si="154"/>
        <v>136.30639155882233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490.00000000000091</v>
      </c>
      <c r="FF151" s="18">
        <f>FE151*VLOOKUP('Données projet'!$B$16,Paramètres!$A$1:$I$89,3,0)*VLOOKUP('Données projet'!$B$16,Paramètres!$A$1:$I$89,5,0)</f>
        <v>512.14800000000105</v>
      </c>
      <c r="FG151" s="14">
        <f t="shared" si="155"/>
        <v>114.17576021740676</v>
      </c>
      <c r="FH151" s="22">
        <f t="shared" si="130"/>
        <v>1090.8472157119852</v>
      </c>
      <c r="FI151" s="62">
        <f t="shared" si="131"/>
        <v>1384.1805490453185</v>
      </c>
      <c r="FJ151" s="62">
        <f ca="1">AVERAGE(OFFSET($FI$3,0,0,'Données projet'!$E$16+1,1))-AVERAGE(OFFSET($H$3,0,0,'Données projet'!$E$16+1,1))</f>
        <v>641.62708445664862</v>
      </c>
      <c r="FK151" s="62">
        <f t="shared" si="156"/>
        <v>379.46845863546929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3.7636274800166272E-17</v>
      </c>
      <c r="FT151" s="24">
        <f t="shared" si="132"/>
        <v>3.7636274800166272E-17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5.6843418860808015E-14</v>
      </c>
      <c r="GA151" s="18">
        <f>FZ151*VLOOKUP('Données projet'!$B$17,Paramètres!$A$1:$I$89,3,0)*VLOOKUP('Données projet'!$B$17,Paramètres!$A$1:$I$89,5,0)</f>
        <v>5.4978954722173515E-14</v>
      </c>
      <c r="GB151" s="14">
        <f t="shared" si="157"/>
        <v>8.8550225887742724E-13</v>
      </c>
      <c r="GC151" s="22">
        <f t="shared" si="133"/>
        <v>1.6380047803526383E-12</v>
      </c>
      <c r="GD151" s="62">
        <f t="shared" si="134"/>
        <v>293.33333333333496</v>
      </c>
      <c r="GE151" s="62">
        <f ca="1">AVERAGE(OFFSET($GD$3,0,0,'Données projet'!$E$17+1,1))-AVERAGE(OFFSET($H$3,0,0,'Données projet'!$E$17+1,1))</f>
        <v>181.39066880931728</v>
      </c>
      <c r="GF151" s="62">
        <f t="shared" si="158"/>
        <v>116.06078566855524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-1.7053025658242404E-13</v>
      </c>
      <c r="GV151" s="18">
        <f>GU151*VLOOKUP('Données projet'!$B$18,Paramètres!$A$1:$I$89,3,0)*VLOOKUP('Données projet'!$B$18,Paramètres!$A$1:$I$89,5,0)</f>
        <v>-1.4897523215040567E-13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152.84277478695606</v>
      </c>
      <c r="HA151" s="62">
        <f t="shared" si="160"/>
        <v>179.22995976651015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9">
        <f t="shared" si="110"/>
        <v>437.48984417017164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294.66839999999905</v>
      </c>
      <c r="P152" s="14">
        <f t="shared" si="141"/>
        <v>70.057591528661362</v>
      </c>
      <c r="Q152" s="22">
        <f t="shared" si="108"/>
        <v>635.23110191241688</v>
      </c>
      <c r="R152" s="62">
        <f t="shared" si="109"/>
        <v>928.56443524575025</v>
      </c>
      <c r="S152" s="62">
        <f ca="1">AVERAGE(OFFSET($R$3,0,0,'Données projet'!$E$9+1,1))-AVERAGE(OFFSET($H$3,0,0,'Données projet'!$E$9+1,1))</f>
        <v>383.26814640166805</v>
      </c>
      <c r="T152" s="62">
        <f t="shared" si="142"/>
        <v>233.71216103405249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6.1186256061773749E-14</v>
      </c>
      <c r="AK152" s="14">
        <f t="shared" si="143"/>
        <v>9.7328366192051127E-13</v>
      </c>
      <c r="AL152" s="22">
        <f t="shared" si="112"/>
        <v>1.8017017738191463E-12</v>
      </c>
      <c r="AM152" s="62">
        <f t="shared" si="113"/>
        <v>293.33333333333513</v>
      </c>
      <c r="AN152" s="62">
        <f ca="1">AVERAGE(OFFSET($AM$3,0,0,'Données projet'!$E$10+1,1))-AVERAGE(OFFSET($H$3,0,0,'Données projet'!$E$10+1,1))</f>
        <v>205.99910063756408</v>
      </c>
      <c r="AO152" s="62">
        <f t="shared" si="144"/>
        <v>128.95330275493671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293.3333333333353</v>
      </c>
      <c r="BI152" s="62">
        <f ca="1">AVERAGE(OFFSET($BH$3,0,0,'Données projet'!$E$11+1,1))-AVERAGE(OFFSET($H$3,0,0,'Données projet'!$E$11+1,1))</f>
        <v>222.20580087523689</v>
      </c>
      <c r="BJ152" s="62">
        <f t="shared" si="146"/>
        <v>232.08940427392253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0.94810954559768168</v>
      </c>
      <c r="BQ152" s="23">
        <f>EXP(-LN(2)/25)*BQ151+(1-EXP(-LN(2)/25))/(LN(2)/25)*Calculateur!BL152*Calculateur!BN152*VLOOKUP('Données projet'!$B$11,Paramètres!$A$1:$I$89,3,0)*0.475*44/12</f>
        <v>0.60658873764373866</v>
      </c>
      <c r="BR152" s="23">
        <f>EXP(-LN(2)/2)*BR151+(1-EXP(-LN(2)/2))/(LN(2)/2)*BL152*BO152*VLOOKUP('Données projet'!$B$11,Paramètres!$A$1:$I$89,3,0)*0.475*44/12</f>
        <v>7.7768163043317813E-18</v>
      </c>
      <c r="BS152" s="24">
        <f t="shared" si="117"/>
        <v>1.5546982832414202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5.1159076974727213E-13</v>
      </c>
      <c r="BZ152" s="14">
        <f>BY152*VLOOKUP('Données projet'!$B$12,Paramètres!$A$1:$I$89,3,0)*VLOOKUP('Données projet'!$B$12,Paramètres!$A$1:$I$89,5,0)</f>
        <v>2.3942448024172334E-13</v>
      </c>
      <c r="CA152" s="14">
        <f t="shared" si="147"/>
        <v>3.2492669905861755E-12</v>
      </c>
      <c r="CB152" s="22">
        <f t="shared" si="118"/>
        <v>6.0761376450252565E-12</v>
      </c>
      <c r="CC152" s="62">
        <f t="shared" si="119"/>
        <v>293.3333333333394</v>
      </c>
      <c r="CD152" s="62">
        <f ca="1">AVERAGE(OFFSET($CC$3,0,0,'Données projet'!$E$12+1,1))-AVERAGE(OFFSET($H$3,0,0,'Données projet'!$E$12+1,1))</f>
        <v>179.14256291235466</v>
      </c>
      <c r="CE152" s="62">
        <f t="shared" si="148"/>
        <v>107.5256983607585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-2.8421709430404007E-13</v>
      </c>
      <c r="CU152" s="18">
        <f>CT152*VLOOKUP('Données projet'!$B$13,Paramètres!$A$1:$I$89,3,0)*VLOOKUP('Données projet'!$B$13,Paramètres!$A$1:$I$89,5,0)</f>
        <v>-1.69961822393816E-13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237.03649693529445</v>
      </c>
      <c r="CZ152" s="62">
        <f t="shared" si="150"/>
        <v>191.04289411674887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6.4556183751959701E-18</v>
      </c>
      <c r="DI152" s="24">
        <f t="shared" si="123"/>
        <v>6.4556183751959701E-18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2.7219999999999969</v>
      </c>
      <c r="DO152" s="13">
        <f>IF('Données projet'!$A$166&gt;35,DO151+DN152-DW151,IF(A152&lt;'Données projet'!$A$166,$DL$205^A152,IF(A152='Données projet'!$A$166,'Données projet'!$B$166,DO151+DN152-DW151)))</f>
        <v>309.78800000000012</v>
      </c>
      <c r="DP152" s="18">
        <f>DO152*VLOOKUP('Données projet'!$B$14,Paramètres!$A$1:$I$89,3,0)*VLOOKUP('Données projet'!$B$14,Paramètres!$A$1:$I$89,5,0)</f>
        <v>356.87577600000014</v>
      </c>
      <c r="DQ152" s="14">
        <f t="shared" si="151"/>
        <v>82.976697899073159</v>
      </c>
      <c r="DR152" s="22">
        <f t="shared" si="124"/>
        <v>766.07639204088593</v>
      </c>
      <c r="DS152" s="62">
        <f t="shared" si="125"/>
        <v>1059.4097253742193</v>
      </c>
      <c r="DT152" s="62">
        <f ca="1">AVERAGE(OFFSET($DS$3,0,0,'Données projet'!$E$14+1,1))-AVERAGE(OFFSET($H$3,0,0,'Données projet'!$E$14+1,1))</f>
        <v>431.38469096974364</v>
      </c>
      <c r="DU152" s="62">
        <f t="shared" si="152"/>
        <v>295.48627059086647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3.6150411835421947E-2</v>
      </c>
      <c r="EC152" s="23">
        <f>EXP(-LN(2)/2)*EC151+(1-EXP(-LN(2)/2))/(LN(2)/2)*DW152*DZ152*VLOOKUP('Données projet'!$B$14,Paramètres!$A$1:$I$89,3,0)*0.475*44/12</f>
        <v>4.7083579386630833E-18</v>
      </c>
      <c r="ED152" s="24">
        <f t="shared" si="126"/>
        <v>3.6150411835421954E-2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6.4733285398688169E-14</v>
      </c>
      <c r="EL152" s="14">
        <f t="shared" si="153"/>
        <v>1.0229736701638572E-12</v>
      </c>
      <c r="EM152" s="22">
        <f t="shared" si="127"/>
        <v>1.8944229476047665E-12</v>
      </c>
      <c r="EN152" s="62">
        <f t="shared" si="128"/>
        <v>293.33333333333519</v>
      </c>
      <c r="EO152" s="62">
        <f ca="1">AVERAGE(OFFSET($EN$3,0,0,'Données projet'!$E$15+1,1))-AVERAGE(OFFSET($H$3,0,0,'Données projet'!$E$15+1,1))</f>
        <v>220.03635832253951</v>
      </c>
      <c r="EP152" s="62">
        <f t="shared" si="154"/>
        <v>136.30639155882233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490.00000000000091</v>
      </c>
      <c r="FF152" s="18">
        <f>FE152*VLOOKUP('Données projet'!$B$16,Paramètres!$A$1:$I$89,3,0)*VLOOKUP('Données projet'!$B$16,Paramètres!$A$1:$I$89,5,0)</f>
        <v>512.14800000000105</v>
      </c>
      <c r="FG152" s="14">
        <f t="shared" si="155"/>
        <v>114.17576021740676</v>
      </c>
      <c r="FH152" s="22">
        <f t="shared" si="130"/>
        <v>1090.8472157119852</v>
      </c>
      <c r="FI152" s="62">
        <f t="shared" si="131"/>
        <v>1384.1805490453185</v>
      </c>
      <c r="FJ152" s="62">
        <f ca="1">AVERAGE(OFFSET($FI$3,0,0,'Données projet'!$E$16+1,1))-AVERAGE(OFFSET($H$3,0,0,'Données projet'!$E$16+1,1))</f>
        <v>641.62708445664862</v>
      </c>
      <c r="FK152" s="62">
        <f t="shared" si="156"/>
        <v>379.46845863546929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2.6612865129797945E-17</v>
      </c>
      <c r="FT152" s="24">
        <f t="shared" si="132"/>
        <v>2.6612865129797945E-17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5.6843418860808015E-14</v>
      </c>
      <c r="GA152" s="18">
        <f>FZ152*VLOOKUP('Données projet'!$B$17,Paramètres!$A$1:$I$89,3,0)*VLOOKUP('Données projet'!$B$17,Paramètres!$A$1:$I$89,5,0)</f>
        <v>5.4978954722173515E-14</v>
      </c>
      <c r="GB152" s="14">
        <f t="shared" si="157"/>
        <v>8.8550225887742724E-13</v>
      </c>
      <c r="GC152" s="22">
        <f t="shared" si="133"/>
        <v>1.6380047803526383E-12</v>
      </c>
      <c r="GD152" s="62">
        <f t="shared" si="134"/>
        <v>293.33333333333496</v>
      </c>
      <c r="GE152" s="62">
        <f ca="1">AVERAGE(OFFSET($GD$3,0,0,'Données projet'!$E$17+1,1))-AVERAGE(OFFSET($H$3,0,0,'Données projet'!$E$17+1,1))</f>
        <v>181.39066880931728</v>
      </c>
      <c r="GF152" s="62">
        <f t="shared" si="158"/>
        <v>116.06078566855524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-1.7053025658242404E-13</v>
      </c>
      <c r="GV152" s="18">
        <f>GU152*VLOOKUP('Données projet'!$B$18,Paramètres!$A$1:$I$89,3,0)*VLOOKUP('Données projet'!$B$18,Paramètres!$A$1:$I$89,5,0)</f>
        <v>-1.4897523215040567E-13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152.84277478695606</v>
      </c>
      <c r="HA152" s="62">
        <f t="shared" si="160"/>
        <v>179.22995976651015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9">
        <f t="shared" si="110"/>
        <v>438.6727621827452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297.10199999999907</v>
      </c>
      <c r="P153" s="14">
        <f t="shared" si="141"/>
        <v>70.568588566272624</v>
      </c>
      <c r="Q153" s="22">
        <f t="shared" si="108"/>
        <v>640.3596084195899</v>
      </c>
      <c r="R153" s="62">
        <f t="shared" si="109"/>
        <v>933.69294175292316</v>
      </c>
      <c r="S153" s="62">
        <f ca="1">AVERAGE(OFFSET($R$3,0,0,'Données projet'!$E$9+1,1))-AVERAGE(OFFSET($H$3,0,0,'Données projet'!$E$9+1,1))</f>
        <v>383.26814640166805</v>
      </c>
      <c r="T153" s="62">
        <f t="shared" si="142"/>
        <v>233.71216103405249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6.1186256061773749E-14</v>
      </c>
      <c r="AK153" s="14">
        <f t="shared" si="143"/>
        <v>9.7328366192051127E-13</v>
      </c>
      <c r="AL153" s="22">
        <f t="shared" si="112"/>
        <v>1.8017017738191463E-12</v>
      </c>
      <c r="AM153" s="62">
        <f t="shared" si="113"/>
        <v>293.33333333333513</v>
      </c>
      <c r="AN153" s="62">
        <f ca="1">AVERAGE(OFFSET($AM$3,0,0,'Données projet'!$E$10+1,1))-AVERAGE(OFFSET($H$3,0,0,'Données projet'!$E$10+1,1))</f>
        <v>205.99910063756408</v>
      </c>
      <c r="AO153" s="62">
        <f t="shared" si="144"/>
        <v>128.95330275493671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293.3333333333353</v>
      </c>
      <c r="BI153" s="62">
        <f ca="1">AVERAGE(OFFSET($BH$3,0,0,'Données projet'!$E$11+1,1))-AVERAGE(OFFSET($H$3,0,0,'Données projet'!$E$11+1,1))</f>
        <v>222.20580087523689</v>
      </c>
      <c r="BJ153" s="62">
        <f t="shared" si="146"/>
        <v>232.08940427392253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0.92951769569823262</v>
      </c>
      <c r="BQ153" s="23">
        <f>EXP(-LN(2)/25)*BQ152+(1-EXP(-LN(2)/25))/(LN(2)/25)*Calculateur!BL153*Calculateur!BN153*VLOOKUP('Données projet'!$B$11,Paramètres!$A$1:$I$89,3,0)*0.475*44/12</f>
        <v>0.59000153671375533</v>
      </c>
      <c r="BR153" s="23">
        <f>EXP(-LN(2)/2)*BR152+(1-EXP(-LN(2)/2))/(LN(2)/2)*BL153*BO153*VLOOKUP('Données projet'!$B$11,Paramètres!$A$1:$I$89,3,0)*0.475*44/12</f>
        <v>5.4990395448351081E-18</v>
      </c>
      <c r="BS153" s="24">
        <f t="shared" si="117"/>
        <v>1.5195192324119879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5.1159076974727213E-13</v>
      </c>
      <c r="BZ153" s="14">
        <f>BY153*VLOOKUP('Données projet'!$B$12,Paramètres!$A$1:$I$89,3,0)*VLOOKUP('Données projet'!$B$12,Paramètres!$A$1:$I$89,5,0)</f>
        <v>2.3942448024172334E-13</v>
      </c>
      <c r="CA153" s="14">
        <f t="shared" si="147"/>
        <v>3.2492669905861755E-12</v>
      </c>
      <c r="CB153" s="22">
        <f t="shared" si="118"/>
        <v>6.0761376450252565E-12</v>
      </c>
      <c r="CC153" s="62">
        <f t="shared" si="119"/>
        <v>293.3333333333394</v>
      </c>
      <c r="CD153" s="62">
        <f ca="1">AVERAGE(OFFSET($CC$3,0,0,'Données projet'!$E$12+1,1))-AVERAGE(OFFSET($H$3,0,0,'Données projet'!$E$12+1,1))</f>
        <v>179.14256291235466</v>
      </c>
      <c r="CE153" s="62">
        <f t="shared" si="148"/>
        <v>107.5256983607585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-2.8421709430404007E-13</v>
      </c>
      <c r="CU153" s="18">
        <f>CT153*VLOOKUP('Données projet'!$B$13,Paramètres!$A$1:$I$89,3,0)*VLOOKUP('Données projet'!$B$13,Paramètres!$A$1:$I$89,5,0)</f>
        <v>-1.69961822393816E-13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237.03649693529445</v>
      </c>
      <c r="CZ153" s="62">
        <f t="shared" si="150"/>
        <v>191.04289411674887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4.5648115298535523E-18</v>
      </c>
      <c r="DI153" s="24">
        <f t="shared" si="123"/>
        <v>4.5648115298535523E-18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312.51</v>
      </c>
      <c r="DM153" s="13">
        <f>VLOOKUP(A153,'Données projet'!$A$165:$I$185,9,0)</f>
        <v>2.7219999999999969</v>
      </c>
      <c r="DN153" s="13">
        <f t="array" ref="DN153">INDEX(DM:DM,MIN(IF(ISNUMBER(DM153:DM349),ROW(DM153:DM349),"")))</f>
        <v>2.7219999999999969</v>
      </c>
      <c r="DO153" s="13">
        <f>IF('Données projet'!$A$166&gt;35,DO152+DN153-DW152,IF(A153&lt;'Données projet'!$A$166,$DL$205^A153,IF(A153='Données projet'!$A$166,'Données projet'!$B$166,DO152+DN153-DW152)))</f>
        <v>312.5100000000001</v>
      </c>
      <c r="DP153" s="18">
        <f>DO153*VLOOKUP('Données projet'!$B$14,Paramètres!$A$1:$I$89,3,0)*VLOOKUP('Données projet'!$B$14,Paramètres!$A$1:$I$89,5,0)</f>
        <v>360.01152000000008</v>
      </c>
      <c r="DQ153" s="14">
        <f t="shared" si="151"/>
        <v>83.620591279825092</v>
      </c>
      <c r="DR153" s="22">
        <f t="shared" si="124"/>
        <v>772.65926047902883</v>
      </c>
      <c r="DS153" s="62">
        <f t="shared" si="125"/>
        <v>1065.9925938123622</v>
      </c>
      <c r="DT153" s="62">
        <f ca="1">AVERAGE(OFFSET($DS$3,0,0,'Données projet'!$E$14+1,1))-AVERAGE(OFFSET($H$3,0,0,'Données projet'!$E$14+1,1))</f>
        <v>431.38469096974364</v>
      </c>
      <c r="DU153" s="62">
        <f t="shared" si="152"/>
        <v>295.48627059086647</v>
      </c>
      <c r="DV153" s="16">
        <f>IF(ISNA(VLOOKUP(A153,'Données projet'!$A$165:$I$185,3,0)),0,VLOOKUP(A153,'Données projet'!$A$165:$I$185,3,0))</f>
        <v>15</v>
      </c>
      <c r="DW153" s="16">
        <f>IF(ISNA(VLOOKUP(A153,'Données projet'!$A$165:$I$185,4,0)),0,VLOOKUP(A153,'Données projet'!$A$165:$I$185,4,0))</f>
        <v>312.51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3.5161876922714802E-2</v>
      </c>
      <c r="EC153" s="23">
        <f>EXP(-LN(2)/2)*EC152+(1-EXP(-LN(2)/2))/(LN(2)/2)*DW153*DZ153*VLOOKUP('Données projet'!$B$14,Paramètres!$A$1:$I$89,3,0)*0.475*44/12</f>
        <v>3.3293118266821808E-18</v>
      </c>
      <c r="ED153" s="24">
        <f t="shared" si="126"/>
        <v>3.5161876922714802E-2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6.4733285398688169E-14</v>
      </c>
      <c r="EL153" s="14">
        <f t="shared" si="153"/>
        <v>1.0229736701638572E-12</v>
      </c>
      <c r="EM153" s="22">
        <f t="shared" si="127"/>
        <v>1.8944229476047665E-12</v>
      </c>
      <c r="EN153" s="62">
        <f t="shared" si="128"/>
        <v>293.33333333333519</v>
      </c>
      <c r="EO153" s="62">
        <f ca="1">AVERAGE(OFFSET($EN$3,0,0,'Données projet'!$E$15+1,1))-AVERAGE(OFFSET($H$3,0,0,'Données projet'!$E$15+1,1))</f>
        <v>220.03635832253951</v>
      </c>
      <c r="EP153" s="62">
        <f t="shared" si="154"/>
        <v>136.30639155882233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490.00000000000091</v>
      </c>
      <c r="FF153" s="18">
        <f>FE153*VLOOKUP('Données projet'!$B$16,Paramètres!$A$1:$I$89,3,0)*VLOOKUP('Données projet'!$B$16,Paramètres!$A$1:$I$89,5,0)</f>
        <v>512.14800000000105</v>
      </c>
      <c r="FG153" s="14">
        <f t="shared" si="155"/>
        <v>114.17576021740676</v>
      </c>
      <c r="FH153" s="22">
        <f t="shared" si="130"/>
        <v>1090.8472157119852</v>
      </c>
      <c r="FI153" s="62">
        <f t="shared" si="131"/>
        <v>1384.1805490453185</v>
      </c>
      <c r="FJ153" s="62">
        <f ca="1">AVERAGE(OFFSET($FI$3,0,0,'Données projet'!$E$16+1,1))-AVERAGE(OFFSET($H$3,0,0,'Données projet'!$E$16+1,1))</f>
        <v>641.62708445664862</v>
      </c>
      <c r="FK153" s="62">
        <f t="shared" si="156"/>
        <v>379.46845863546929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1.8818137400083136E-17</v>
      </c>
      <c r="FT153" s="24">
        <f t="shared" si="132"/>
        <v>1.8818137400083136E-17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5.6843418860808015E-14</v>
      </c>
      <c r="GA153" s="18">
        <f>FZ153*VLOOKUP('Données projet'!$B$17,Paramètres!$A$1:$I$89,3,0)*VLOOKUP('Données projet'!$B$17,Paramètres!$A$1:$I$89,5,0)</f>
        <v>5.4978954722173515E-14</v>
      </c>
      <c r="GB153" s="14">
        <f t="shared" si="157"/>
        <v>8.8550225887742724E-13</v>
      </c>
      <c r="GC153" s="22">
        <f t="shared" si="133"/>
        <v>1.6380047803526383E-12</v>
      </c>
      <c r="GD153" s="62">
        <f t="shared" si="134"/>
        <v>293.33333333333496</v>
      </c>
      <c r="GE153" s="62">
        <f ca="1">AVERAGE(OFFSET($GD$3,0,0,'Données projet'!$E$17+1,1))-AVERAGE(OFFSET($H$3,0,0,'Données projet'!$E$17+1,1))</f>
        <v>181.39066880931728</v>
      </c>
      <c r="GF153" s="62">
        <f t="shared" si="158"/>
        <v>116.06078566855524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-1.7053025658242404E-13</v>
      </c>
      <c r="GV153" s="18">
        <f>GU153*VLOOKUP('Données projet'!$B$18,Paramètres!$A$1:$I$89,3,0)*VLOOKUP('Données projet'!$B$18,Paramètres!$A$1:$I$89,5,0)</f>
        <v>-1.4897523215040567E-13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152.84277478695606</v>
      </c>
      <c r="HA153" s="62">
        <f t="shared" si="160"/>
        <v>179.22995976651015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9">
        <f t="shared" si="110"/>
        <v>439.85550025655579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-9.7986685432260874E-13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383.26814640166805</v>
      </c>
      <c r="T154" s="62">
        <f t="shared" si="142"/>
        <v>233.71216103405249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6.1186256061773749E-14</v>
      </c>
      <c r="AK154" s="14">
        <f t="shared" ref="AK154:AK203" si="164">EXP(-1.0587+0.8836*LN(AJ154)+0.284)</f>
        <v>9.7328366192051127E-13</v>
      </c>
      <c r="AL154" s="22">
        <f t="shared" ref="AL154:AL203" si="165">(AJ154+AK154)*0.475*44/12</f>
        <v>1.8017017738191463E-12</v>
      </c>
      <c r="AM154" s="62">
        <f t="shared" si="113"/>
        <v>293.33333333333513</v>
      </c>
      <c r="AN154" s="62">
        <f ca="1">AVERAGE(OFFSET($AM$3,0,0,'Données projet'!$E$10+1,1))-AVERAGE(OFFSET($H$3,0,0,'Données projet'!$E$10+1,1))</f>
        <v>205.99910063756408</v>
      </c>
      <c r="AO154" s="62">
        <f t="shared" si="144"/>
        <v>128.95330275493671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293.3333333333353</v>
      </c>
      <c r="BI154" s="62">
        <f ca="1">AVERAGE(OFFSET($BH$3,0,0,'Données projet'!$E$11+1,1))-AVERAGE(OFFSET($H$3,0,0,'Données projet'!$E$11+1,1))</f>
        <v>222.20580087523689</v>
      </c>
      <c r="BJ154" s="62">
        <f t="shared" si="146"/>
        <v>232.08940427392253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0.911290420635403</v>
      </c>
      <c r="BQ154" s="23">
        <f>EXP(-LN(2)/25)*BQ153+(1-EXP(-LN(2)/25))/(LN(2)/25)*Calculateur!BL154*Calculateur!BN154*VLOOKUP('Données projet'!$B$11,Paramètres!$A$1:$I$89,3,0)*0.475*44/12</f>
        <v>0.57386791366548529</v>
      </c>
      <c r="BR154" s="23">
        <f>EXP(-LN(2)/2)*BR153+(1-EXP(-LN(2)/2))/(LN(2)/2)*BL154*BO154*VLOOKUP('Données projet'!$B$11,Paramètres!$A$1:$I$89,3,0)*0.475*44/12</f>
        <v>3.8884081521658906E-18</v>
      </c>
      <c r="BS154" s="24">
        <f t="shared" ref="BS154:BS203" si="169">SUM(BP154:BR154)</f>
        <v>1.4851583343008883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5.1159076974727213E-13</v>
      </c>
      <c r="BZ154" s="14">
        <f>BY154*VLOOKUP('Données projet'!$B$12,Paramètres!$A$1:$I$89,3,0)*VLOOKUP('Données projet'!$B$12,Paramètres!$A$1:$I$89,5,0)</f>
        <v>2.3942448024172334E-13</v>
      </c>
      <c r="CA154" s="14">
        <f t="shared" ref="CA154:CA203" si="170">EXP(-1.0587+0.8836*LN(BZ154)+0.284)</f>
        <v>3.2492669905861755E-12</v>
      </c>
      <c r="CB154" s="22">
        <f t="shared" ref="CB154:CB203" si="171">(BZ154+CA154)*0.475*44/12</f>
        <v>6.0761376450252565E-12</v>
      </c>
      <c r="CC154" s="62">
        <f t="shared" si="119"/>
        <v>293.3333333333394</v>
      </c>
      <c r="CD154" s="62">
        <f ca="1">AVERAGE(OFFSET($CC$3,0,0,'Données projet'!$E$12+1,1))-AVERAGE(OFFSET($H$3,0,0,'Données projet'!$E$12+1,1))</f>
        <v>179.14256291235466</v>
      </c>
      <c r="CE154" s="62">
        <f t="shared" si="148"/>
        <v>107.5256983607585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-2.8421709430404007E-13</v>
      </c>
      <c r="CU154" s="18">
        <f>CT154*VLOOKUP('Données projet'!$B$13,Paramètres!$A$1:$I$89,3,0)*VLOOKUP('Données projet'!$B$13,Paramètres!$A$1:$I$89,5,0)</f>
        <v>-1.69961822393816E-13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237.03649693529445</v>
      </c>
      <c r="CZ154" s="62">
        <f t="shared" si="150"/>
        <v>191.04289411674887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3.2278091875979851E-18</v>
      </c>
      <c r="DI154" s="24">
        <f t="shared" ref="DI154:DI203" si="175">SUM(DF154:DH154)</f>
        <v>3.2278091875979851E-18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1.3096723705530166E-13</v>
      </c>
      <c r="DQ154" s="14">
        <f t="shared" ref="DQ154:DQ203" si="176">EXP(-1.0587+0.8836*LN(DP154)+0.284)</f>
        <v>1.9066764221344275E-12</v>
      </c>
      <c r="DR154" s="22">
        <f t="shared" ref="DR154:DR203" si="177">(DP154+DQ154)*0.475*44/12</f>
        <v>3.548896039755445E-12</v>
      </c>
      <c r="DS154" s="62">
        <f t="shared" si="125"/>
        <v>293.33333333333684</v>
      </c>
      <c r="DT154" s="62">
        <f ca="1">AVERAGE(OFFSET($DS$3,0,0,'Données projet'!$E$14+1,1))-AVERAGE(OFFSET($H$3,0,0,'Données projet'!$E$14+1,1))</f>
        <v>431.38469096974364</v>
      </c>
      <c r="DU154" s="62">
        <f t="shared" si="152"/>
        <v>295.48627059086647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3.4200373549180423E-2</v>
      </c>
      <c r="EC154" s="23">
        <f>EXP(-LN(2)/2)*EC153+(1-EXP(-LN(2)/2))/(LN(2)/2)*DW154*DZ154*VLOOKUP('Données projet'!$B$14,Paramètres!$A$1:$I$89,3,0)*0.475*44/12</f>
        <v>2.3541789693315416E-18</v>
      </c>
      <c r="ED154" s="24">
        <f t="shared" ref="ED154:ED203" si="178">SUM(EA154:EC154)</f>
        <v>3.4200373549180423E-2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6.4733285398688169E-14</v>
      </c>
      <c r="EL154" s="14">
        <f t="shared" ref="EL154:EL203" si="179">EXP(-1.0587+0.8836*LN(EK154)+0.284)</f>
        <v>1.0229736701638572E-12</v>
      </c>
      <c r="EM154" s="22">
        <f t="shared" ref="EM154:EM203" si="180">(EK154+EL154)*0.475*44/12</f>
        <v>1.8944229476047665E-12</v>
      </c>
      <c r="EN154" s="62">
        <f t="shared" si="128"/>
        <v>293.33333333333519</v>
      </c>
      <c r="EO154" s="62">
        <f ca="1">AVERAGE(OFFSET($EN$3,0,0,'Données projet'!$E$15+1,1))-AVERAGE(OFFSET($H$3,0,0,'Données projet'!$E$15+1,1))</f>
        <v>220.03635832253951</v>
      </c>
      <c r="EP154" s="62">
        <f t="shared" si="154"/>
        <v>136.30639155882233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490.00000000000091</v>
      </c>
      <c r="FF154" s="18">
        <f>FE154*VLOOKUP('Données projet'!$B$16,Paramètres!$A$1:$I$89,3,0)*VLOOKUP('Données projet'!$B$16,Paramètres!$A$1:$I$89,5,0)</f>
        <v>512.14800000000105</v>
      </c>
      <c r="FG154" s="14">
        <f t="shared" ref="FG154:FG203" si="182">EXP(-1.0587+0.8836*LN(FF154)+0.284)</f>
        <v>114.17576021740676</v>
      </c>
      <c r="FH154" s="22">
        <f t="shared" ref="FH154:FH203" si="183">(FF154+FG154)*0.475*44/12</f>
        <v>1090.8472157119852</v>
      </c>
      <c r="FI154" s="62">
        <f t="shared" si="131"/>
        <v>1384.1805490453185</v>
      </c>
      <c r="FJ154" s="62">
        <f ca="1">AVERAGE(OFFSET($FI$3,0,0,'Données projet'!$E$16+1,1))-AVERAGE(OFFSET($H$3,0,0,'Données projet'!$E$16+1,1))</f>
        <v>641.62708445664862</v>
      </c>
      <c r="FK154" s="62">
        <f t="shared" si="156"/>
        <v>379.46845863546929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1.3306432564898973E-17</v>
      </c>
      <c r="FT154" s="24">
        <f t="shared" ref="FT154:FT203" si="184">SUM(FQ154:FS154)</f>
        <v>1.3306432564898973E-17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5.6843418860808015E-14</v>
      </c>
      <c r="GA154" s="18">
        <f>FZ154*VLOOKUP('Données projet'!$B$17,Paramètres!$A$1:$I$89,3,0)*VLOOKUP('Données projet'!$B$17,Paramètres!$A$1:$I$89,5,0)</f>
        <v>5.4978954722173515E-14</v>
      </c>
      <c r="GB154" s="14">
        <f t="shared" ref="GB154:GB203" si="185">EXP(-1.0587+0.8836*LN(GA154)+0.284)</f>
        <v>8.8550225887742724E-13</v>
      </c>
      <c r="GC154" s="22">
        <f t="shared" ref="GC154:GC203" si="186">(GA154+GB154)*0.475*44/12</f>
        <v>1.6380047803526383E-12</v>
      </c>
      <c r="GD154" s="62">
        <f t="shared" si="134"/>
        <v>293.33333333333496</v>
      </c>
      <c r="GE154" s="62">
        <f ca="1">AVERAGE(OFFSET($GD$3,0,0,'Données projet'!$E$17+1,1))-AVERAGE(OFFSET($H$3,0,0,'Données projet'!$E$17+1,1))</f>
        <v>181.39066880931728</v>
      </c>
      <c r="GF154" s="62">
        <f t="shared" si="158"/>
        <v>116.06078566855524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-1.7053025658242404E-13</v>
      </c>
      <c r="GV154" s="18">
        <f>GU154*VLOOKUP('Données projet'!$B$18,Paramètres!$A$1:$I$89,3,0)*VLOOKUP('Données projet'!$B$18,Paramètres!$A$1:$I$89,5,0)</f>
        <v>-1.4897523215040567E-13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152.84277478695606</v>
      </c>
      <c r="HA154" s="62">
        <f t="shared" si="160"/>
        <v>179.22995976651015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9">
        <f t="shared" si="110"/>
        <v>441.03805972146552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-9.7986685432260874E-13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383.26814640166805</v>
      </c>
      <c r="T155" s="62">
        <f t="shared" si="142"/>
        <v>233.71216103405249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6.1186256061773749E-14</v>
      </c>
      <c r="AK155" s="14">
        <f t="shared" si="164"/>
        <v>9.7328366192051127E-13</v>
      </c>
      <c r="AL155" s="22">
        <f t="shared" si="165"/>
        <v>1.8017017738191463E-12</v>
      </c>
      <c r="AM155" s="62">
        <f t="shared" si="113"/>
        <v>293.33333333333513</v>
      </c>
      <c r="AN155" s="62">
        <f ca="1">AVERAGE(OFFSET($AM$3,0,0,'Données projet'!$E$10+1,1))-AVERAGE(OFFSET($H$3,0,0,'Données projet'!$E$10+1,1))</f>
        <v>205.99910063756408</v>
      </c>
      <c r="AO155" s="62">
        <f t="shared" si="144"/>
        <v>128.95330275493671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293.3333333333353</v>
      </c>
      <c r="BI155" s="62">
        <f ca="1">AVERAGE(OFFSET($BH$3,0,0,'Données projet'!$E$11+1,1))-AVERAGE(OFFSET($H$3,0,0,'Données projet'!$E$11+1,1))</f>
        <v>222.20580087523689</v>
      </c>
      <c r="BJ155" s="62">
        <f t="shared" si="146"/>
        <v>232.08940427392253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0.89342057131901542</v>
      </c>
      <c r="BQ155" s="23">
        <f>EXP(-LN(2)/25)*BQ154+(1-EXP(-LN(2)/25))/(LN(2)/25)*Calculateur!BL155*Calculateur!BN155*VLOOKUP('Données projet'!$B$11,Paramètres!$A$1:$I$89,3,0)*0.475*44/12</f>
        <v>0.55817546538790064</v>
      </c>
      <c r="BR155" s="23">
        <f>EXP(-LN(2)/2)*BR154+(1-EXP(-LN(2)/2))/(LN(2)/2)*BL155*BO155*VLOOKUP('Données projet'!$B$11,Paramètres!$A$1:$I$89,3,0)*0.475*44/12</f>
        <v>2.749519772417554E-18</v>
      </c>
      <c r="BS155" s="24">
        <f t="shared" si="169"/>
        <v>1.4515960367069161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5.1159076974727213E-13</v>
      </c>
      <c r="BZ155" s="14">
        <f>BY155*VLOOKUP('Données projet'!$B$12,Paramètres!$A$1:$I$89,3,0)*VLOOKUP('Données projet'!$B$12,Paramètres!$A$1:$I$89,5,0)</f>
        <v>2.3942448024172334E-13</v>
      </c>
      <c r="CA155" s="14">
        <f t="shared" si="170"/>
        <v>3.2492669905861755E-12</v>
      </c>
      <c r="CB155" s="22">
        <f t="shared" si="171"/>
        <v>6.0761376450252565E-12</v>
      </c>
      <c r="CC155" s="62">
        <f t="shared" si="119"/>
        <v>293.3333333333394</v>
      </c>
      <c r="CD155" s="62">
        <f ca="1">AVERAGE(OFFSET($CC$3,0,0,'Données projet'!$E$12+1,1))-AVERAGE(OFFSET($H$3,0,0,'Données projet'!$E$12+1,1))</f>
        <v>179.14256291235466</v>
      </c>
      <c r="CE155" s="62">
        <f t="shared" si="148"/>
        <v>107.5256983607585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-2.8421709430404007E-13</v>
      </c>
      <c r="CU155" s="18">
        <f>CT155*VLOOKUP('Données projet'!$B$13,Paramètres!$A$1:$I$89,3,0)*VLOOKUP('Données projet'!$B$13,Paramètres!$A$1:$I$89,5,0)</f>
        <v>-1.69961822393816E-13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237.03649693529445</v>
      </c>
      <c r="CZ155" s="62">
        <f t="shared" si="150"/>
        <v>191.04289411674887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2.2824057649267761E-18</v>
      </c>
      <c r="DI155" s="24">
        <f t="shared" si="175"/>
        <v>2.2824057649267761E-18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1.3096723705530166E-13</v>
      </c>
      <c r="DQ155" s="14">
        <f t="shared" si="176"/>
        <v>1.9066764221344275E-12</v>
      </c>
      <c r="DR155" s="22">
        <f t="shared" si="177"/>
        <v>3.548896039755445E-12</v>
      </c>
      <c r="DS155" s="62">
        <f t="shared" si="125"/>
        <v>293.33333333333684</v>
      </c>
      <c r="DT155" s="62">
        <f ca="1">AVERAGE(OFFSET($DS$3,0,0,'Données projet'!$E$14+1,1))-AVERAGE(OFFSET($H$3,0,0,'Données projet'!$E$14+1,1))</f>
        <v>431.38469096974364</v>
      </c>
      <c r="DU155" s="62">
        <f t="shared" si="152"/>
        <v>295.48627059086647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3.3265162535958605E-2</v>
      </c>
      <c r="EC155" s="23">
        <f>EXP(-LN(2)/2)*EC154+(1-EXP(-LN(2)/2))/(LN(2)/2)*DW155*DZ155*VLOOKUP('Données projet'!$B$14,Paramètres!$A$1:$I$89,3,0)*0.475*44/12</f>
        <v>1.6646559133410904E-18</v>
      </c>
      <c r="ED155" s="24">
        <f t="shared" si="178"/>
        <v>3.3265162535958605E-2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6.4733285398688169E-14</v>
      </c>
      <c r="EL155" s="14">
        <f t="shared" si="179"/>
        <v>1.0229736701638572E-12</v>
      </c>
      <c r="EM155" s="22">
        <f t="shared" si="180"/>
        <v>1.8944229476047665E-12</v>
      </c>
      <c r="EN155" s="62">
        <f t="shared" si="128"/>
        <v>293.33333333333519</v>
      </c>
      <c r="EO155" s="62">
        <f ca="1">AVERAGE(OFFSET($EN$3,0,0,'Données projet'!$E$15+1,1))-AVERAGE(OFFSET($H$3,0,0,'Données projet'!$E$15+1,1))</f>
        <v>220.03635832253951</v>
      </c>
      <c r="EP155" s="62">
        <f t="shared" si="154"/>
        <v>136.30639155882233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490.00000000000091</v>
      </c>
      <c r="FF155" s="18">
        <f>FE155*VLOOKUP('Données projet'!$B$16,Paramètres!$A$1:$I$89,3,0)*VLOOKUP('Données projet'!$B$16,Paramètres!$A$1:$I$89,5,0)</f>
        <v>512.14800000000105</v>
      </c>
      <c r="FG155" s="14">
        <f t="shared" si="182"/>
        <v>114.17576021740676</v>
      </c>
      <c r="FH155" s="22">
        <f t="shared" si="183"/>
        <v>1090.8472157119852</v>
      </c>
      <c r="FI155" s="62">
        <f t="shared" si="131"/>
        <v>1384.1805490453185</v>
      </c>
      <c r="FJ155" s="62">
        <f ca="1">AVERAGE(OFFSET($FI$3,0,0,'Données projet'!$E$16+1,1))-AVERAGE(OFFSET($H$3,0,0,'Données projet'!$E$16+1,1))</f>
        <v>641.62708445664862</v>
      </c>
      <c r="FK155" s="62">
        <f t="shared" si="156"/>
        <v>379.46845863546929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9.409068700041568E-18</v>
      </c>
      <c r="FT155" s="24">
        <f t="shared" si="184"/>
        <v>9.409068700041568E-18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5.6843418860808015E-14</v>
      </c>
      <c r="GA155" s="18">
        <f>FZ155*VLOOKUP('Données projet'!$B$17,Paramètres!$A$1:$I$89,3,0)*VLOOKUP('Données projet'!$B$17,Paramètres!$A$1:$I$89,5,0)</f>
        <v>5.4978954722173515E-14</v>
      </c>
      <c r="GB155" s="14">
        <f t="shared" si="185"/>
        <v>8.8550225887742724E-13</v>
      </c>
      <c r="GC155" s="22">
        <f t="shared" si="186"/>
        <v>1.6380047803526383E-12</v>
      </c>
      <c r="GD155" s="62">
        <f t="shared" si="134"/>
        <v>293.33333333333496</v>
      </c>
      <c r="GE155" s="62">
        <f ca="1">AVERAGE(OFFSET($GD$3,0,0,'Données projet'!$E$17+1,1))-AVERAGE(OFFSET($H$3,0,0,'Données projet'!$E$17+1,1))</f>
        <v>181.39066880931728</v>
      </c>
      <c r="GF155" s="62">
        <f t="shared" si="158"/>
        <v>116.06078566855524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-1.7053025658242404E-13</v>
      </c>
      <c r="GV155" s="18">
        <f>GU155*VLOOKUP('Données projet'!$B$18,Paramètres!$A$1:$I$89,3,0)*VLOOKUP('Données projet'!$B$18,Paramètres!$A$1:$I$89,5,0)</f>
        <v>-1.4897523215040567E-13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152.84277478695606</v>
      </c>
      <c r="HA155" s="62">
        <f t="shared" si="160"/>
        <v>179.22995976651015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9">
        <f t="shared" si="110"/>
        <v>442.22044188882654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-9.7986685432260874E-13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383.26814640166805</v>
      </c>
      <c r="T156" s="62">
        <f t="shared" si="142"/>
        <v>233.71216103405249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6.1186256061773749E-14</v>
      </c>
      <c r="AK156" s="14">
        <f t="shared" si="164"/>
        <v>9.7328366192051127E-13</v>
      </c>
      <c r="AL156" s="22">
        <f t="shared" si="165"/>
        <v>1.8017017738191463E-12</v>
      </c>
      <c r="AM156" s="62">
        <f t="shared" si="113"/>
        <v>293.33333333333513</v>
      </c>
      <c r="AN156" s="62">
        <f ca="1">AVERAGE(OFFSET($AM$3,0,0,'Données projet'!$E$10+1,1))-AVERAGE(OFFSET($H$3,0,0,'Données projet'!$E$10+1,1))</f>
        <v>205.99910063756408</v>
      </c>
      <c r="AO156" s="62">
        <f t="shared" si="144"/>
        <v>128.95330275493671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293.3333333333353</v>
      </c>
      <c r="BI156" s="62">
        <f ca="1">AVERAGE(OFFSET($BH$3,0,0,'Données projet'!$E$11+1,1))-AVERAGE(OFFSET($H$3,0,0,'Données projet'!$E$11+1,1))</f>
        <v>222.20580087523689</v>
      </c>
      <c r="BJ156" s="62">
        <f t="shared" si="146"/>
        <v>232.08940427392253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0.87590113884819043</v>
      </c>
      <c r="BQ156" s="23">
        <f>EXP(-LN(2)/25)*BQ155+(1-EXP(-LN(2)/25))/(LN(2)/25)*Calculateur!BL156*Calculateur!BN156*VLOOKUP('Données projet'!$B$11,Paramètres!$A$1:$I$89,3,0)*0.475*44/12</f>
        <v>0.54291212793369648</v>
      </c>
      <c r="BR156" s="23">
        <f>EXP(-LN(2)/2)*BR155+(1-EXP(-LN(2)/2))/(LN(2)/2)*BL156*BO156*VLOOKUP('Données projet'!$B$11,Paramètres!$A$1:$I$89,3,0)*0.475*44/12</f>
        <v>1.9442040760829453E-18</v>
      </c>
      <c r="BS156" s="24">
        <f t="shared" si="169"/>
        <v>1.4188132667818869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5.1159076974727213E-13</v>
      </c>
      <c r="BZ156" s="14">
        <f>BY156*VLOOKUP('Données projet'!$B$12,Paramètres!$A$1:$I$89,3,0)*VLOOKUP('Données projet'!$B$12,Paramètres!$A$1:$I$89,5,0)</f>
        <v>2.3942448024172334E-13</v>
      </c>
      <c r="CA156" s="14">
        <f t="shared" si="170"/>
        <v>3.2492669905861755E-12</v>
      </c>
      <c r="CB156" s="22">
        <f t="shared" si="171"/>
        <v>6.0761376450252565E-12</v>
      </c>
      <c r="CC156" s="62">
        <f t="shared" si="119"/>
        <v>293.3333333333394</v>
      </c>
      <c r="CD156" s="62">
        <f ca="1">AVERAGE(OFFSET($CC$3,0,0,'Données projet'!$E$12+1,1))-AVERAGE(OFFSET($H$3,0,0,'Données projet'!$E$12+1,1))</f>
        <v>179.14256291235466</v>
      </c>
      <c r="CE156" s="62">
        <f t="shared" si="148"/>
        <v>107.5256983607585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-2.8421709430404007E-13</v>
      </c>
      <c r="CU156" s="18">
        <f>CT156*VLOOKUP('Données projet'!$B$13,Paramètres!$A$1:$I$89,3,0)*VLOOKUP('Données projet'!$B$13,Paramètres!$A$1:$I$89,5,0)</f>
        <v>-1.69961822393816E-13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237.03649693529445</v>
      </c>
      <c r="CZ156" s="62">
        <f t="shared" si="150"/>
        <v>191.04289411674887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1.6139045937989925E-18</v>
      </c>
      <c r="DI156" s="24">
        <f t="shared" si="175"/>
        <v>1.6139045937989925E-18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1.3096723705530166E-13</v>
      </c>
      <c r="DQ156" s="14">
        <f t="shared" si="176"/>
        <v>1.9066764221344275E-12</v>
      </c>
      <c r="DR156" s="22">
        <f t="shared" si="177"/>
        <v>3.548896039755445E-12</v>
      </c>
      <c r="DS156" s="62">
        <f t="shared" si="125"/>
        <v>293.33333333333684</v>
      </c>
      <c r="DT156" s="62">
        <f ca="1">AVERAGE(OFFSET($DS$3,0,0,'Données projet'!$E$14+1,1))-AVERAGE(OFFSET($H$3,0,0,'Données projet'!$E$14+1,1))</f>
        <v>431.38469096974364</v>
      </c>
      <c r="DU156" s="62">
        <f t="shared" si="152"/>
        <v>295.48627059086647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3.2355524917073948E-2</v>
      </c>
      <c r="EC156" s="23">
        <f>EXP(-LN(2)/2)*EC155+(1-EXP(-LN(2)/2))/(LN(2)/2)*DW156*DZ156*VLOOKUP('Données projet'!$B$14,Paramètres!$A$1:$I$89,3,0)*0.475*44/12</f>
        <v>1.1770894846657708E-18</v>
      </c>
      <c r="ED156" s="24">
        <f t="shared" si="178"/>
        <v>3.2355524917073948E-2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6.4733285398688169E-14</v>
      </c>
      <c r="EL156" s="14">
        <f t="shared" si="179"/>
        <v>1.0229736701638572E-12</v>
      </c>
      <c r="EM156" s="22">
        <f t="shared" si="180"/>
        <v>1.8944229476047665E-12</v>
      </c>
      <c r="EN156" s="62">
        <f t="shared" si="128"/>
        <v>293.33333333333519</v>
      </c>
      <c r="EO156" s="62">
        <f ca="1">AVERAGE(OFFSET($EN$3,0,0,'Données projet'!$E$15+1,1))-AVERAGE(OFFSET($H$3,0,0,'Données projet'!$E$15+1,1))</f>
        <v>220.03635832253951</v>
      </c>
      <c r="EP156" s="62">
        <f t="shared" si="154"/>
        <v>136.30639155882233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490.00000000000091</v>
      </c>
      <c r="FF156" s="18">
        <f>FE156*VLOOKUP('Données projet'!$B$16,Paramètres!$A$1:$I$89,3,0)*VLOOKUP('Données projet'!$B$16,Paramètres!$A$1:$I$89,5,0)</f>
        <v>512.14800000000105</v>
      </c>
      <c r="FG156" s="14">
        <f t="shared" si="182"/>
        <v>114.17576021740676</v>
      </c>
      <c r="FH156" s="22">
        <f t="shared" si="183"/>
        <v>1090.8472157119852</v>
      </c>
      <c r="FI156" s="62">
        <f t="shared" si="131"/>
        <v>1384.1805490453185</v>
      </c>
      <c r="FJ156" s="62">
        <f ca="1">AVERAGE(OFFSET($FI$3,0,0,'Données projet'!$E$16+1,1))-AVERAGE(OFFSET($H$3,0,0,'Données projet'!$E$16+1,1))</f>
        <v>641.62708445664862</v>
      </c>
      <c r="FK156" s="62">
        <f t="shared" si="156"/>
        <v>379.46845863546929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6.6532162824494863E-18</v>
      </c>
      <c r="FT156" s="24">
        <f t="shared" si="184"/>
        <v>6.6532162824494863E-18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5.6843418860808015E-14</v>
      </c>
      <c r="GA156" s="18">
        <f>FZ156*VLOOKUP('Données projet'!$B$17,Paramètres!$A$1:$I$89,3,0)*VLOOKUP('Données projet'!$B$17,Paramètres!$A$1:$I$89,5,0)</f>
        <v>5.4978954722173515E-14</v>
      </c>
      <c r="GB156" s="14">
        <f t="shared" si="185"/>
        <v>8.8550225887742724E-13</v>
      </c>
      <c r="GC156" s="22">
        <f t="shared" si="186"/>
        <v>1.6380047803526383E-12</v>
      </c>
      <c r="GD156" s="62">
        <f t="shared" si="134"/>
        <v>293.33333333333496</v>
      </c>
      <c r="GE156" s="62">
        <f ca="1">AVERAGE(OFFSET($GD$3,0,0,'Données projet'!$E$17+1,1))-AVERAGE(OFFSET($H$3,0,0,'Données projet'!$E$17+1,1))</f>
        <v>181.39066880931728</v>
      </c>
      <c r="GF156" s="62">
        <f t="shared" si="158"/>
        <v>116.06078566855524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-1.7053025658242404E-13</v>
      </c>
      <c r="GV156" s="18">
        <f>GU156*VLOOKUP('Données projet'!$B$18,Paramètres!$A$1:$I$89,3,0)*VLOOKUP('Données projet'!$B$18,Paramètres!$A$1:$I$89,5,0)</f>
        <v>-1.4897523215040567E-13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152.84277478695606</v>
      </c>
      <c r="HA156" s="62">
        <f t="shared" si="160"/>
        <v>179.22995976651015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9">
        <f t="shared" si="110"/>
        <v>443.40264805185802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-9.7986685432260874E-13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383.26814640166805</v>
      </c>
      <c r="T157" s="62">
        <f t="shared" si="142"/>
        <v>233.71216103405249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6.1186256061773749E-14</v>
      </c>
      <c r="AK157" s="14">
        <f t="shared" si="164"/>
        <v>9.7328366192051127E-13</v>
      </c>
      <c r="AL157" s="22">
        <f t="shared" si="165"/>
        <v>1.8017017738191463E-12</v>
      </c>
      <c r="AM157" s="62">
        <f t="shared" si="113"/>
        <v>293.33333333333513</v>
      </c>
      <c r="AN157" s="62">
        <f ca="1">AVERAGE(OFFSET($AM$3,0,0,'Données projet'!$E$10+1,1))-AVERAGE(OFFSET($H$3,0,0,'Données projet'!$E$10+1,1))</f>
        <v>205.99910063756408</v>
      </c>
      <c r="AO157" s="62">
        <f t="shared" si="144"/>
        <v>128.95330275493671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293.3333333333353</v>
      </c>
      <c r="BI157" s="62">
        <f ca="1">AVERAGE(OFFSET($BH$3,0,0,'Données projet'!$E$11+1,1))-AVERAGE(OFFSET($H$3,0,0,'Données projet'!$E$11+1,1))</f>
        <v>222.20580087523689</v>
      </c>
      <c r="BJ157" s="62">
        <f t="shared" si="146"/>
        <v>232.08940427392253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0.85872525176231962</v>
      </c>
      <c r="BQ157" s="23">
        <f>EXP(-LN(2)/25)*BQ156+(1-EXP(-LN(2)/25))/(LN(2)/25)*Calculateur!BL157*Calculateur!BN157*VLOOKUP('Données projet'!$B$11,Paramètres!$A$1:$I$89,3,0)*0.475*44/12</f>
        <v>0.52806616724484157</v>
      </c>
      <c r="BR157" s="23">
        <f>EXP(-LN(2)/2)*BR156+(1-EXP(-LN(2)/2))/(LN(2)/2)*BL157*BO157*VLOOKUP('Données projet'!$B$11,Paramètres!$A$1:$I$89,3,0)*0.475*44/12</f>
        <v>1.374759886208777E-18</v>
      </c>
      <c r="BS157" s="24">
        <f t="shared" si="169"/>
        <v>1.3867914190071611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5.1159076974727213E-13</v>
      </c>
      <c r="BZ157" s="14">
        <f>BY157*VLOOKUP('Données projet'!$B$12,Paramètres!$A$1:$I$89,3,0)*VLOOKUP('Données projet'!$B$12,Paramètres!$A$1:$I$89,5,0)</f>
        <v>2.3942448024172334E-13</v>
      </c>
      <c r="CA157" s="14">
        <f t="shared" si="170"/>
        <v>3.2492669905861755E-12</v>
      </c>
      <c r="CB157" s="22">
        <f t="shared" si="171"/>
        <v>6.0761376450252565E-12</v>
      </c>
      <c r="CC157" s="62">
        <f t="shared" si="119"/>
        <v>293.3333333333394</v>
      </c>
      <c r="CD157" s="62">
        <f ca="1">AVERAGE(OFFSET($CC$3,0,0,'Données projet'!$E$12+1,1))-AVERAGE(OFFSET($H$3,0,0,'Données projet'!$E$12+1,1))</f>
        <v>179.14256291235466</v>
      </c>
      <c r="CE157" s="62">
        <f t="shared" si="148"/>
        <v>107.5256983607585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-2.8421709430404007E-13</v>
      </c>
      <c r="CU157" s="18">
        <f>CT157*VLOOKUP('Données projet'!$B$13,Paramètres!$A$1:$I$89,3,0)*VLOOKUP('Données projet'!$B$13,Paramètres!$A$1:$I$89,5,0)</f>
        <v>-1.69961822393816E-13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237.03649693529445</v>
      </c>
      <c r="CZ157" s="62">
        <f t="shared" si="150"/>
        <v>191.04289411674887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1.1412028824633881E-18</v>
      </c>
      <c r="DI157" s="24">
        <f t="shared" si="175"/>
        <v>1.1412028824633881E-18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1.3096723705530166E-13</v>
      </c>
      <c r="DQ157" s="14">
        <f t="shared" si="176"/>
        <v>1.9066764221344275E-12</v>
      </c>
      <c r="DR157" s="22">
        <f t="shared" si="177"/>
        <v>3.548896039755445E-12</v>
      </c>
      <c r="DS157" s="62">
        <f t="shared" si="125"/>
        <v>293.33333333333684</v>
      </c>
      <c r="DT157" s="62">
        <f ca="1">AVERAGE(OFFSET($DS$3,0,0,'Données projet'!$E$14+1,1))-AVERAGE(OFFSET($H$3,0,0,'Données projet'!$E$14+1,1))</f>
        <v>431.38469096974364</v>
      </c>
      <c r="DU157" s="62">
        <f t="shared" si="152"/>
        <v>295.48627059086647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3.1470761386713453E-2</v>
      </c>
      <c r="EC157" s="23">
        <f>EXP(-LN(2)/2)*EC156+(1-EXP(-LN(2)/2))/(LN(2)/2)*DW157*DZ157*VLOOKUP('Données projet'!$B$14,Paramètres!$A$1:$I$89,3,0)*0.475*44/12</f>
        <v>8.3232795667054521E-19</v>
      </c>
      <c r="ED157" s="24">
        <f t="shared" si="178"/>
        <v>3.1470761386713453E-2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6.4733285398688169E-14</v>
      </c>
      <c r="EL157" s="14">
        <f t="shared" si="179"/>
        <v>1.0229736701638572E-12</v>
      </c>
      <c r="EM157" s="22">
        <f t="shared" si="180"/>
        <v>1.8944229476047665E-12</v>
      </c>
      <c r="EN157" s="62">
        <f t="shared" si="128"/>
        <v>293.33333333333519</v>
      </c>
      <c r="EO157" s="62">
        <f ca="1">AVERAGE(OFFSET($EN$3,0,0,'Données projet'!$E$15+1,1))-AVERAGE(OFFSET($H$3,0,0,'Données projet'!$E$15+1,1))</f>
        <v>220.03635832253951</v>
      </c>
      <c r="EP157" s="62">
        <f t="shared" si="154"/>
        <v>136.30639155882233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490.00000000000091</v>
      </c>
      <c r="FF157" s="18">
        <f>FE157*VLOOKUP('Données projet'!$B$16,Paramètres!$A$1:$I$89,3,0)*VLOOKUP('Données projet'!$B$16,Paramètres!$A$1:$I$89,5,0)</f>
        <v>512.14800000000105</v>
      </c>
      <c r="FG157" s="14">
        <f t="shared" si="182"/>
        <v>114.17576021740676</v>
      </c>
      <c r="FH157" s="22">
        <f t="shared" si="183"/>
        <v>1090.8472157119852</v>
      </c>
      <c r="FI157" s="62">
        <f t="shared" si="131"/>
        <v>1384.1805490453185</v>
      </c>
      <c r="FJ157" s="62">
        <f ca="1">AVERAGE(OFFSET($FI$3,0,0,'Données projet'!$E$16+1,1))-AVERAGE(OFFSET($H$3,0,0,'Données projet'!$E$16+1,1))</f>
        <v>641.62708445664862</v>
      </c>
      <c r="FK157" s="62">
        <f t="shared" si="156"/>
        <v>379.46845863546929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4.704534350020784E-18</v>
      </c>
      <c r="FT157" s="24">
        <f t="shared" si="184"/>
        <v>4.704534350020784E-18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5.6843418860808015E-14</v>
      </c>
      <c r="GA157" s="18">
        <f>FZ157*VLOOKUP('Données projet'!$B$17,Paramètres!$A$1:$I$89,3,0)*VLOOKUP('Données projet'!$B$17,Paramètres!$A$1:$I$89,5,0)</f>
        <v>5.4978954722173515E-14</v>
      </c>
      <c r="GB157" s="14">
        <f t="shared" si="185"/>
        <v>8.8550225887742724E-13</v>
      </c>
      <c r="GC157" s="22">
        <f t="shared" si="186"/>
        <v>1.6380047803526383E-12</v>
      </c>
      <c r="GD157" s="62">
        <f t="shared" si="134"/>
        <v>293.33333333333496</v>
      </c>
      <c r="GE157" s="62">
        <f ca="1">AVERAGE(OFFSET($GD$3,0,0,'Données projet'!$E$17+1,1))-AVERAGE(OFFSET($H$3,0,0,'Données projet'!$E$17+1,1))</f>
        <v>181.39066880931728</v>
      </c>
      <c r="GF157" s="62">
        <f t="shared" si="158"/>
        <v>116.06078566855524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-1.7053025658242404E-13</v>
      </c>
      <c r="GV157" s="18">
        <f>GU157*VLOOKUP('Données projet'!$B$18,Paramètres!$A$1:$I$89,3,0)*VLOOKUP('Données projet'!$B$18,Paramètres!$A$1:$I$89,5,0)</f>
        <v>-1.4897523215040567E-13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152.84277478695606</v>
      </c>
      <c r="HA157" s="62">
        <f t="shared" si="160"/>
        <v>179.22995976651015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9">
        <f t="shared" si="110"/>
        <v>444.58467948601304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-9.7986685432260874E-13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383.26814640166805</v>
      </c>
      <c r="T158" s="62">
        <f t="shared" si="142"/>
        <v>233.71216103405249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6.1186256061773749E-14</v>
      </c>
      <c r="AK158" s="14">
        <f t="shared" si="164"/>
        <v>9.7328366192051127E-13</v>
      </c>
      <c r="AL158" s="22">
        <f t="shared" si="165"/>
        <v>1.8017017738191463E-12</v>
      </c>
      <c r="AM158" s="62">
        <f t="shared" si="113"/>
        <v>293.33333333333513</v>
      </c>
      <c r="AN158" s="62">
        <f ca="1">AVERAGE(OFFSET($AM$3,0,0,'Données projet'!$E$10+1,1))-AVERAGE(OFFSET($H$3,0,0,'Données projet'!$E$10+1,1))</f>
        <v>205.99910063756408</v>
      </c>
      <c r="AO158" s="62">
        <f t="shared" si="144"/>
        <v>128.95330275493671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293.3333333333353</v>
      </c>
      <c r="BI158" s="62">
        <f ca="1">AVERAGE(OFFSET($BH$3,0,0,'Données projet'!$E$11+1,1))-AVERAGE(OFFSET($H$3,0,0,'Données projet'!$E$11+1,1))</f>
        <v>222.20580087523689</v>
      </c>
      <c r="BJ158" s="62">
        <f t="shared" si="146"/>
        <v>232.08940427392253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0.84188617334594607</v>
      </c>
      <c r="BQ158" s="23">
        <f>EXP(-LN(2)/25)*BQ157+(1-EXP(-LN(2)/25))/(LN(2)/25)*Calculateur!BL158*Calculateur!BN158*VLOOKUP('Données projet'!$B$11,Paramètres!$A$1:$I$89,3,0)*0.475*44/12</f>
        <v>0.5136261701317385</v>
      </c>
      <c r="BR158" s="23">
        <f>EXP(-LN(2)/2)*BR157+(1-EXP(-LN(2)/2))/(LN(2)/2)*BL158*BO158*VLOOKUP('Données projet'!$B$11,Paramètres!$A$1:$I$89,3,0)*0.475*44/12</f>
        <v>9.7210203804147266E-19</v>
      </c>
      <c r="BS158" s="24">
        <f t="shared" si="169"/>
        <v>1.3555123434776846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5.1159076974727213E-13</v>
      </c>
      <c r="BZ158" s="14">
        <f>BY158*VLOOKUP('Données projet'!$B$12,Paramètres!$A$1:$I$89,3,0)*VLOOKUP('Données projet'!$B$12,Paramètres!$A$1:$I$89,5,0)</f>
        <v>2.3942448024172334E-13</v>
      </c>
      <c r="CA158" s="14">
        <f t="shared" si="170"/>
        <v>3.2492669905861755E-12</v>
      </c>
      <c r="CB158" s="22">
        <f t="shared" si="171"/>
        <v>6.0761376450252565E-12</v>
      </c>
      <c r="CC158" s="62">
        <f t="shared" si="119"/>
        <v>293.3333333333394</v>
      </c>
      <c r="CD158" s="62">
        <f ca="1">AVERAGE(OFFSET($CC$3,0,0,'Données projet'!$E$12+1,1))-AVERAGE(OFFSET($H$3,0,0,'Données projet'!$E$12+1,1))</f>
        <v>179.14256291235466</v>
      </c>
      <c r="CE158" s="62">
        <f t="shared" si="148"/>
        <v>107.5256983607585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-2.8421709430404007E-13</v>
      </c>
      <c r="CU158" s="18">
        <f>CT158*VLOOKUP('Données projet'!$B$13,Paramètres!$A$1:$I$89,3,0)*VLOOKUP('Données projet'!$B$13,Paramètres!$A$1:$I$89,5,0)</f>
        <v>-1.69961822393816E-13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237.03649693529445</v>
      </c>
      <c r="CZ158" s="62">
        <f t="shared" si="150"/>
        <v>191.04289411674887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8.0695229689949627E-19</v>
      </c>
      <c r="DI158" s="24">
        <f t="shared" si="175"/>
        <v>8.0695229689949627E-19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1.3096723705530166E-13</v>
      </c>
      <c r="DQ158" s="14">
        <f t="shared" si="176"/>
        <v>1.9066764221344275E-12</v>
      </c>
      <c r="DR158" s="22">
        <f t="shared" si="177"/>
        <v>3.548896039755445E-12</v>
      </c>
      <c r="DS158" s="62">
        <f t="shared" si="125"/>
        <v>293.33333333333684</v>
      </c>
      <c r="DT158" s="62">
        <f ca="1">AVERAGE(OFFSET($DS$3,0,0,'Données projet'!$E$14+1,1))-AVERAGE(OFFSET($H$3,0,0,'Données projet'!$E$14+1,1))</f>
        <v>431.38469096974364</v>
      </c>
      <c r="DU158" s="62">
        <f t="shared" si="152"/>
        <v>295.48627059086647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3.0610191761618361E-2</v>
      </c>
      <c r="EC158" s="23">
        <f>EXP(-LN(2)/2)*EC157+(1-EXP(-LN(2)/2))/(LN(2)/2)*DW158*DZ158*VLOOKUP('Données projet'!$B$14,Paramètres!$A$1:$I$89,3,0)*0.475*44/12</f>
        <v>5.8854474233288541E-19</v>
      </c>
      <c r="ED158" s="24">
        <f t="shared" si="178"/>
        <v>3.0610191761618361E-2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6.4733285398688169E-14</v>
      </c>
      <c r="EL158" s="14">
        <f t="shared" si="179"/>
        <v>1.0229736701638572E-12</v>
      </c>
      <c r="EM158" s="22">
        <f t="shared" si="180"/>
        <v>1.8944229476047665E-12</v>
      </c>
      <c r="EN158" s="62">
        <f t="shared" si="128"/>
        <v>293.33333333333519</v>
      </c>
      <c r="EO158" s="62">
        <f ca="1">AVERAGE(OFFSET($EN$3,0,0,'Données projet'!$E$15+1,1))-AVERAGE(OFFSET($H$3,0,0,'Données projet'!$E$15+1,1))</f>
        <v>220.03635832253951</v>
      </c>
      <c r="EP158" s="62">
        <f t="shared" si="154"/>
        <v>136.30639155882233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490.00000000000091</v>
      </c>
      <c r="FF158" s="18">
        <f>FE158*VLOOKUP('Données projet'!$B$16,Paramètres!$A$1:$I$89,3,0)*VLOOKUP('Données projet'!$B$16,Paramètres!$A$1:$I$89,5,0)</f>
        <v>512.14800000000105</v>
      </c>
      <c r="FG158" s="14">
        <f t="shared" si="182"/>
        <v>114.17576021740676</v>
      </c>
      <c r="FH158" s="22">
        <f t="shared" si="183"/>
        <v>1090.8472157119852</v>
      </c>
      <c r="FI158" s="62">
        <f t="shared" si="131"/>
        <v>1384.1805490453185</v>
      </c>
      <c r="FJ158" s="62">
        <f ca="1">AVERAGE(OFFSET($FI$3,0,0,'Données projet'!$E$16+1,1))-AVERAGE(OFFSET($H$3,0,0,'Données projet'!$E$16+1,1))</f>
        <v>641.62708445664862</v>
      </c>
      <c r="FK158" s="62">
        <f t="shared" si="156"/>
        <v>379.46845863546929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3.3266081412247431E-18</v>
      </c>
      <c r="FT158" s="24">
        <f t="shared" si="184"/>
        <v>3.3266081412247431E-18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5.6843418860808015E-14</v>
      </c>
      <c r="GA158" s="18">
        <f>FZ158*VLOOKUP('Données projet'!$B$17,Paramètres!$A$1:$I$89,3,0)*VLOOKUP('Données projet'!$B$17,Paramètres!$A$1:$I$89,5,0)</f>
        <v>5.4978954722173515E-14</v>
      </c>
      <c r="GB158" s="14">
        <f t="shared" si="185"/>
        <v>8.8550225887742724E-13</v>
      </c>
      <c r="GC158" s="22">
        <f t="shared" si="186"/>
        <v>1.6380047803526383E-12</v>
      </c>
      <c r="GD158" s="62">
        <f t="shared" si="134"/>
        <v>293.33333333333496</v>
      </c>
      <c r="GE158" s="62">
        <f ca="1">AVERAGE(OFFSET($GD$3,0,0,'Données projet'!$E$17+1,1))-AVERAGE(OFFSET($H$3,0,0,'Données projet'!$E$17+1,1))</f>
        <v>181.39066880931728</v>
      </c>
      <c r="GF158" s="62">
        <f t="shared" si="158"/>
        <v>116.06078566855524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-1.7053025658242404E-13</v>
      </c>
      <c r="GV158" s="18">
        <f>GU158*VLOOKUP('Données projet'!$B$18,Paramètres!$A$1:$I$89,3,0)*VLOOKUP('Données projet'!$B$18,Paramètres!$A$1:$I$89,5,0)</f>
        <v>-1.4897523215040567E-13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152.84277478695606</v>
      </c>
      <c r="HA158" s="62">
        <f t="shared" si="160"/>
        <v>179.22995976651015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9">
        <f t="shared" si="110"/>
        <v>445.76653744933537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-9.7986685432260874E-13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383.26814640166805</v>
      </c>
      <c r="T159" s="62">
        <f t="shared" si="142"/>
        <v>233.71216103405249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6.1186256061773749E-14</v>
      </c>
      <c r="AK159" s="14">
        <f t="shared" si="164"/>
        <v>9.7328366192051127E-13</v>
      </c>
      <c r="AL159" s="22">
        <f t="shared" si="165"/>
        <v>1.8017017738191463E-12</v>
      </c>
      <c r="AM159" s="62">
        <f t="shared" si="113"/>
        <v>293.33333333333513</v>
      </c>
      <c r="AN159" s="62">
        <f ca="1">AVERAGE(OFFSET($AM$3,0,0,'Données projet'!$E$10+1,1))-AVERAGE(OFFSET($H$3,0,0,'Données projet'!$E$10+1,1))</f>
        <v>205.99910063756408</v>
      </c>
      <c r="AO159" s="62">
        <f t="shared" si="144"/>
        <v>128.95330275493671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293.3333333333353</v>
      </c>
      <c r="BI159" s="62">
        <f ca="1">AVERAGE(OFFSET($BH$3,0,0,'Données projet'!$E$11+1,1))-AVERAGE(OFFSET($H$3,0,0,'Données projet'!$E$11+1,1))</f>
        <v>222.20580087523689</v>
      </c>
      <c r="BJ159" s="62">
        <f t="shared" si="146"/>
        <v>232.08940427392253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0.82537729898649392</v>
      </c>
      <c r="BQ159" s="23">
        <f>EXP(-LN(2)/25)*BQ158+(1-EXP(-LN(2)/25))/(LN(2)/25)*Calculateur!BL159*Calculateur!BN159*VLOOKUP('Données projet'!$B$11,Paramètres!$A$1:$I$89,3,0)*0.475*44/12</f>
        <v>0.49958103549905974</v>
      </c>
      <c r="BR159" s="23">
        <f>EXP(-LN(2)/2)*BR158+(1-EXP(-LN(2)/2))/(LN(2)/2)*BL159*BO159*VLOOKUP('Données projet'!$B$11,Paramètres!$A$1:$I$89,3,0)*0.475*44/12</f>
        <v>6.8737994310438851E-19</v>
      </c>
      <c r="BS159" s="24">
        <f t="shared" si="169"/>
        <v>1.3249583344855536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5.1159076974727213E-13</v>
      </c>
      <c r="BZ159" s="14">
        <f>BY159*VLOOKUP('Données projet'!$B$12,Paramètres!$A$1:$I$89,3,0)*VLOOKUP('Données projet'!$B$12,Paramètres!$A$1:$I$89,5,0)</f>
        <v>2.3942448024172334E-13</v>
      </c>
      <c r="CA159" s="14">
        <f t="shared" si="170"/>
        <v>3.2492669905861755E-12</v>
      </c>
      <c r="CB159" s="22">
        <f t="shared" si="171"/>
        <v>6.0761376450252565E-12</v>
      </c>
      <c r="CC159" s="62">
        <f t="shared" si="119"/>
        <v>293.3333333333394</v>
      </c>
      <c r="CD159" s="62">
        <f ca="1">AVERAGE(OFFSET($CC$3,0,0,'Données projet'!$E$12+1,1))-AVERAGE(OFFSET($H$3,0,0,'Données projet'!$E$12+1,1))</f>
        <v>179.14256291235466</v>
      </c>
      <c r="CE159" s="62">
        <f t="shared" si="148"/>
        <v>107.5256983607585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-2.8421709430404007E-13</v>
      </c>
      <c r="CU159" s="18">
        <f>CT159*VLOOKUP('Données projet'!$B$13,Paramètres!$A$1:$I$89,3,0)*VLOOKUP('Données projet'!$B$13,Paramètres!$A$1:$I$89,5,0)</f>
        <v>-1.69961822393816E-13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237.03649693529445</v>
      </c>
      <c r="CZ159" s="62">
        <f t="shared" si="150"/>
        <v>191.04289411674887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5.7060144123169403E-19</v>
      </c>
      <c r="DI159" s="24">
        <f t="shared" si="175"/>
        <v>5.7060144123169403E-19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1.3096723705530166E-13</v>
      </c>
      <c r="DQ159" s="14">
        <f t="shared" si="176"/>
        <v>1.9066764221344275E-12</v>
      </c>
      <c r="DR159" s="22">
        <f t="shared" si="177"/>
        <v>3.548896039755445E-12</v>
      </c>
      <c r="DS159" s="62">
        <f t="shared" si="125"/>
        <v>293.33333333333684</v>
      </c>
      <c r="DT159" s="62">
        <f ca="1">AVERAGE(OFFSET($DS$3,0,0,'Données projet'!$E$14+1,1))-AVERAGE(OFFSET($H$3,0,0,'Données projet'!$E$14+1,1))</f>
        <v>431.38469096974364</v>
      </c>
      <c r="DU159" s="62">
        <f t="shared" si="152"/>
        <v>295.48627059086647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2.9773154458176881E-2</v>
      </c>
      <c r="EC159" s="23">
        <f>EXP(-LN(2)/2)*EC158+(1-EXP(-LN(2)/2))/(LN(2)/2)*DW159*DZ159*VLOOKUP('Données projet'!$B$14,Paramètres!$A$1:$I$89,3,0)*0.475*44/12</f>
        <v>4.161639783352726E-19</v>
      </c>
      <c r="ED159" s="24">
        <f t="shared" si="178"/>
        <v>2.9773154458176881E-2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6.4733285398688169E-14</v>
      </c>
      <c r="EL159" s="14">
        <f t="shared" si="179"/>
        <v>1.0229736701638572E-12</v>
      </c>
      <c r="EM159" s="22">
        <f t="shared" si="180"/>
        <v>1.8944229476047665E-12</v>
      </c>
      <c r="EN159" s="62">
        <f t="shared" si="128"/>
        <v>293.33333333333519</v>
      </c>
      <c r="EO159" s="62">
        <f ca="1">AVERAGE(OFFSET($EN$3,0,0,'Données projet'!$E$15+1,1))-AVERAGE(OFFSET($H$3,0,0,'Données projet'!$E$15+1,1))</f>
        <v>220.03635832253951</v>
      </c>
      <c r="EP159" s="62">
        <f t="shared" si="154"/>
        <v>136.30639155882233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490.00000000000091</v>
      </c>
      <c r="FF159" s="18">
        <f>FE159*VLOOKUP('Données projet'!$B$16,Paramètres!$A$1:$I$89,3,0)*VLOOKUP('Données projet'!$B$16,Paramètres!$A$1:$I$89,5,0)</f>
        <v>512.14800000000105</v>
      </c>
      <c r="FG159" s="14">
        <f t="shared" si="182"/>
        <v>114.17576021740676</v>
      </c>
      <c r="FH159" s="22">
        <f t="shared" si="183"/>
        <v>1090.8472157119852</v>
      </c>
      <c r="FI159" s="62">
        <f t="shared" si="131"/>
        <v>1384.1805490453185</v>
      </c>
      <c r="FJ159" s="62">
        <f ca="1">AVERAGE(OFFSET($FI$3,0,0,'Données projet'!$E$16+1,1))-AVERAGE(OFFSET($H$3,0,0,'Données projet'!$E$16+1,1))</f>
        <v>641.62708445664862</v>
      </c>
      <c r="FK159" s="62">
        <f t="shared" si="156"/>
        <v>379.46845863546929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2.352267175010392E-18</v>
      </c>
      <c r="FT159" s="24">
        <f t="shared" si="184"/>
        <v>2.352267175010392E-18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5.6843418860808015E-14</v>
      </c>
      <c r="GA159" s="18">
        <f>FZ159*VLOOKUP('Données projet'!$B$17,Paramètres!$A$1:$I$89,3,0)*VLOOKUP('Données projet'!$B$17,Paramètres!$A$1:$I$89,5,0)</f>
        <v>5.4978954722173515E-14</v>
      </c>
      <c r="GB159" s="14">
        <f t="shared" si="185"/>
        <v>8.8550225887742724E-13</v>
      </c>
      <c r="GC159" s="22">
        <f t="shared" si="186"/>
        <v>1.6380047803526383E-12</v>
      </c>
      <c r="GD159" s="62">
        <f t="shared" si="134"/>
        <v>293.33333333333496</v>
      </c>
      <c r="GE159" s="62">
        <f ca="1">AVERAGE(OFFSET($GD$3,0,0,'Données projet'!$E$17+1,1))-AVERAGE(OFFSET($H$3,0,0,'Données projet'!$E$17+1,1))</f>
        <v>181.39066880931728</v>
      </c>
      <c r="GF159" s="62">
        <f t="shared" si="158"/>
        <v>116.06078566855524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-1.7053025658242404E-13</v>
      </c>
      <c r="GV159" s="18">
        <f>GU159*VLOOKUP('Données projet'!$B$18,Paramètres!$A$1:$I$89,3,0)*VLOOKUP('Données projet'!$B$18,Paramètres!$A$1:$I$89,5,0)</f>
        <v>-1.4897523215040567E-13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152.84277478695606</v>
      </c>
      <c r="HA159" s="62">
        <f t="shared" si="160"/>
        <v>179.22995976651015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9">
        <f t="shared" si="110"/>
        <v>446.94822318280762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-9.7986685432260874E-13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383.26814640166805</v>
      </c>
      <c r="T160" s="62">
        <f t="shared" si="142"/>
        <v>233.71216103405249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6.1186256061773749E-14</v>
      </c>
      <c r="AK160" s="14">
        <f t="shared" si="164"/>
        <v>9.7328366192051127E-13</v>
      </c>
      <c r="AL160" s="22">
        <f t="shared" si="165"/>
        <v>1.8017017738191463E-12</v>
      </c>
      <c r="AM160" s="62">
        <f t="shared" si="113"/>
        <v>293.33333333333513</v>
      </c>
      <c r="AN160" s="62">
        <f ca="1">AVERAGE(OFFSET($AM$3,0,0,'Données projet'!$E$10+1,1))-AVERAGE(OFFSET($H$3,0,0,'Données projet'!$E$10+1,1))</f>
        <v>205.99910063756408</v>
      </c>
      <c r="AO160" s="62">
        <f t="shared" si="144"/>
        <v>128.95330275493671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293.3333333333353</v>
      </c>
      <c r="BI160" s="62">
        <f ca="1">AVERAGE(OFFSET($BH$3,0,0,'Données projet'!$E$11+1,1))-AVERAGE(OFFSET($H$3,0,0,'Données projet'!$E$11+1,1))</f>
        <v>222.20580087523689</v>
      </c>
      <c r="BJ160" s="62">
        <f t="shared" si="146"/>
        <v>232.08940427392253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0.80919215358381158</v>
      </c>
      <c r="BQ160" s="23">
        <f>EXP(-LN(2)/25)*BQ159+(1-EXP(-LN(2)/25))/(LN(2)/25)*Calculateur!BL160*Calculateur!BN160*VLOOKUP('Données projet'!$B$11,Paramètres!$A$1:$I$89,3,0)*0.475*44/12</f>
        <v>0.48591996581151309</v>
      </c>
      <c r="BR160" s="23">
        <f>EXP(-LN(2)/2)*BR159+(1-EXP(-LN(2)/2))/(LN(2)/2)*BL160*BO160*VLOOKUP('Données projet'!$B$11,Paramètres!$A$1:$I$89,3,0)*0.475*44/12</f>
        <v>4.8605101902073633E-19</v>
      </c>
      <c r="BS160" s="24">
        <f t="shared" si="169"/>
        <v>1.2951121193953248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5.1159076974727213E-13</v>
      </c>
      <c r="BZ160" s="14">
        <f>BY160*VLOOKUP('Données projet'!$B$12,Paramètres!$A$1:$I$89,3,0)*VLOOKUP('Données projet'!$B$12,Paramètres!$A$1:$I$89,5,0)</f>
        <v>2.3942448024172334E-13</v>
      </c>
      <c r="CA160" s="14">
        <f t="shared" si="170"/>
        <v>3.2492669905861755E-12</v>
      </c>
      <c r="CB160" s="22">
        <f t="shared" si="171"/>
        <v>6.0761376450252565E-12</v>
      </c>
      <c r="CC160" s="62">
        <f t="shared" si="119"/>
        <v>293.3333333333394</v>
      </c>
      <c r="CD160" s="62">
        <f ca="1">AVERAGE(OFFSET($CC$3,0,0,'Données projet'!$E$12+1,1))-AVERAGE(OFFSET($H$3,0,0,'Données projet'!$E$12+1,1))</f>
        <v>179.14256291235466</v>
      </c>
      <c r="CE160" s="62">
        <f t="shared" si="148"/>
        <v>107.5256983607585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-2.8421709430404007E-13</v>
      </c>
      <c r="CU160" s="18">
        <f>CT160*VLOOKUP('Données projet'!$B$13,Paramètres!$A$1:$I$89,3,0)*VLOOKUP('Données projet'!$B$13,Paramètres!$A$1:$I$89,5,0)</f>
        <v>-1.69961822393816E-13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237.03649693529445</v>
      </c>
      <c r="CZ160" s="62">
        <f t="shared" si="150"/>
        <v>191.04289411674887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4.0347614844974813E-19</v>
      </c>
      <c r="DI160" s="24">
        <f t="shared" si="175"/>
        <v>4.0347614844974813E-19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1.3096723705530166E-13</v>
      </c>
      <c r="DQ160" s="14">
        <f t="shared" si="176"/>
        <v>1.9066764221344275E-12</v>
      </c>
      <c r="DR160" s="22">
        <f t="shared" si="177"/>
        <v>3.548896039755445E-12</v>
      </c>
      <c r="DS160" s="62">
        <f t="shared" si="125"/>
        <v>293.33333333333684</v>
      </c>
      <c r="DT160" s="62">
        <f ca="1">AVERAGE(OFFSET($DS$3,0,0,'Données projet'!$E$14+1,1))-AVERAGE(OFFSET($H$3,0,0,'Données projet'!$E$14+1,1))</f>
        <v>431.38469096974364</v>
      </c>
      <c r="DU160" s="62">
        <f t="shared" si="152"/>
        <v>295.48627059086647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2.8959005983815889E-2</v>
      </c>
      <c r="EC160" s="23">
        <f>EXP(-LN(2)/2)*EC159+(1-EXP(-LN(2)/2))/(LN(2)/2)*DW160*DZ160*VLOOKUP('Données projet'!$B$14,Paramètres!$A$1:$I$89,3,0)*0.475*44/12</f>
        <v>2.9427237116644271E-19</v>
      </c>
      <c r="ED160" s="24">
        <f t="shared" si="178"/>
        <v>2.8959005983815889E-2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6.4733285398688169E-14</v>
      </c>
      <c r="EL160" s="14">
        <f t="shared" si="179"/>
        <v>1.0229736701638572E-12</v>
      </c>
      <c r="EM160" s="22">
        <f t="shared" si="180"/>
        <v>1.8944229476047665E-12</v>
      </c>
      <c r="EN160" s="62">
        <f t="shared" si="128"/>
        <v>293.33333333333519</v>
      </c>
      <c r="EO160" s="62">
        <f ca="1">AVERAGE(OFFSET($EN$3,0,0,'Données projet'!$E$15+1,1))-AVERAGE(OFFSET($H$3,0,0,'Données projet'!$E$15+1,1))</f>
        <v>220.03635832253951</v>
      </c>
      <c r="EP160" s="62">
        <f t="shared" si="154"/>
        <v>136.30639155882233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490.00000000000091</v>
      </c>
      <c r="FF160" s="18">
        <f>FE160*VLOOKUP('Données projet'!$B$16,Paramètres!$A$1:$I$89,3,0)*VLOOKUP('Données projet'!$B$16,Paramètres!$A$1:$I$89,5,0)</f>
        <v>512.14800000000105</v>
      </c>
      <c r="FG160" s="14">
        <f t="shared" si="182"/>
        <v>114.17576021740676</v>
      </c>
      <c r="FH160" s="22">
        <f t="shared" si="183"/>
        <v>1090.8472157119852</v>
      </c>
      <c r="FI160" s="62">
        <f t="shared" si="131"/>
        <v>1384.1805490453185</v>
      </c>
      <c r="FJ160" s="62">
        <f ca="1">AVERAGE(OFFSET($FI$3,0,0,'Données projet'!$E$16+1,1))-AVERAGE(OFFSET($H$3,0,0,'Données projet'!$E$16+1,1))</f>
        <v>641.62708445664862</v>
      </c>
      <c r="FK160" s="62">
        <f t="shared" si="156"/>
        <v>379.46845863546929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1.6633040706123716E-18</v>
      </c>
      <c r="FT160" s="24">
        <f t="shared" si="184"/>
        <v>1.6633040706123716E-18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5.6843418860808015E-14</v>
      </c>
      <c r="GA160" s="18">
        <f>FZ160*VLOOKUP('Données projet'!$B$17,Paramètres!$A$1:$I$89,3,0)*VLOOKUP('Données projet'!$B$17,Paramètres!$A$1:$I$89,5,0)</f>
        <v>5.4978954722173515E-14</v>
      </c>
      <c r="GB160" s="14">
        <f t="shared" si="185"/>
        <v>8.8550225887742724E-13</v>
      </c>
      <c r="GC160" s="22">
        <f t="shared" si="186"/>
        <v>1.6380047803526383E-12</v>
      </c>
      <c r="GD160" s="62">
        <f t="shared" si="134"/>
        <v>293.33333333333496</v>
      </c>
      <c r="GE160" s="62">
        <f ca="1">AVERAGE(OFFSET($GD$3,0,0,'Données projet'!$E$17+1,1))-AVERAGE(OFFSET($H$3,0,0,'Données projet'!$E$17+1,1))</f>
        <v>181.39066880931728</v>
      </c>
      <c r="GF160" s="62">
        <f t="shared" si="158"/>
        <v>116.06078566855524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-1.7053025658242404E-13</v>
      </c>
      <c r="GV160" s="18">
        <f>GU160*VLOOKUP('Données projet'!$B$18,Paramètres!$A$1:$I$89,3,0)*VLOOKUP('Données projet'!$B$18,Paramètres!$A$1:$I$89,5,0)</f>
        <v>-1.4897523215040567E-13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152.84277478695606</v>
      </c>
      <c r="HA160" s="62">
        <f t="shared" si="160"/>
        <v>179.22995976651015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9">
        <f t="shared" si="110"/>
        <v>448.12973791068919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-9.7986685432260874E-13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383.26814640166805</v>
      </c>
      <c r="T161" s="62">
        <f t="shared" si="142"/>
        <v>233.71216103405249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6.1186256061773749E-14</v>
      </c>
      <c r="AK161" s="14">
        <f t="shared" si="164"/>
        <v>9.7328366192051127E-13</v>
      </c>
      <c r="AL161" s="22">
        <f t="shared" si="165"/>
        <v>1.8017017738191463E-12</v>
      </c>
      <c r="AM161" s="62">
        <f t="shared" si="113"/>
        <v>293.33333333333513</v>
      </c>
      <c r="AN161" s="62">
        <f ca="1">AVERAGE(OFFSET($AM$3,0,0,'Données projet'!$E$10+1,1))-AVERAGE(OFFSET($H$3,0,0,'Données projet'!$E$10+1,1))</f>
        <v>205.99910063756408</v>
      </c>
      <c r="AO161" s="62">
        <f t="shared" si="144"/>
        <v>128.95330275493671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293.3333333333353</v>
      </c>
      <c r="BI161" s="62">
        <f ca="1">AVERAGE(OFFSET($BH$3,0,0,'Données projet'!$E$11+1,1))-AVERAGE(OFFSET($H$3,0,0,'Données projet'!$E$11+1,1))</f>
        <v>222.20580087523689</v>
      </c>
      <c r="BJ161" s="62">
        <f t="shared" si="146"/>
        <v>232.08940427392253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0.79332438901051183</v>
      </c>
      <c r="BQ161" s="23">
        <f>EXP(-LN(2)/25)*BQ160+(1-EXP(-LN(2)/25))/(LN(2)/25)*Calculateur!BL161*Calculateur!BN161*VLOOKUP('Données projet'!$B$11,Paramètres!$A$1:$I$89,3,0)*0.475*44/12</f>
        <v>0.47263245879297683</v>
      </c>
      <c r="BR161" s="23">
        <f>EXP(-LN(2)/2)*BR160+(1-EXP(-LN(2)/2))/(LN(2)/2)*BL161*BO161*VLOOKUP('Données projet'!$B$11,Paramètres!$A$1:$I$89,3,0)*0.475*44/12</f>
        <v>3.4368997155219425E-19</v>
      </c>
      <c r="BS161" s="24">
        <f t="shared" si="169"/>
        <v>1.2659568478034886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5.1159076974727213E-13</v>
      </c>
      <c r="BZ161" s="14">
        <f>BY161*VLOOKUP('Données projet'!$B$12,Paramètres!$A$1:$I$89,3,0)*VLOOKUP('Données projet'!$B$12,Paramètres!$A$1:$I$89,5,0)</f>
        <v>2.3942448024172334E-13</v>
      </c>
      <c r="CA161" s="14">
        <f t="shared" si="170"/>
        <v>3.2492669905861755E-12</v>
      </c>
      <c r="CB161" s="22">
        <f t="shared" si="171"/>
        <v>6.0761376450252565E-12</v>
      </c>
      <c r="CC161" s="62">
        <f t="shared" si="119"/>
        <v>293.3333333333394</v>
      </c>
      <c r="CD161" s="62">
        <f ca="1">AVERAGE(OFFSET($CC$3,0,0,'Données projet'!$E$12+1,1))-AVERAGE(OFFSET($H$3,0,0,'Données projet'!$E$12+1,1))</f>
        <v>179.14256291235466</v>
      </c>
      <c r="CE161" s="62">
        <f t="shared" si="148"/>
        <v>107.5256983607585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-2.8421709430404007E-13</v>
      </c>
      <c r="CU161" s="18">
        <f>CT161*VLOOKUP('Données projet'!$B$13,Paramètres!$A$1:$I$89,3,0)*VLOOKUP('Données projet'!$B$13,Paramètres!$A$1:$I$89,5,0)</f>
        <v>-1.69961822393816E-13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237.03649693529445</v>
      </c>
      <c r="CZ161" s="62">
        <f t="shared" si="150"/>
        <v>191.04289411674887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2.8530072061584702E-19</v>
      </c>
      <c r="DI161" s="24">
        <f t="shared" si="175"/>
        <v>2.8530072061584702E-19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1.3096723705530166E-13</v>
      </c>
      <c r="DQ161" s="14">
        <f t="shared" si="176"/>
        <v>1.9066764221344275E-12</v>
      </c>
      <c r="DR161" s="22">
        <f t="shared" si="177"/>
        <v>3.548896039755445E-12</v>
      </c>
      <c r="DS161" s="62">
        <f t="shared" si="125"/>
        <v>293.33333333333684</v>
      </c>
      <c r="DT161" s="62">
        <f ca="1">AVERAGE(OFFSET($DS$3,0,0,'Données projet'!$E$14+1,1))-AVERAGE(OFFSET($H$3,0,0,'Données projet'!$E$14+1,1))</f>
        <v>431.38469096974364</v>
      </c>
      <c r="DU161" s="62">
        <f t="shared" si="152"/>
        <v>295.48627059086647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2.8167120442300506E-2</v>
      </c>
      <c r="EC161" s="23">
        <f>EXP(-LN(2)/2)*EC160+(1-EXP(-LN(2)/2))/(LN(2)/2)*DW161*DZ161*VLOOKUP('Données projet'!$B$14,Paramètres!$A$1:$I$89,3,0)*0.475*44/12</f>
        <v>2.080819891676363E-19</v>
      </c>
      <c r="ED161" s="24">
        <f t="shared" si="178"/>
        <v>2.8167120442300506E-2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6.4733285398688169E-14</v>
      </c>
      <c r="EL161" s="14">
        <f t="shared" si="179"/>
        <v>1.0229736701638572E-12</v>
      </c>
      <c r="EM161" s="22">
        <f t="shared" si="180"/>
        <v>1.8944229476047665E-12</v>
      </c>
      <c r="EN161" s="62">
        <f t="shared" si="128"/>
        <v>293.33333333333519</v>
      </c>
      <c r="EO161" s="62">
        <f ca="1">AVERAGE(OFFSET($EN$3,0,0,'Données projet'!$E$15+1,1))-AVERAGE(OFFSET($H$3,0,0,'Données projet'!$E$15+1,1))</f>
        <v>220.03635832253951</v>
      </c>
      <c r="EP161" s="62">
        <f t="shared" si="154"/>
        <v>136.30639155882233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490.00000000000091</v>
      </c>
      <c r="FF161" s="18">
        <f>FE161*VLOOKUP('Données projet'!$B$16,Paramètres!$A$1:$I$89,3,0)*VLOOKUP('Données projet'!$B$16,Paramètres!$A$1:$I$89,5,0)</f>
        <v>512.14800000000105</v>
      </c>
      <c r="FG161" s="14">
        <f t="shared" si="182"/>
        <v>114.17576021740676</v>
      </c>
      <c r="FH161" s="22">
        <f t="shared" si="183"/>
        <v>1090.8472157119852</v>
      </c>
      <c r="FI161" s="62">
        <f t="shared" si="131"/>
        <v>1384.1805490453185</v>
      </c>
      <c r="FJ161" s="62">
        <f ca="1">AVERAGE(OFFSET($FI$3,0,0,'Données projet'!$E$16+1,1))-AVERAGE(OFFSET($H$3,0,0,'Données projet'!$E$16+1,1))</f>
        <v>641.62708445664862</v>
      </c>
      <c r="FK161" s="62">
        <f t="shared" si="156"/>
        <v>379.46845863546929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1.176133587505196E-18</v>
      </c>
      <c r="FT161" s="24">
        <f t="shared" si="184"/>
        <v>1.176133587505196E-18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5.6843418860808015E-14</v>
      </c>
      <c r="GA161" s="18">
        <f>FZ161*VLOOKUP('Données projet'!$B$17,Paramètres!$A$1:$I$89,3,0)*VLOOKUP('Données projet'!$B$17,Paramètres!$A$1:$I$89,5,0)</f>
        <v>5.4978954722173515E-14</v>
      </c>
      <c r="GB161" s="14">
        <f t="shared" si="185"/>
        <v>8.8550225887742724E-13</v>
      </c>
      <c r="GC161" s="22">
        <f t="shared" si="186"/>
        <v>1.6380047803526383E-12</v>
      </c>
      <c r="GD161" s="62">
        <f t="shared" si="134"/>
        <v>293.33333333333496</v>
      </c>
      <c r="GE161" s="62">
        <f ca="1">AVERAGE(OFFSET($GD$3,0,0,'Données projet'!$E$17+1,1))-AVERAGE(OFFSET($H$3,0,0,'Données projet'!$E$17+1,1))</f>
        <v>181.39066880931728</v>
      </c>
      <c r="GF161" s="62">
        <f t="shared" si="158"/>
        <v>116.06078566855524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-1.7053025658242404E-13</v>
      </c>
      <c r="GV161" s="18">
        <f>GU161*VLOOKUP('Données projet'!$B$18,Paramètres!$A$1:$I$89,3,0)*VLOOKUP('Données projet'!$B$18,Paramètres!$A$1:$I$89,5,0)</f>
        <v>-1.4897523215040567E-13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152.84277478695606</v>
      </c>
      <c r="HA161" s="62">
        <f t="shared" si="160"/>
        <v>179.22995976651015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9">
        <f t="shared" si="110"/>
        <v>449.31108284084667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-9.7986685432260874E-13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383.26814640166805</v>
      </c>
      <c r="T162" s="62">
        <f t="shared" si="142"/>
        <v>233.71216103405249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6.1186256061773749E-14</v>
      </c>
      <c r="AK162" s="14">
        <f t="shared" si="164"/>
        <v>9.7328366192051127E-13</v>
      </c>
      <c r="AL162" s="22">
        <f t="shared" si="165"/>
        <v>1.8017017738191463E-12</v>
      </c>
      <c r="AM162" s="62">
        <f t="shared" si="113"/>
        <v>293.33333333333513</v>
      </c>
      <c r="AN162" s="62">
        <f ca="1">AVERAGE(OFFSET($AM$3,0,0,'Données projet'!$E$10+1,1))-AVERAGE(OFFSET($H$3,0,0,'Données projet'!$E$10+1,1))</f>
        <v>205.99910063756408</v>
      </c>
      <c r="AO162" s="62">
        <f t="shared" si="144"/>
        <v>128.95330275493671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293.3333333333353</v>
      </c>
      <c r="BI162" s="62">
        <f ca="1">AVERAGE(OFFSET($BH$3,0,0,'Données projet'!$E$11+1,1))-AVERAGE(OFFSET($H$3,0,0,'Données projet'!$E$11+1,1))</f>
        <v>222.20580087523689</v>
      </c>
      <c r="BJ162" s="62">
        <f t="shared" si="146"/>
        <v>232.08940427392253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0.7777677816221138</v>
      </c>
      <c r="BQ162" s="23">
        <f>EXP(-LN(2)/25)*BQ161+(1-EXP(-LN(2)/25))/(LN(2)/25)*Calculateur!BL162*Calculateur!BN162*VLOOKUP('Données projet'!$B$11,Paramètres!$A$1:$I$89,3,0)*0.475*44/12</f>
        <v>0.45970829935262209</v>
      </c>
      <c r="BR162" s="23">
        <f>EXP(-LN(2)/2)*BR161+(1-EXP(-LN(2)/2))/(LN(2)/2)*BL162*BO162*VLOOKUP('Données projet'!$B$11,Paramètres!$A$1:$I$89,3,0)*0.475*44/12</f>
        <v>2.4302550951036817E-19</v>
      </c>
      <c r="BS162" s="24">
        <f t="shared" si="169"/>
        <v>1.2374760809747358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5.1159076974727213E-13</v>
      </c>
      <c r="BZ162" s="14">
        <f>BY162*VLOOKUP('Données projet'!$B$12,Paramètres!$A$1:$I$89,3,0)*VLOOKUP('Données projet'!$B$12,Paramètres!$A$1:$I$89,5,0)</f>
        <v>2.3942448024172334E-13</v>
      </c>
      <c r="CA162" s="14">
        <f t="shared" si="170"/>
        <v>3.2492669905861755E-12</v>
      </c>
      <c r="CB162" s="22">
        <f t="shared" si="171"/>
        <v>6.0761376450252565E-12</v>
      </c>
      <c r="CC162" s="62">
        <f t="shared" si="119"/>
        <v>293.3333333333394</v>
      </c>
      <c r="CD162" s="62">
        <f ca="1">AVERAGE(OFFSET($CC$3,0,0,'Données projet'!$E$12+1,1))-AVERAGE(OFFSET($H$3,0,0,'Données projet'!$E$12+1,1))</f>
        <v>179.14256291235466</v>
      </c>
      <c r="CE162" s="62">
        <f t="shared" si="148"/>
        <v>107.5256983607585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-2.8421709430404007E-13</v>
      </c>
      <c r="CU162" s="18">
        <f>CT162*VLOOKUP('Données projet'!$B$13,Paramètres!$A$1:$I$89,3,0)*VLOOKUP('Données projet'!$B$13,Paramètres!$A$1:$I$89,5,0)</f>
        <v>-1.69961822393816E-13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237.03649693529445</v>
      </c>
      <c r="CZ162" s="62">
        <f t="shared" si="150"/>
        <v>191.04289411674887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2.0173807422487407E-19</v>
      </c>
      <c r="DI162" s="24">
        <f t="shared" si="175"/>
        <v>2.0173807422487407E-19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1.3096723705530166E-13</v>
      </c>
      <c r="DQ162" s="14">
        <f t="shared" si="176"/>
        <v>1.9066764221344275E-12</v>
      </c>
      <c r="DR162" s="22">
        <f t="shared" si="177"/>
        <v>3.548896039755445E-12</v>
      </c>
      <c r="DS162" s="62">
        <f t="shared" si="125"/>
        <v>293.33333333333684</v>
      </c>
      <c r="DT162" s="62">
        <f ca="1">AVERAGE(OFFSET($DS$3,0,0,'Données projet'!$E$14+1,1))-AVERAGE(OFFSET($H$3,0,0,'Données projet'!$E$14+1,1))</f>
        <v>431.38469096974364</v>
      </c>
      <c r="DU162" s="62">
        <f t="shared" si="152"/>
        <v>295.48627059086647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2.739688905256131E-2</v>
      </c>
      <c r="EC162" s="23">
        <f>EXP(-LN(2)/2)*EC161+(1-EXP(-LN(2)/2))/(LN(2)/2)*DW162*DZ162*VLOOKUP('Données projet'!$B$14,Paramètres!$A$1:$I$89,3,0)*0.475*44/12</f>
        <v>1.4713618558322135E-19</v>
      </c>
      <c r="ED162" s="24">
        <f t="shared" si="178"/>
        <v>2.739688905256131E-2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6.4733285398688169E-14</v>
      </c>
      <c r="EL162" s="14">
        <f t="shared" si="179"/>
        <v>1.0229736701638572E-12</v>
      </c>
      <c r="EM162" s="22">
        <f t="shared" si="180"/>
        <v>1.8944229476047665E-12</v>
      </c>
      <c r="EN162" s="62">
        <f t="shared" si="128"/>
        <v>293.33333333333519</v>
      </c>
      <c r="EO162" s="62">
        <f ca="1">AVERAGE(OFFSET($EN$3,0,0,'Données projet'!$E$15+1,1))-AVERAGE(OFFSET($H$3,0,0,'Données projet'!$E$15+1,1))</f>
        <v>220.03635832253951</v>
      </c>
      <c r="EP162" s="62">
        <f t="shared" si="154"/>
        <v>136.30639155882233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490.00000000000091</v>
      </c>
      <c r="FF162" s="18">
        <f>FE162*VLOOKUP('Données projet'!$B$16,Paramètres!$A$1:$I$89,3,0)*VLOOKUP('Données projet'!$B$16,Paramètres!$A$1:$I$89,5,0)</f>
        <v>512.14800000000105</v>
      </c>
      <c r="FG162" s="14">
        <f t="shared" si="182"/>
        <v>114.17576021740676</v>
      </c>
      <c r="FH162" s="22">
        <f t="shared" si="183"/>
        <v>1090.8472157119852</v>
      </c>
      <c r="FI162" s="62">
        <f t="shared" si="131"/>
        <v>1384.1805490453185</v>
      </c>
      <c r="FJ162" s="62">
        <f ca="1">AVERAGE(OFFSET($FI$3,0,0,'Données projet'!$E$16+1,1))-AVERAGE(OFFSET($H$3,0,0,'Données projet'!$E$16+1,1))</f>
        <v>641.62708445664862</v>
      </c>
      <c r="FK162" s="62">
        <f t="shared" si="156"/>
        <v>379.46845863546929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8.3165203530618578E-19</v>
      </c>
      <c r="FT162" s="24">
        <f t="shared" si="184"/>
        <v>8.3165203530618578E-19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5.6843418860808015E-14</v>
      </c>
      <c r="GA162" s="18">
        <f>FZ162*VLOOKUP('Données projet'!$B$17,Paramètres!$A$1:$I$89,3,0)*VLOOKUP('Données projet'!$B$17,Paramètres!$A$1:$I$89,5,0)</f>
        <v>5.4978954722173515E-14</v>
      </c>
      <c r="GB162" s="14">
        <f t="shared" si="185"/>
        <v>8.8550225887742724E-13</v>
      </c>
      <c r="GC162" s="22">
        <f t="shared" si="186"/>
        <v>1.6380047803526383E-12</v>
      </c>
      <c r="GD162" s="62">
        <f t="shared" si="134"/>
        <v>293.33333333333496</v>
      </c>
      <c r="GE162" s="62">
        <f ca="1">AVERAGE(OFFSET($GD$3,0,0,'Données projet'!$E$17+1,1))-AVERAGE(OFFSET($H$3,0,0,'Données projet'!$E$17+1,1))</f>
        <v>181.39066880931728</v>
      </c>
      <c r="GF162" s="62">
        <f t="shared" si="158"/>
        <v>116.06078566855524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-1.7053025658242404E-13</v>
      </c>
      <c r="GV162" s="18">
        <f>GU162*VLOOKUP('Données projet'!$B$18,Paramètres!$A$1:$I$89,3,0)*VLOOKUP('Données projet'!$B$18,Paramètres!$A$1:$I$89,5,0)</f>
        <v>-1.4897523215040567E-13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152.84277478695606</v>
      </c>
      <c r="HA162" s="62">
        <f t="shared" si="160"/>
        <v>179.22995976651015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9">
        <f t="shared" si="110"/>
        <v>450.4922591650743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-9.7986685432260874E-13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383.26814640166805</v>
      </c>
      <c r="T163" s="62">
        <f t="shared" si="142"/>
        <v>233.71216103405249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6.1186256061773749E-14</v>
      </c>
      <c r="AK163" s="14">
        <f t="shared" si="164"/>
        <v>9.7328366192051127E-13</v>
      </c>
      <c r="AL163" s="22">
        <f t="shared" si="165"/>
        <v>1.8017017738191463E-12</v>
      </c>
      <c r="AM163" s="62">
        <f t="shared" si="113"/>
        <v>293.33333333333513</v>
      </c>
      <c r="AN163" s="62">
        <f ca="1">AVERAGE(OFFSET($AM$3,0,0,'Données projet'!$E$10+1,1))-AVERAGE(OFFSET($H$3,0,0,'Données projet'!$E$10+1,1))</f>
        <v>205.99910063756408</v>
      </c>
      <c r="AO163" s="62">
        <f t="shared" si="144"/>
        <v>128.95330275493671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293.3333333333353</v>
      </c>
      <c r="BI163" s="62">
        <f ca="1">AVERAGE(OFFSET($BH$3,0,0,'Données projet'!$E$11+1,1))-AVERAGE(OFFSET($H$3,0,0,'Données projet'!$E$11+1,1))</f>
        <v>222.20580087523689</v>
      </c>
      <c r="BJ163" s="62">
        <f t="shared" si="146"/>
        <v>232.08940427392253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0.76251622981600864</v>
      </c>
      <c r="BQ163" s="23">
        <f>EXP(-LN(2)/25)*BQ162+(1-EXP(-LN(2)/25))/(LN(2)/25)*Calculateur!BL163*Calculateur!BN163*VLOOKUP('Données projet'!$B$11,Paramètres!$A$1:$I$89,3,0)*0.475*44/12</f>
        <v>0.44713755173181585</v>
      </c>
      <c r="BR163" s="23">
        <f>EXP(-LN(2)/2)*BR162+(1-EXP(-LN(2)/2))/(LN(2)/2)*BL163*BO163*VLOOKUP('Données projet'!$B$11,Paramètres!$A$1:$I$89,3,0)*0.475*44/12</f>
        <v>1.7184498577609713E-19</v>
      </c>
      <c r="BS163" s="24">
        <f t="shared" si="169"/>
        <v>1.2096537815478245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5.1159076974727213E-13</v>
      </c>
      <c r="BZ163" s="14">
        <f>BY163*VLOOKUP('Données projet'!$B$12,Paramètres!$A$1:$I$89,3,0)*VLOOKUP('Données projet'!$B$12,Paramètres!$A$1:$I$89,5,0)</f>
        <v>2.3942448024172334E-13</v>
      </c>
      <c r="CA163" s="14">
        <f t="shared" si="170"/>
        <v>3.2492669905861755E-12</v>
      </c>
      <c r="CB163" s="22">
        <f t="shared" si="171"/>
        <v>6.0761376450252565E-12</v>
      </c>
      <c r="CC163" s="62">
        <f t="shared" si="119"/>
        <v>293.3333333333394</v>
      </c>
      <c r="CD163" s="62">
        <f ca="1">AVERAGE(OFFSET($CC$3,0,0,'Données projet'!$E$12+1,1))-AVERAGE(OFFSET($H$3,0,0,'Données projet'!$E$12+1,1))</f>
        <v>179.14256291235466</v>
      </c>
      <c r="CE163" s="62">
        <f t="shared" si="148"/>
        <v>107.5256983607585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-2.8421709430404007E-13</v>
      </c>
      <c r="CU163" s="18">
        <f>CT163*VLOOKUP('Données projet'!$B$13,Paramètres!$A$1:$I$89,3,0)*VLOOKUP('Données projet'!$B$13,Paramètres!$A$1:$I$89,5,0)</f>
        <v>-1.69961822393816E-13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237.03649693529445</v>
      </c>
      <c r="CZ163" s="62">
        <f t="shared" si="150"/>
        <v>191.04289411674887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1.4265036030792351E-19</v>
      </c>
      <c r="DI163" s="24">
        <f t="shared" si="175"/>
        <v>1.4265036030792351E-19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1.3096723705530166E-13</v>
      </c>
      <c r="DQ163" s="14">
        <f t="shared" si="176"/>
        <v>1.9066764221344275E-12</v>
      </c>
      <c r="DR163" s="22">
        <f t="shared" si="177"/>
        <v>3.548896039755445E-12</v>
      </c>
      <c r="DS163" s="62">
        <f t="shared" si="125"/>
        <v>293.33333333333684</v>
      </c>
      <c r="DT163" s="62">
        <f ca="1">AVERAGE(OFFSET($DS$3,0,0,'Données projet'!$E$14+1,1))-AVERAGE(OFFSET($H$3,0,0,'Données projet'!$E$14+1,1))</f>
        <v>431.38469096974364</v>
      </c>
      <c r="DU163" s="62">
        <f t="shared" si="152"/>
        <v>295.48627059086647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2.6647719680679242E-2</v>
      </c>
      <c r="EC163" s="23">
        <f>EXP(-LN(2)/2)*EC162+(1-EXP(-LN(2)/2))/(LN(2)/2)*DW163*DZ163*VLOOKUP('Données projet'!$B$14,Paramètres!$A$1:$I$89,3,0)*0.475*44/12</f>
        <v>1.0404099458381815E-19</v>
      </c>
      <c r="ED163" s="24">
        <f t="shared" si="178"/>
        <v>2.6647719680679242E-2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6.4733285398688169E-14</v>
      </c>
      <c r="EL163" s="14">
        <f t="shared" si="179"/>
        <v>1.0229736701638572E-12</v>
      </c>
      <c r="EM163" s="22">
        <f t="shared" si="180"/>
        <v>1.8944229476047665E-12</v>
      </c>
      <c r="EN163" s="62">
        <f t="shared" si="128"/>
        <v>293.33333333333519</v>
      </c>
      <c r="EO163" s="62">
        <f ca="1">AVERAGE(OFFSET($EN$3,0,0,'Données projet'!$E$15+1,1))-AVERAGE(OFFSET($H$3,0,0,'Données projet'!$E$15+1,1))</f>
        <v>220.03635832253951</v>
      </c>
      <c r="EP163" s="62">
        <f t="shared" si="154"/>
        <v>136.30639155882233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490.00000000000091</v>
      </c>
      <c r="FF163" s="18">
        <f>FE163*VLOOKUP('Données projet'!$B$16,Paramètres!$A$1:$I$89,3,0)*VLOOKUP('Données projet'!$B$16,Paramètres!$A$1:$I$89,5,0)</f>
        <v>512.14800000000105</v>
      </c>
      <c r="FG163" s="14">
        <f t="shared" si="182"/>
        <v>114.17576021740676</v>
      </c>
      <c r="FH163" s="22">
        <f t="shared" si="183"/>
        <v>1090.8472157119852</v>
      </c>
      <c r="FI163" s="62">
        <f t="shared" si="131"/>
        <v>1384.1805490453185</v>
      </c>
      <c r="FJ163" s="62">
        <f ca="1">AVERAGE(OFFSET($FI$3,0,0,'Données projet'!$E$16+1,1))-AVERAGE(OFFSET($H$3,0,0,'Données projet'!$E$16+1,1))</f>
        <v>641.62708445664862</v>
      </c>
      <c r="FK163" s="62">
        <f t="shared" si="156"/>
        <v>379.46845863546929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5.88066793752598E-19</v>
      </c>
      <c r="FT163" s="24">
        <f t="shared" si="184"/>
        <v>5.88066793752598E-19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5.6843418860808015E-14</v>
      </c>
      <c r="GA163" s="18">
        <f>FZ163*VLOOKUP('Données projet'!$B$17,Paramètres!$A$1:$I$89,3,0)*VLOOKUP('Données projet'!$B$17,Paramètres!$A$1:$I$89,5,0)</f>
        <v>5.4978954722173515E-14</v>
      </c>
      <c r="GB163" s="14">
        <f t="shared" si="185"/>
        <v>8.8550225887742724E-13</v>
      </c>
      <c r="GC163" s="22">
        <f t="shared" si="186"/>
        <v>1.6380047803526383E-12</v>
      </c>
      <c r="GD163" s="62">
        <f t="shared" si="134"/>
        <v>293.33333333333496</v>
      </c>
      <c r="GE163" s="62">
        <f ca="1">AVERAGE(OFFSET($GD$3,0,0,'Données projet'!$E$17+1,1))-AVERAGE(OFFSET($H$3,0,0,'Données projet'!$E$17+1,1))</f>
        <v>181.39066880931728</v>
      </c>
      <c r="GF163" s="62">
        <f t="shared" si="158"/>
        <v>116.06078566855524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-1.7053025658242404E-13</v>
      </c>
      <c r="GV163" s="18">
        <f>GU163*VLOOKUP('Données projet'!$B$18,Paramètres!$A$1:$I$89,3,0)*VLOOKUP('Données projet'!$B$18,Paramètres!$A$1:$I$89,5,0)</f>
        <v>-1.4897523215040567E-13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152.84277478695606</v>
      </c>
      <c r="HA163" s="62">
        <f t="shared" si="160"/>
        <v>179.22995976651015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9">
        <f t="shared" si="110"/>
        <v>451.67326805940763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-9.7986685432260874E-13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383.26814640166805</v>
      </c>
      <c r="T164" s="62">
        <f t="shared" si="142"/>
        <v>233.71216103405249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6.1186256061773749E-14</v>
      </c>
      <c r="AK164" s="14">
        <f t="shared" si="164"/>
        <v>9.7328366192051127E-13</v>
      </c>
      <c r="AL164" s="22">
        <f t="shared" si="165"/>
        <v>1.8017017738191463E-12</v>
      </c>
      <c r="AM164" s="62">
        <f t="shared" si="113"/>
        <v>293.33333333333513</v>
      </c>
      <c r="AN164" s="62">
        <f ca="1">AVERAGE(OFFSET($AM$3,0,0,'Données projet'!$E$10+1,1))-AVERAGE(OFFSET($H$3,0,0,'Données projet'!$E$10+1,1))</f>
        <v>205.99910063756408</v>
      </c>
      <c r="AO164" s="62">
        <f t="shared" si="144"/>
        <v>128.95330275493671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293.3333333333353</v>
      </c>
      <c r="BI164" s="62">
        <f ca="1">AVERAGE(OFFSET($BH$3,0,0,'Données projet'!$E$11+1,1))-AVERAGE(OFFSET($H$3,0,0,'Données projet'!$E$11+1,1))</f>
        <v>222.20580087523689</v>
      </c>
      <c r="BJ164" s="62">
        <f t="shared" si="146"/>
        <v>232.08940427392253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0.74756375163829314</v>
      </c>
      <c r="BQ164" s="23">
        <f>EXP(-LN(2)/25)*BQ163+(1-EXP(-LN(2)/25))/(LN(2)/25)*Calculateur!BL164*Calculateur!BN164*VLOOKUP('Données projet'!$B$11,Paramètres!$A$1:$I$89,3,0)*0.475*44/12</f>
        <v>0.43491055186576744</v>
      </c>
      <c r="BR164" s="23">
        <f>EXP(-LN(2)/2)*BR163+(1-EXP(-LN(2)/2))/(LN(2)/2)*BL164*BO164*VLOOKUP('Données projet'!$B$11,Paramètres!$A$1:$I$89,3,0)*0.475*44/12</f>
        <v>1.2151275475518408E-19</v>
      </c>
      <c r="BS164" s="24">
        <f t="shared" si="169"/>
        <v>1.1824743035040606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5.1159076974727213E-13</v>
      </c>
      <c r="BZ164" s="14">
        <f>BY164*VLOOKUP('Données projet'!$B$12,Paramètres!$A$1:$I$89,3,0)*VLOOKUP('Données projet'!$B$12,Paramètres!$A$1:$I$89,5,0)</f>
        <v>2.3942448024172334E-13</v>
      </c>
      <c r="CA164" s="14">
        <f t="shared" si="170"/>
        <v>3.2492669905861755E-12</v>
      </c>
      <c r="CB164" s="22">
        <f t="shared" si="171"/>
        <v>6.0761376450252565E-12</v>
      </c>
      <c r="CC164" s="62">
        <f t="shared" si="119"/>
        <v>293.3333333333394</v>
      </c>
      <c r="CD164" s="62">
        <f ca="1">AVERAGE(OFFSET($CC$3,0,0,'Données projet'!$E$12+1,1))-AVERAGE(OFFSET($H$3,0,0,'Données projet'!$E$12+1,1))</f>
        <v>179.14256291235466</v>
      </c>
      <c r="CE164" s="62">
        <f t="shared" si="148"/>
        <v>107.5256983607585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-2.8421709430404007E-13</v>
      </c>
      <c r="CU164" s="18">
        <f>CT164*VLOOKUP('Données projet'!$B$13,Paramètres!$A$1:$I$89,3,0)*VLOOKUP('Données projet'!$B$13,Paramètres!$A$1:$I$89,5,0)</f>
        <v>-1.69961822393816E-13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237.03649693529445</v>
      </c>
      <c r="CZ164" s="62">
        <f t="shared" si="150"/>
        <v>191.04289411674887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1.0086903711243703E-19</v>
      </c>
      <c r="DI164" s="24">
        <f t="shared" si="175"/>
        <v>1.0086903711243703E-19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1.3096723705530166E-13</v>
      </c>
      <c r="DQ164" s="14">
        <f t="shared" si="176"/>
        <v>1.9066764221344275E-12</v>
      </c>
      <c r="DR164" s="22">
        <f t="shared" si="177"/>
        <v>3.548896039755445E-12</v>
      </c>
      <c r="DS164" s="62">
        <f t="shared" si="125"/>
        <v>293.33333333333684</v>
      </c>
      <c r="DT164" s="62">
        <f ca="1">AVERAGE(OFFSET($DS$3,0,0,'Données projet'!$E$14+1,1))-AVERAGE(OFFSET($H$3,0,0,'Données projet'!$E$14+1,1))</f>
        <v>431.38469096974364</v>
      </c>
      <c r="DU164" s="62">
        <f t="shared" si="152"/>
        <v>295.48627059086647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2.5919036384668394E-2</v>
      </c>
      <c r="EC164" s="23">
        <f>EXP(-LN(2)/2)*EC163+(1-EXP(-LN(2)/2))/(LN(2)/2)*DW164*DZ164*VLOOKUP('Données projet'!$B$14,Paramètres!$A$1:$I$89,3,0)*0.475*44/12</f>
        <v>7.3568092791610676E-20</v>
      </c>
      <c r="ED164" s="24">
        <f t="shared" si="178"/>
        <v>2.5919036384668394E-2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6.4733285398688169E-14</v>
      </c>
      <c r="EL164" s="14">
        <f t="shared" si="179"/>
        <v>1.0229736701638572E-12</v>
      </c>
      <c r="EM164" s="22">
        <f t="shared" si="180"/>
        <v>1.8944229476047665E-12</v>
      </c>
      <c r="EN164" s="62">
        <f t="shared" si="128"/>
        <v>293.33333333333519</v>
      </c>
      <c r="EO164" s="62">
        <f ca="1">AVERAGE(OFFSET($EN$3,0,0,'Données projet'!$E$15+1,1))-AVERAGE(OFFSET($H$3,0,0,'Données projet'!$E$15+1,1))</f>
        <v>220.03635832253951</v>
      </c>
      <c r="EP164" s="62">
        <f t="shared" si="154"/>
        <v>136.30639155882233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490.00000000000091</v>
      </c>
      <c r="FF164" s="18">
        <f>FE164*VLOOKUP('Données projet'!$B$16,Paramètres!$A$1:$I$89,3,0)*VLOOKUP('Données projet'!$B$16,Paramètres!$A$1:$I$89,5,0)</f>
        <v>512.14800000000105</v>
      </c>
      <c r="FG164" s="14">
        <f t="shared" si="182"/>
        <v>114.17576021740676</v>
      </c>
      <c r="FH164" s="22">
        <f t="shared" si="183"/>
        <v>1090.8472157119852</v>
      </c>
      <c r="FI164" s="62">
        <f t="shared" si="131"/>
        <v>1384.1805490453185</v>
      </c>
      <c r="FJ164" s="62">
        <f ca="1">AVERAGE(OFFSET($FI$3,0,0,'Données projet'!$E$16+1,1))-AVERAGE(OFFSET($H$3,0,0,'Données projet'!$E$16+1,1))</f>
        <v>641.62708445664862</v>
      </c>
      <c r="FK164" s="62">
        <f t="shared" si="156"/>
        <v>379.46845863546929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4.1582601765309289E-19</v>
      </c>
      <c r="FT164" s="24">
        <f t="shared" si="184"/>
        <v>4.1582601765309289E-19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5.6843418860808015E-14</v>
      </c>
      <c r="GA164" s="18">
        <f>FZ164*VLOOKUP('Données projet'!$B$17,Paramètres!$A$1:$I$89,3,0)*VLOOKUP('Données projet'!$B$17,Paramètres!$A$1:$I$89,5,0)</f>
        <v>5.4978954722173515E-14</v>
      </c>
      <c r="GB164" s="14">
        <f t="shared" si="185"/>
        <v>8.8550225887742724E-13</v>
      </c>
      <c r="GC164" s="22">
        <f t="shared" si="186"/>
        <v>1.6380047803526383E-12</v>
      </c>
      <c r="GD164" s="62">
        <f t="shared" si="134"/>
        <v>293.33333333333496</v>
      </c>
      <c r="GE164" s="62">
        <f ca="1">AVERAGE(OFFSET($GD$3,0,0,'Données projet'!$E$17+1,1))-AVERAGE(OFFSET($H$3,0,0,'Données projet'!$E$17+1,1))</f>
        <v>181.39066880931728</v>
      </c>
      <c r="GF164" s="62">
        <f t="shared" si="158"/>
        <v>116.06078566855524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-1.7053025658242404E-13</v>
      </c>
      <c r="GV164" s="18">
        <f>GU164*VLOOKUP('Données projet'!$B$18,Paramètres!$A$1:$I$89,3,0)*VLOOKUP('Données projet'!$B$18,Paramètres!$A$1:$I$89,5,0)</f>
        <v>-1.4897523215040567E-13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152.84277478695606</v>
      </c>
      <c r="HA164" s="62">
        <f t="shared" si="160"/>
        <v>179.22995976651015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9">
        <f t="shared" si="110"/>
        <v>452.85411068442789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-9.7986685432260874E-13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383.26814640166805</v>
      </c>
      <c r="T165" s="62">
        <f t="shared" si="142"/>
        <v>233.71216103405249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6.1186256061773749E-14</v>
      </c>
      <c r="AK165" s="14">
        <f t="shared" si="164"/>
        <v>9.7328366192051127E-13</v>
      </c>
      <c r="AL165" s="22">
        <f t="shared" si="165"/>
        <v>1.8017017738191463E-12</v>
      </c>
      <c r="AM165" s="62">
        <f t="shared" si="113"/>
        <v>293.33333333333513</v>
      </c>
      <c r="AN165" s="62">
        <f ca="1">AVERAGE(OFFSET($AM$3,0,0,'Données projet'!$E$10+1,1))-AVERAGE(OFFSET($H$3,0,0,'Données projet'!$E$10+1,1))</f>
        <v>205.99910063756408</v>
      </c>
      <c r="AO165" s="62">
        <f t="shared" si="144"/>
        <v>128.95330275493671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293.3333333333353</v>
      </c>
      <c r="BI165" s="62">
        <f ca="1">AVERAGE(OFFSET($BH$3,0,0,'Données projet'!$E$11+1,1))-AVERAGE(OFFSET($H$3,0,0,'Données projet'!$E$11+1,1))</f>
        <v>222.20580087523689</v>
      </c>
      <c r="BJ165" s="62">
        <f t="shared" si="146"/>
        <v>232.08940427392253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0.73290448243753148</v>
      </c>
      <c r="BQ165" s="23">
        <f>EXP(-LN(2)/25)*BQ164+(1-EXP(-LN(2)/25))/(LN(2)/25)*Calculateur!BL165*Calculateur!BN165*VLOOKUP('Données projet'!$B$11,Paramètres!$A$1:$I$89,3,0)*0.475*44/12</f>
        <v>0.42301789995404609</v>
      </c>
      <c r="BR165" s="23">
        <f>EXP(-LN(2)/2)*BR164+(1-EXP(-LN(2)/2))/(LN(2)/2)*BL165*BO165*VLOOKUP('Données projet'!$B$11,Paramètres!$A$1:$I$89,3,0)*0.475*44/12</f>
        <v>8.5922492888048563E-20</v>
      </c>
      <c r="BS165" s="24">
        <f t="shared" si="169"/>
        <v>1.1559223823915776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5.1159076974727213E-13</v>
      </c>
      <c r="BZ165" s="14">
        <f>BY165*VLOOKUP('Données projet'!$B$12,Paramètres!$A$1:$I$89,3,0)*VLOOKUP('Données projet'!$B$12,Paramètres!$A$1:$I$89,5,0)</f>
        <v>2.3942448024172334E-13</v>
      </c>
      <c r="CA165" s="14">
        <f t="shared" si="170"/>
        <v>3.2492669905861755E-12</v>
      </c>
      <c r="CB165" s="22">
        <f t="shared" si="171"/>
        <v>6.0761376450252565E-12</v>
      </c>
      <c r="CC165" s="62">
        <f t="shared" si="119"/>
        <v>293.3333333333394</v>
      </c>
      <c r="CD165" s="62">
        <f ca="1">AVERAGE(OFFSET($CC$3,0,0,'Données projet'!$E$12+1,1))-AVERAGE(OFFSET($H$3,0,0,'Données projet'!$E$12+1,1))</f>
        <v>179.14256291235466</v>
      </c>
      <c r="CE165" s="62">
        <f t="shared" si="148"/>
        <v>107.5256983607585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-2.8421709430404007E-13</v>
      </c>
      <c r="CU165" s="18">
        <f>CT165*VLOOKUP('Données projet'!$B$13,Paramètres!$A$1:$I$89,3,0)*VLOOKUP('Données projet'!$B$13,Paramètres!$A$1:$I$89,5,0)</f>
        <v>-1.69961822393816E-13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237.03649693529445</v>
      </c>
      <c r="CZ165" s="62">
        <f t="shared" si="150"/>
        <v>191.04289411674887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7.1325180153961754E-20</v>
      </c>
      <c r="DI165" s="24">
        <f t="shared" si="175"/>
        <v>7.1325180153961754E-20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1.3096723705530166E-13</v>
      </c>
      <c r="DQ165" s="14">
        <f t="shared" si="176"/>
        <v>1.9066764221344275E-12</v>
      </c>
      <c r="DR165" s="22">
        <f t="shared" si="177"/>
        <v>3.548896039755445E-12</v>
      </c>
      <c r="DS165" s="62">
        <f t="shared" si="125"/>
        <v>293.33333333333684</v>
      </c>
      <c r="DT165" s="62">
        <f ca="1">AVERAGE(OFFSET($DS$3,0,0,'Données projet'!$E$14+1,1))-AVERAGE(OFFSET($H$3,0,0,'Données projet'!$E$14+1,1))</f>
        <v>431.38469096974364</v>
      </c>
      <c r="DU165" s="62">
        <f t="shared" si="152"/>
        <v>295.48627059086647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2.5210278971706752E-2</v>
      </c>
      <c r="EC165" s="23">
        <f>EXP(-LN(2)/2)*EC164+(1-EXP(-LN(2)/2))/(LN(2)/2)*DW165*DZ165*VLOOKUP('Données projet'!$B$14,Paramètres!$A$1:$I$89,3,0)*0.475*44/12</f>
        <v>5.2020497291909075E-20</v>
      </c>
      <c r="ED165" s="24">
        <f t="shared" si="178"/>
        <v>2.5210278971706752E-2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6.4733285398688169E-14</v>
      </c>
      <c r="EL165" s="14">
        <f t="shared" si="179"/>
        <v>1.0229736701638572E-12</v>
      </c>
      <c r="EM165" s="22">
        <f t="shared" si="180"/>
        <v>1.8944229476047665E-12</v>
      </c>
      <c r="EN165" s="62">
        <f t="shared" si="128"/>
        <v>293.33333333333519</v>
      </c>
      <c r="EO165" s="62">
        <f ca="1">AVERAGE(OFFSET($EN$3,0,0,'Données projet'!$E$15+1,1))-AVERAGE(OFFSET($H$3,0,0,'Données projet'!$E$15+1,1))</f>
        <v>220.03635832253951</v>
      </c>
      <c r="EP165" s="62">
        <f t="shared" si="154"/>
        <v>136.30639155882233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490.00000000000091</v>
      </c>
      <c r="FF165" s="18">
        <f>FE165*VLOOKUP('Données projet'!$B$16,Paramètres!$A$1:$I$89,3,0)*VLOOKUP('Données projet'!$B$16,Paramètres!$A$1:$I$89,5,0)</f>
        <v>512.14800000000105</v>
      </c>
      <c r="FG165" s="14">
        <f t="shared" si="182"/>
        <v>114.17576021740676</v>
      </c>
      <c r="FH165" s="22">
        <f t="shared" si="183"/>
        <v>1090.8472157119852</v>
      </c>
      <c r="FI165" s="62">
        <f t="shared" si="131"/>
        <v>1384.1805490453185</v>
      </c>
      <c r="FJ165" s="62">
        <f ca="1">AVERAGE(OFFSET($FI$3,0,0,'Données projet'!$E$16+1,1))-AVERAGE(OFFSET($H$3,0,0,'Données projet'!$E$16+1,1))</f>
        <v>641.62708445664862</v>
      </c>
      <c r="FK165" s="62">
        <f t="shared" si="156"/>
        <v>379.46845863546929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2.94033396876299E-19</v>
      </c>
      <c r="FT165" s="24">
        <f t="shared" si="184"/>
        <v>2.94033396876299E-19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5.6843418860808015E-14</v>
      </c>
      <c r="GA165" s="18">
        <f>FZ165*VLOOKUP('Données projet'!$B$17,Paramètres!$A$1:$I$89,3,0)*VLOOKUP('Données projet'!$B$17,Paramètres!$A$1:$I$89,5,0)</f>
        <v>5.4978954722173515E-14</v>
      </c>
      <c r="GB165" s="14">
        <f t="shared" si="185"/>
        <v>8.8550225887742724E-13</v>
      </c>
      <c r="GC165" s="22">
        <f t="shared" si="186"/>
        <v>1.6380047803526383E-12</v>
      </c>
      <c r="GD165" s="62">
        <f t="shared" si="134"/>
        <v>293.33333333333496</v>
      </c>
      <c r="GE165" s="62">
        <f ca="1">AVERAGE(OFFSET($GD$3,0,0,'Données projet'!$E$17+1,1))-AVERAGE(OFFSET($H$3,0,0,'Données projet'!$E$17+1,1))</f>
        <v>181.39066880931728</v>
      </c>
      <c r="GF165" s="62">
        <f t="shared" si="158"/>
        <v>116.06078566855524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-1.7053025658242404E-13</v>
      </c>
      <c r="GV165" s="18">
        <f>GU165*VLOOKUP('Données projet'!$B$18,Paramètres!$A$1:$I$89,3,0)*VLOOKUP('Données projet'!$B$18,Paramètres!$A$1:$I$89,5,0)</f>
        <v>-1.4897523215040567E-13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152.84277478695606</v>
      </c>
      <c r="HA165" s="62">
        <f t="shared" si="160"/>
        <v>179.22995976651015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9">
        <f t="shared" si="110"/>
        <v>454.03478818555948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-9.7986685432260874E-13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383.26814640166805</v>
      </c>
      <c r="T166" s="62">
        <f t="shared" si="142"/>
        <v>233.71216103405249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6.1186256061773749E-14</v>
      </c>
      <c r="AK166" s="14">
        <f t="shared" si="164"/>
        <v>9.7328366192051127E-13</v>
      </c>
      <c r="AL166" s="22">
        <f t="shared" si="165"/>
        <v>1.8017017738191463E-12</v>
      </c>
      <c r="AM166" s="62">
        <f t="shared" si="113"/>
        <v>293.33333333333513</v>
      </c>
      <c r="AN166" s="62">
        <f ca="1">AVERAGE(OFFSET($AM$3,0,0,'Données projet'!$E$10+1,1))-AVERAGE(OFFSET($H$3,0,0,'Données projet'!$E$10+1,1))</f>
        <v>205.99910063756408</v>
      </c>
      <c r="AO166" s="62">
        <f t="shared" si="144"/>
        <v>128.95330275493671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293.3333333333353</v>
      </c>
      <c r="BI166" s="62">
        <f ca="1">AVERAGE(OFFSET($BH$3,0,0,'Données projet'!$E$11+1,1))-AVERAGE(OFFSET($H$3,0,0,'Données projet'!$E$11+1,1))</f>
        <v>222.20580087523689</v>
      </c>
      <c r="BJ166" s="62">
        <f t="shared" si="146"/>
        <v>232.08940427392253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0.71853267256452547</v>
      </c>
      <c r="BQ166" s="23">
        <f>EXP(-LN(2)/25)*BQ165+(1-EXP(-LN(2)/25))/(LN(2)/25)*Calculateur!BL166*Calculateur!BN166*VLOOKUP('Données projet'!$B$11,Paramètres!$A$1:$I$89,3,0)*0.475*44/12</f>
        <v>0.41145045323425816</v>
      </c>
      <c r="BR166" s="23">
        <f>EXP(-LN(2)/2)*BR165+(1-EXP(-LN(2)/2))/(LN(2)/2)*BL166*BO166*VLOOKUP('Données projet'!$B$11,Paramètres!$A$1:$I$89,3,0)*0.475*44/12</f>
        <v>6.0756377377592041E-20</v>
      </c>
      <c r="BS166" s="24">
        <f t="shared" si="169"/>
        <v>1.1299831257987836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5.1159076974727213E-13</v>
      </c>
      <c r="BZ166" s="14">
        <f>BY166*VLOOKUP('Données projet'!$B$12,Paramètres!$A$1:$I$89,3,0)*VLOOKUP('Données projet'!$B$12,Paramètres!$A$1:$I$89,5,0)</f>
        <v>2.3942448024172334E-13</v>
      </c>
      <c r="CA166" s="14">
        <f t="shared" si="170"/>
        <v>3.2492669905861755E-12</v>
      </c>
      <c r="CB166" s="22">
        <f t="shared" si="171"/>
        <v>6.0761376450252565E-12</v>
      </c>
      <c r="CC166" s="62">
        <f t="shared" si="119"/>
        <v>293.3333333333394</v>
      </c>
      <c r="CD166" s="62">
        <f ca="1">AVERAGE(OFFSET($CC$3,0,0,'Données projet'!$E$12+1,1))-AVERAGE(OFFSET($H$3,0,0,'Données projet'!$E$12+1,1))</f>
        <v>179.14256291235466</v>
      </c>
      <c r="CE166" s="62">
        <f t="shared" si="148"/>
        <v>107.5256983607585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-2.8421709430404007E-13</v>
      </c>
      <c r="CU166" s="18">
        <f>CT166*VLOOKUP('Données projet'!$B$13,Paramètres!$A$1:$I$89,3,0)*VLOOKUP('Données projet'!$B$13,Paramètres!$A$1:$I$89,5,0)</f>
        <v>-1.69961822393816E-13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237.03649693529445</v>
      </c>
      <c r="CZ166" s="62">
        <f t="shared" si="150"/>
        <v>191.04289411674887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5.0434518556218517E-20</v>
      </c>
      <c r="DI166" s="24">
        <f t="shared" si="175"/>
        <v>5.0434518556218517E-20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1.3096723705530166E-13</v>
      </c>
      <c r="DQ166" s="14">
        <f t="shared" si="176"/>
        <v>1.9066764221344275E-12</v>
      </c>
      <c r="DR166" s="22">
        <f t="shared" si="177"/>
        <v>3.548896039755445E-12</v>
      </c>
      <c r="DS166" s="62">
        <f t="shared" si="125"/>
        <v>293.33333333333684</v>
      </c>
      <c r="DT166" s="62">
        <f ca="1">AVERAGE(OFFSET($DS$3,0,0,'Données projet'!$E$14+1,1))-AVERAGE(OFFSET($H$3,0,0,'Données projet'!$E$14+1,1))</f>
        <v>431.38469096974364</v>
      </c>
      <c r="DU166" s="62">
        <f t="shared" si="152"/>
        <v>295.48627059086647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2.4520902567474478E-2</v>
      </c>
      <c r="EC166" s="23">
        <f>EXP(-LN(2)/2)*EC165+(1-EXP(-LN(2)/2))/(LN(2)/2)*DW166*DZ166*VLOOKUP('Données projet'!$B$14,Paramètres!$A$1:$I$89,3,0)*0.475*44/12</f>
        <v>3.6784046395805338E-20</v>
      </c>
      <c r="ED166" s="24">
        <f t="shared" si="178"/>
        <v>2.4520902567474478E-2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6.4733285398688169E-14</v>
      </c>
      <c r="EL166" s="14">
        <f t="shared" si="179"/>
        <v>1.0229736701638572E-12</v>
      </c>
      <c r="EM166" s="22">
        <f t="shared" si="180"/>
        <v>1.8944229476047665E-12</v>
      </c>
      <c r="EN166" s="62">
        <f t="shared" si="128"/>
        <v>293.33333333333519</v>
      </c>
      <c r="EO166" s="62">
        <f ca="1">AVERAGE(OFFSET($EN$3,0,0,'Données projet'!$E$15+1,1))-AVERAGE(OFFSET($H$3,0,0,'Données projet'!$E$15+1,1))</f>
        <v>220.03635832253951</v>
      </c>
      <c r="EP166" s="62">
        <f t="shared" si="154"/>
        <v>136.30639155882233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490.00000000000091</v>
      </c>
      <c r="FF166" s="18">
        <f>FE166*VLOOKUP('Données projet'!$B$16,Paramètres!$A$1:$I$89,3,0)*VLOOKUP('Données projet'!$B$16,Paramètres!$A$1:$I$89,5,0)</f>
        <v>512.14800000000105</v>
      </c>
      <c r="FG166" s="14">
        <f t="shared" si="182"/>
        <v>114.17576021740676</v>
      </c>
      <c r="FH166" s="22">
        <f t="shared" si="183"/>
        <v>1090.8472157119852</v>
      </c>
      <c r="FI166" s="62">
        <f t="shared" si="131"/>
        <v>1384.1805490453185</v>
      </c>
      <c r="FJ166" s="62">
        <f ca="1">AVERAGE(OFFSET($FI$3,0,0,'Données projet'!$E$16+1,1))-AVERAGE(OFFSET($H$3,0,0,'Données projet'!$E$16+1,1))</f>
        <v>641.62708445664862</v>
      </c>
      <c r="FK166" s="62">
        <f t="shared" si="156"/>
        <v>379.46845863546929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2.0791300882654645E-19</v>
      </c>
      <c r="FT166" s="24">
        <f t="shared" si="184"/>
        <v>2.0791300882654645E-19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5.6843418860808015E-14</v>
      </c>
      <c r="GA166" s="18">
        <f>FZ166*VLOOKUP('Données projet'!$B$17,Paramètres!$A$1:$I$89,3,0)*VLOOKUP('Données projet'!$B$17,Paramètres!$A$1:$I$89,5,0)</f>
        <v>5.4978954722173515E-14</v>
      </c>
      <c r="GB166" s="14">
        <f t="shared" si="185"/>
        <v>8.8550225887742724E-13</v>
      </c>
      <c r="GC166" s="22">
        <f t="shared" si="186"/>
        <v>1.6380047803526383E-12</v>
      </c>
      <c r="GD166" s="62">
        <f t="shared" si="134"/>
        <v>293.33333333333496</v>
      </c>
      <c r="GE166" s="62">
        <f ca="1">AVERAGE(OFFSET($GD$3,0,0,'Données projet'!$E$17+1,1))-AVERAGE(OFFSET($H$3,0,0,'Données projet'!$E$17+1,1))</f>
        <v>181.39066880931728</v>
      </c>
      <c r="GF166" s="62">
        <f t="shared" si="158"/>
        <v>116.06078566855524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-1.7053025658242404E-13</v>
      </c>
      <c r="GV166" s="18">
        <f>GU166*VLOOKUP('Données projet'!$B$18,Paramètres!$A$1:$I$89,3,0)*VLOOKUP('Données projet'!$B$18,Paramètres!$A$1:$I$89,5,0)</f>
        <v>-1.4897523215040567E-13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152.84277478695606</v>
      </c>
      <c r="HA166" s="62">
        <f t="shared" si="160"/>
        <v>179.22995976651015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9">
        <f t="shared" si="110"/>
        <v>455.21530169335966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-9.7986685432260874E-13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383.26814640166805</v>
      </c>
      <c r="T167" s="62">
        <f t="shared" si="142"/>
        <v>233.71216103405249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6.1186256061773749E-14</v>
      </c>
      <c r="AK167" s="14">
        <f t="shared" si="164"/>
        <v>9.7328366192051127E-13</v>
      </c>
      <c r="AL167" s="22">
        <f t="shared" si="165"/>
        <v>1.8017017738191463E-12</v>
      </c>
      <c r="AM167" s="62">
        <f t="shared" si="113"/>
        <v>293.33333333333513</v>
      </c>
      <c r="AN167" s="62">
        <f ca="1">AVERAGE(OFFSET($AM$3,0,0,'Données projet'!$E$10+1,1))-AVERAGE(OFFSET($H$3,0,0,'Données projet'!$E$10+1,1))</f>
        <v>205.99910063756408</v>
      </c>
      <c r="AO167" s="62">
        <f t="shared" si="144"/>
        <v>128.95330275493671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293.3333333333353</v>
      </c>
      <c r="BI167" s="62">
        <f ca="1">AVERAGE(OFFSET($BH$3,0,0,'Données projet'!$E$11+1,1))-AVERAGE(OFFSET($H$3,0,0,'Données projet'!$E$11+1,1))</f>
        <v>222.20580087523689</v>
      </c>
      <c r="BJ167" s="62">
        <f t="shared" si="146"/>
        <v>232.08940427392253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0.70444268511719066</v>
      </c>
      <c r="BQ167" s="23">
        <f>EXP(-LN(2)/25)*BQ166+(1-EXP(-LN(2)/25))/(LN(2)/25)*Calculateur!BL167*Calculateur!BN167*VLOOKUP('Données projet'!$B$11,Paramètres!$A$1:$I$89,3,0)*0.475*44/12</f>
        <v>0.40019931895332844</v>
      </c>
      <c r="BR167" s="23">
        <f>EXP(-LN(2)/2)*BR166+(1-EXP(-LN(2)/2))/(LN(2)/2)*BL167*BO167*VLOOKUP('Données projet'!$B$11,Paramètres!$A$1:$I$89,3,0)*0.475*44/12</f>
        <v>4.2961246444024282E-20</v>
      </c>
      <c r="BS167" s="24">
        <f t="shared" si="169"/>
        <v>1.1046420040705192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5.1159076974727213E-13</v>
      </c>
      <c r="BZ167" s="14">
        <f>BY167*VLOOKUP('Données projet'!$B$12,Paramètres!$A$1:$I$89,3,0)*VLOOKUP('Données projet'!$B$12,Paramètres!$A$1:$I$89,5,0)</f>
        <v>2.3942448024172334E-13</v>
      </c>
      <c r="CA167" s="14">
        <f t="shared" si="170"/>
        <v>3.2492669905861755E-12</v>
      </c>
      <c r="CB167" s="22">
        <f t="shared" si="171"/>
        <v>6.0761376450252565E-12</v>
      </c>
      <c r="CC167" s="62">
        <f t="shared" si="119"/>
        <v>293.3333333333394</v>
      </c>
      <c r="CD167" s="62">
        <f ca="1">AVERAGE(OFFSET($CC$3,0,0,'Données projet'!$E$12+1,1))-AVERAGE(OFFSET($H$3,0,0,'Données projet'!$E$12+1,1))</f>
        <v>179.14256291235466</v>
      </c>
      <c r="CE167" s="62">
        <f t="shared" si="148"/>
        <v>107.5256983607585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-2.8421709430404007E-13</v>
      </c>
      <c r="CU167" s="18">
        <f>CT167*VLOOKUP('Données projet'!$B$13,Paramètres!$A$1:$I$89,3,0)*VLOOKUP('Données projet'!$B$13,Paramètres!$A$1:$I$89,5,0)</f>
        <v>-1.69961822393816E-13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237.03649693529445</v>
      </c>
      <c r="CZ167" s="62">
        <f t="shared" si="150"/>
        <v>191.04289411674887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3.5662590076980877E-20</v>
      </c>
      <c r="DI167" s="24">
        <f t="shared" si="175"/>
        <v>3.5662590076980877E-20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1.3096723705530166E-13</v>
      </c>
      <c r="DQ167" s="14">
        <f t="shared" si="176"/>
        <v>1.9066764221344275E-12</v>
      </c>
      <c r="DR167" s="22">
        <f t="shared" si="177"/>
        <v>3.548896039755445E-12</v>
      </c>
      <c r="DS167" s="62">
        <f t="shared" si="125"/>
        <v>293.33333333333684</v>
      </c>
      <c r="DT167" s="62">
        <f ca="1">AVERAGE(OFFSET($DS$3,0,0,'Données projet'!$E$14+1,1))-AVERAGE(OFFSET($H$3,0,0,'Données projet'!$E$14+1,1))</f>
        <v>431.38469096974364</v>
      </c>
      <c r="DU167" s="62">
        <f t="shared" si="152"/>
        <v>295.48627059086647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2.3850377197268666E-2</v>
      </c>
      <c r="EC167" s="23">
        <f>EXP(-LN(2)/2)*EC166+(1-EXP(-LN(2)/2))/(LN(2)/2)*DW167*DZ167*VLOOKUP('Données projet'!$B$14,Paramètres!$A$1:$I$89,3,0)*0.475*44/12</f>
        <v>2.6010248645954538E-20</v>
      </c>
      <c r="ED167" s="24">
        <f t="shared" si="178"/>
        <v>2.3850377197268666E-2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6.4733285398688169E-14</v>
      </c>
      <c r="EL167" s="14">
        <f t="shared" si="179"/>
        <v>1.0229736701638572E-12</v>
      </c>
      <c r="EM167" s="22">
        <f t="shared" si="180"/>
        <v>1.8944229476047665E-12</v>
      </c>
      <c r="EN167" s="62">
        <f t="shared" si="128"/>
        <v>293.33333333333519</v>
      </c>
      <c r="EO167" s="62">
        <f ca="1">AVERAGE(OFFSET($EN$3,0,0,'Données projet'!$E$15+1,1))-AVERAGE(OFFSET($H$3,0,0,'Données projet'!$E$15+1,1))</f>
        <v>220.03635832253951</v>
      </c>
      <c r="EP167" s="62">
        <f t="shared" si="154"/>
        <v>136.30639155882233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490.00000000000091</v>
      </c>
      <c r="FF167" s="18">
        <f>FE167*VLOOKUP('Données projet'!$B$16,Paramètres!$A$1:$I$89,3,0)*VLOOKUP('Données projet'!$B$16,Paramètres!$A$1:$I$89,5,0)</f>
        <v>512.14800000000105</v>
      </c>
      <c r="FG167" s="14">
        <f t="shared" si="182"/>
        <v>114.17576021740676</v>
      </c>
      <c r="FH167" s="22">
        <f t="shared" si="183"/>
        <v>1090.8472157119852</v>
      </c>
      <c r="FI167" s="62">
        <f t="shared" si="131"/>
        <v>1384.1805490453185</v>
      </c>
      <c r="FJ167" s="62">
        <f ca="1">AVERAGE(OFFSET($FI$3,0,0,'Données projet'!$E$16+1,1))-AVERAGE(OFFSET($H$3,0,0,'Données projet'!$E$16+1,1))</f>
        <v>641.62708445664862</v>
      </c>
      <c r="FK167" s="62">
        <f t="shared" si="156"/>
        <v>379.46845863546929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1.470166984381495E-19</v>
      </c>
      <c r="FT167" s="24">
        <f t="shared" si="184"/>
        <v>1.470166984381495E-19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5.6843418860808015E-14</v>
      </c>
      <c r="GA167" s="18">
        <f>FZ167*VLOOKUP('Données projet'!$B$17,Paramètres!$A$1:$I$89,3,0)*VLOOKUP('Données projet'!$B$17,Paramètres!$A$1:$I$89,5,0)</f>
        <v>5.4978954722173515E-14</v>
      </c>
      <c r="GB167" s="14">
        <f t="shared" si="185"/>
        <v>8.8550225887742724E-13</v>
      </c>
      <c r="GC167" s="22">
        <f t="shared" si="186"/>
        <v>1.6380047803526383E-12</v>
      </c>
      <c r="GD167" s="62">
        <f t="shared" si="134"/>
        <v>293.33333333333496</v>
      </c>
      <c r="GE167" s="62">
        <f ca="1">AVERAGE(OFFSET($GD$3,0,0,'Données projet'!$E$17+1,1))-AVERAGE(OFFSET($H$3,0,0,'Données projet'!$E$17+1,1))</f>
        <v>181.39066880931728</v>
      </c>
      <c r="GF167" s="62">
        <f t="shared" si="158"/>
        <v>116.06078566855524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-1.7053025658242404E-13</v>
      </c>
      <c r="GV167" s="18">
        <f>GU167*VLOOKUP('Données projet'!$B$18,Paramètres!$A$1:$I$89,3,0)*VLOOKUP('Données projet'!$B$18,Paramètres!$A$1:$I$89,5,0)</f>
        <v>-1.4897523215040567E-13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152.84277478695606</v>
      </c>
      <c r="HA167" s="62">
        <f t="shared" si="160"/>
        <v>179.22995976651015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9">
        <f t="shared" si="110"/>
        <v>456.39565232380079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-9.7986685432260874E-13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383.26814640166805</v>
      </c>
      <c r="T168" s="62">
        <f t="shared" si="142"/>
        <v>233.71216103405249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6.1186256061773749E-14</v>
      </c>
      <c r="AK168" s="14">
        <f t="shared" si="164"/>
        <v>9.7328366192051127E-13</v>
      </c>
      <c r="AL168" s="22">
        <f t="shared" si="165"/>
        <v>1.8017017738191463E-12</v>
      </c>
      <c r="AM168" s="62">
        <f t="shared" si="113"/>
        <v>293.33333333333513</v>
      </c>
      <c r="AN168" s="62">
        <f ca="1">AVERAGE(OFFSET($AM$3,0,0,'Données projet'!$E$10+1,1))-AVERAGE(OFFSET($H$3,0,0,'Données projet'!$E$10+1,1))</f>
        <v>205.99910063756408</v>
      </c>
      <c r="AO168" s="62">
        <f t="shared" si="144"/>
        <v>128.95330275493671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293.3333333333353</v>
      </c>
      <c r="BI168" s="62">
        <f ca="1">AVERAGE(OFFSET($BH$3,0,0,'Données projet'!$E$11+1,1))-AVERAGE(OFFSET($H$3,0,0,'Données projet'!$E$11+1,1))</f>
        <v>222.20580087523689</v>
      </c>
      <c r="BJ168" s="62">
        <f t="shared" si="146"/>
        <v>232.08940427392253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0.69062899372965436</v>
      </c>
      <c r="BQ168" s="23">
        <f>EXP(-LN(2)/25)*BQ167+(1-EXP(-LN(2)/25))/(LN(2)/25)*Calculateur!BL168*Calculateur!BN168*VLOOKUP('Données projet'!$B$11,Paramètres!$A$1:$I$89,3,0)*0.475*44/12</f>
        <v>0.38925584753098214</v>
      </c>
      <c r="BR168" s="23">
        <f>EXP(-LN(2)/2)*BR167+(1-EXP(-LN(2)/2))/(LN(2)/2)*BL168*BO168*VLOOKUP('Données projet'!$B$11,Paramètres!$A$1:$I$89,3,0)*0.475*44/12</f>
        <v>3.0378188688796021E-20</v>
      </c>
      <c r="BS168" s="24">
        <f t="shared" si="169"/>
        <v>1.0798848412606366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5.1159076974727213E-13</v>
      </c>
      <c r="BZ168" s="14">
        <f>BY168*VLOOKUP('Données projet'!$B$12,Paramètres!$A$1:$I$89,3,0)*VLOOKUP('Données projet'!$B$12,Paramètres!$A$1:$I$89,5,0)</f>
        <v>2.3942448024172334E-13</v>
      </c>
      <c r="CA168" s="14">
        <f t="shared" si="170"/>
        <v>3.2492669905861755E-12</v>
      </c>
      <c r="CB168" s="22">
        <f t="shared" si="171"/>
        <v>6.0761376450252565E-12</v>
      </c>
      <c r="CC168" s="62">
        <f t="shared" si="119"/>
        <v>293.3333333333394</v>
      </c>
      <c r="CD168" s="62">
        <f ca="1">AVERAGE(OFFSET($CC$3,0,0,'Données projet'!$E$12+1,1))-AVERAGE(OFFSET($H$3,0,0,'Données projet'!$E$12+1,1))</f>
        <v>179.14256291235466</v>
      </c>
      <c r="CE168" s="62">
        <f t="shared" si="148"/>
        <v>107.5256983607585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-2.8421709430404007E-13</v>
      </c>
      <c r="CU168" s="18">
        <f>CT168*VLOOKUP('Données projet'!$B$13,Paramètres!$A$1:$I$89,3,0)*VLOOKUP('Données projet'!$B$13,Paramètres!$A$1:$I$89,5,0)</f>
        <v>-1.69961822393816E-13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237.03649693529445</v>
      </c>
      <c r="CZ168" s="62">
        <f t="shared" si="150"/>
        <v>191.04289411674887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2.5217259278109258E-20</v>
      </c>
      <c r="DI168" s="24">
        <f t="shared" si="175"/>
        <v>2.5217259278109258E-20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1.3096723705530166E-13</v>
      </c>
      <c r="DQ168" s="14">
        <f t="shared" si="176"/>
        <v>1.9066764221344275E-12</v>
      </c>
      <c r="DR168" s="22">
        <f t="shared" si="177"/>
        <v>3.548896039755445E-12</v>
      </c>
      <c r="DS168" s="62">
        <f t="shared" si="125"/>
        <v>293.33333333333684</v>
      </c>
      <c r="DT168" s="62">
        <f ca="1">AVERAGE(OFFSET($DS$3,0,0,'Données projet'!$E$14+1,1))-AVERAGE(OFFSET($H$3,0,0,'Données projet'!$E$14+1,1))</f>
        <v>431.38469096974364</v>
      </c>
      <c r="DU168" s="62">
        <f t="shared" si="152"/>
        <v>295.48627059086647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2.319818737857253E-2</v>
      </c>
      <c r="EC168" s="23">
        <f>EXP(-LN(2)/2)*EC167+(1-EXP(-LN(2)/2))/(LN(2)/2)*DW168*DZ168*VLOOKUP('Données projet'!$B$14,Paramètres!$A$1:$I$89,3,0)*0.475*44/12</f>
        <v>1.8392023197902669E-20</v>
      </c>
      <c r="ED168" s="24">
        <f t="shared" si="178"/>
        <v>2.319818737857253E-2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6.4733285398688169E-14</v>
      </c>
      <c r="EL168" s="14">
        <f t="shared" si="179"/>
        <v>1.0229736701638572E-12</v>
      </c>
      <c r="EM168" s="22">
        <f t="shared" si="180"/>
        <v>1.8944229476047665E-12</v>
      </c>
      <c r="EN168" s="62">
        <f t="shared" si="128"/>
        <v>293.33333333333519</v>
      </c>
      <c r="EO168" s="62">
        <f ca="1">AVERAGE(OFFSET($EN$3,0,0,'Données projet'!$E$15+1,1))-AVERAGE(OFFSET($H$3,0,0,'Données projet'!$E$15+1,1))</f>
        <v>220.03635832253951</v>
      </c>
      <c r="EP168" s="62">
        <f t="shared" si="154"/>
        <v>136.30639155882233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490.00000000000091</v>
      </c>
      <c r="FF168" s="18">
        <f>FE168*VLOOKUP('Données projet'!$B$16,Paramètres!$A$1:$I$89,3,0)*VLOOKUP('Données projet'!$B$16,Paramètres!$A$1:$I$89,5,0)</f>
        <v>512.14800000000105</v>
      </c>
      <c r="FG168" s="14">
        <f t="shared" si="182"/>
        <v>114.17576021740676</v>
      </c>
      <c r="FH168" s="22">
        <f t="shared" si="183"/>
        <v>1090.8472157119852</v>
      </c>
      <c r="FI168" s="62">
        <f t="shared" si="131"/>
        <v>1384.1805490453185</v>
      </c>
      <c r="FJ168" s="62">
        <f ca="1">AVERAGE(OFFSET($FI$3,0,0,'Données projet'!$E$16+1,1))-AVERAGE(OFFSET($H$3,0,0,'Données projet'!$E$16+1,1))</f>
        <v>641.62708445664862</v>
      </c>
      <c r="FK168" s="62">
        <f t="shared" si="156"/>
        <v>379.46845863546929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1.0395650441327322E-19</v>
      </c>
      <c r="FT168" s="24">
        <f t="shared" si="184"/>
        <v>1.0395650441327322E-19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5.6843418860808015E-14</v>
      </c>
      <c r="GA168" s="18">
        <f>FZ168*VLOOKUP('Données projet'!$B$17,Paramètres!$A$1:$I$89,3,0)*VLOOKUP('Données projet'!$B$17,Paramètres!$A$1:$I$89,5,0)</f>
        <v>5.4978954722173515E-14</v>
      </c>
      <c r="GB168" s="14">
        <f t="shared" si="185"/>
        <v>8.8550225887742724E-13</v>
      </c>
      <c r="GC168" s="22">
        <f t="shared" si="186"/>
        <v>1.6380047803526383E-12</v>
      </c>
      <c r="GD168" s="62">
        <f t="shared" si="134"/>
        <v>293.33333333333496</v>
      </c>
      <c r="GE168" s="62">
        <f ca="1">AVERAGE(OFFSET($GD$3,0,0,'Données projet'!$E$17+1,1))-AVERAGE(OFFSET($H$3,0,0,'Données projet'!$E$17+1,1))</f>
        <v>181.39066880931728</v>
      </c>
      <c r="GF168" s="62">
        <f t="shared" si="158"/>
        <v>116.06078566855524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-1.7053025658242404E-13</v>
      </c>
      <c r="GV168" s="18">
        <f>GU168*VLOOKUP('Données projet'!$B$18,Paramètres!$A$1:$I$89,3,0)*VLOOKUP('Données projet'!$B$18,Paramètres!$A$1:$I$89,5,0)</f>
        <v>-1.4897523215040567E-13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152.84277478695606</v>
      </c>
      <c r="HA168" s="62">
        <f t="shared" si="160"/>
        <v>179.22995976651015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9">
        <f t="shared" si="110"/>
        <v>457.57584117854583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-9.7986685432260874E-13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383.26814640166805</v>
      </c>
      <c r="T169" s="62">
        <f t="shared" si="142"/>
        <v>233.71216103405249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6.1186256061773749E-14</v>
      </c>
      <c r="AK169" s="14">
        <f t="shared" si="164"/>
        <v>9.7328366192051127E-13</v>
      </c>
      <c r="AL169" s="22">
        <f t="shared" si="165"/>
        <v>1.8017017738191463E-12</v>
      </c>
      <c r="AM169" s="62">
        <f t="shared" si="113"/>
        <v>293.33333333333513</v>
      </c>
      <c r="AN169" s="62">
        <f ca="1">AVERAGE(OFFSET($AM$3,0,0,'Données projet'!$E$10+1,1))-AVERAGE(OFFSET($H$3,0,0,'Données projet'!$E$10+1,1))</f>
        <v>205.99910063756408</v>
      </c>
      <c r="AO169" s="62">
        <f t="shared" si="144"/>
        <v>128.95330275493671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293.3333333333353</v>
      </c>
      <c r="BI169" s="62">
        <f ca="1">AVERAGE(OFFSET($BH$3,0,0,'Données projet'!$E$11+1,1))-AVERAGE(OFFSET($H$3,0,0,'Données projet'!$E$11+1,1))</f>
        <v>222.20580087523689</v>
      </c>
      <c r="BJ169" s="62">
        <f t="shared" si="146"/>
        <v>232.08940427392253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0.6770861804047078</v>
      </c>
      <c r="BQ169" s="23">
        <f>EXP(-LN(2)/25)*BQ168+(1-EXP(-LN(2)/25))/(LN(2)/25)*Calculateur!BL169*Calculateur!BN169*VLOOKUP('Données projet'!$B$11,Paramètres!$A$1:$I$89,3,0)*0.475*44/12</f>
        <v>0.37861162591017206</v>
      </c>
      <c r="BR169" s="23">
        <f>EXP(-LN(2)/2)*BR168+(1-EXP(-LN(2)/2))/(LN(2)/2)*BL169*BO169*VLOOKUP('Données projet'!$B$11,Paramètres!$A$1:$I$89,3,0)*0.475*44/12</f>
        <v>2.1480623222012141E-20</v>
      </c>
      <c r="BS169" s="24">
        <f t="shared" si="169"/>
        <v>1.0556978063148799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5.1159076974727213E-13</v>
      </c>
      <c r="BZ169" s="14">
        <f>BY169*VLOOKUP('Données projet'!$B$12,Paramètres!$A$1:$I$89,3,0)*VLOOKUP('Données projet'!$B$12,Paramètres!$A$1:$I$89,5,0)</f>
        <v>2.3942448024172334E-13</v>
      </c>
      <c r="CA169" s="14">
        <f t="shared" si="170"/>
        <v>3.2492669905861755E-12</v>
      </c>
      <c r="CB169" s="22">
        <f t="shared" si="171"/>
        <v>6.0761376450252565E-12</v>
      </c>
      <c r="CC169" s="62">
        <f t="shared" si="119"/>
        <v>293.3333333333394</v>
      </c>
      <c r="CD169" s="62">
        <f ca="1">AVERAGE(OFFSET($CC$3,0,0,'Données projet'!$E$12+1,1))-AVERAGE(OFFSET($H$3,0,0,'Données projet'!$E$12+1,1))</f>
        <v>179.14256291235466</v>
      </c>
      <c r="CE169" s="62">
        <f t="shared" si="148"/>
        <v>107.5256983607585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-2.8421709430404007E-13</v>
      </c>
      <c r="CU169" s="18">
        <f>CT169*VLOOKUP('Données projet'!$B$13,Paramètres!$A$1:$I$89,3,0)*VLOOKUP('Données projet'!$B$13,Paramètres!$A$1:$I$89,5,0)</f>
        <v>-1.69961822393816E-13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237.03649693529445</v>
      </c>
      <c r="CZ169" s="62">
        <f t="shared" si="150"/>
        <v>191.04289411674887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1.7831295038490439E-20</v>
      </c>
      <c r="DI169" s="24">
        <f t="shared" si="175"/>
        <v>1.7831295038490439E-20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1.3096723705530166E-13</v>
      </c>
      <c r="DQ169" s="14">
        <f t="shared" si="176"/>
        <v>1.9066764221344275E-12</v>
      </c>
      <c r="DR169" s="22">
        <f t="shared" si="177"/>
        <v>3.548896039755445E-12</v>
      </c>
      <c r="DS169" s="62">
        <f t="shared" si="125"/>
        <v>293.33333333333684</v>
      </c>
      <c r="DT169" s="62">
        <f ca="1">AVERAGE(OFFSET($DS$3,0,0,'Données projet'!$E$14+1,1))-AVERAGE(OFFSET($H$3,0,0,'Données projet'!$E$14+1,1))</f>
        <v>431.38469096974364</v>
      </c>
      <c r="DU169" s="62">
        <f t="shared" si="152"/>
        <v>295.48627059086647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2.2563831724765809E-2</v>
      </c>
      <c r="EC169" s="23">
        <f>EXP(-LN(2)/2)*EC168+(1-EXP(-LN(2)/2))/(LN(2)/2)*DW169*DZ169*VLOOKUP('Données projet'!$B$14,Paramètres!$A$1:$I$89,3,0)*0.475*44/12</f>
        <v>1.3005124322977269E-20</v>
      </c>
      <c r="ED169" s="24">
        <f t="shared" si="178"/>
        <v>2.2563831724765809E-2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6.4733285398688169E-14</v>
      </c>
      <c r="EL169" s="14">
        <f t="shared" si="179"/>
        <v>1.0229736701638572E-12</v>
      </c>
      <c r="EM169" s="22">
        <f t="shared" si="180"/>
        <v>1.8944229476047665E-12</v>
      </c>
      <c r="EN169" s="62">
        <f t="shared" si="128"/>
        <v>293.33333333333519</v>
      </c>
      <c r="EO169" s="62">
        <f ca="1">AVERAGE(OFFSET($EN$3,0,0,'Données projet'!$E$15+1,1))-AVERAGE(OFFSET($H$3,0,0,'Données projet'!$E$15+1,1))</f>
        <v>220.03635832253951</v>
      </c>
      <c r="EP169" s="62">
        <f t="shared" si="154"/>
        <v>136.30639155882233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490.00000000000091</v>
      </c>
      <c r="FF169" s="18">
        <f>FE169*VLOOKUP('Données projet'!$B$16,Paramètres!$A$1:$I$89,3,0)*VLOOKUP('Données projet'!$B$16,Paramètres!$A$1:$I$89,5,0)</f>
        <v>512.14800000000105</v>
      </c>
      <c r="FG169" s="14">
        <f t="shared" si="182"/>
        <v>114.17576021740676</v>
      </c>
      <c r="FH169" s="22">
        <f t="shared" si="183"/>
        <v>1090.8472157119852</v>
      </c>
      <c r="FI169" s="62">
        <f t="shared" si="131"/>
        <v>1384.1805490453185</v>
      </c>
      <c r="FJ169" s="62">
        <f ca="1">AVERAGE(OFFSET($FI$3,0,0,'Données projet'!$E$16+1,1))-AVERAGE(OFFSET($H$3,0,0,'Données projet'!$E$16+1,1))</f>
        <v>641.62708445664862</v>
      </c>
      <c r="FK169" s="62">
        <f t="shared" si="156"/>
        <v>379.46845863546929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7.350834921907475E-20</v>
      </c>
      <c r="FT169" s="24">
        <f t="shared" si="184"/>
        <v>7.350834921907475E-20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5.6843418860808015E-14</v>
      </c>
      <c r="GA169" s="18">
        <f>FZ169*VLOOKUP('Données projet'!$B$17,Paramètres!$A$1:$I$89,3,0)*VLOOKUP('Données projet'!$B$17,Paramètres!$A$1:$I$89,5,0)</f>
        <v>5.4978954722173515E-14</v>
      </c>
      <c r="GB169" s="14">
        <f t="shared" si="185"/>
        <v>8.8550225887742724E-13</v>
      </c>
      <c r="GC169" s="22">
        <f t="shared" si="186"/>
        <v>1.6380047803526383E-12</v>
      </c>
      <c r="GD169" s="62">
        <f t="shared" si="134"/>
        <v>293.33333333333496</v>
      </c>
      <c r="GE169" s="62">
        <f ca="1">AVERAGE(OFFSET($GD$3,0,0,'Données projet'!$E$17+1,1))-AVERAGE(OFFSET($H$3,0,0,'Données projet'!$E$17+1,1))</f>
        <v>181.39066880931728</v>
      </c>
      <c r="GF169" s="62">
        <f t="shared" si="158"/>
        <v>116.06078566855524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-1.7053025658242404E-13</v>
      </c>
      <c r="GV169" s="18">
        <f>GU169*VLOOKUP('Données projet'!$B$18,Paramètres!$A$1:$I$89,3,0)*VLOOKUP('Données projet'!$B$18,Paramètres!$A$1:$I$89,5,0)</f>
        <v>-1.4897523215040567E-13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152.84277478695606</v>
      </c>
      <c r="HA169" s="62">
        <f t="shared" si="160"/>
        <v>179.22995976651015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9">
        <f t="shared" si="110"/>
        <v>458.75586934521687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-9.7986685432260874E-13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383.26814640166805</v>
      </c>
      <c r="T170" s="62">
        <f t="shared" si="142"/>
        <v>233.71216103405249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6.1186256061773749E-14</v>
      </c>
      <c r="AK170" s="14">
        <f t="shared" si="164"/>
        <v>9.7328366192051127E-13</v>
      </c>
      <c r="AL170" s="22">
        <f t="shared" si="165"/>
        <v>1.8017017738191463E-12</v>
      </c>
      <c r="AM170" s="62">
        <f t="shared" si="113"/>
        <v>293.33333333333513</v>
      </c>
      <c r="AN170" s="62">
        <f ca="1">AVERAGE(OFFSET($AM$3,0,0,'Données projet'!$E$10+1,1))-AVERAGE(OFFSET($H$3,0,0,'Données projet'!$E$10+1,1))</f>
        <v>205.99910063756408</v>
      </c>
      <c r="AO170" s="62">
        <f t="shared" si="144"/>
        <v>128.95330275493671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293.3333333333353</v>
      </c>
      <c r="BI170" s="62">
        <f ca="1">AVERAGE(OFFSET($BH$3,0,0,'Données projet'!$E$11+1,1))-AVERAGE(OFFSET($H$3,0,0,'Données projet'!$E$11+1,1))</f>
        <v>222.20580087523689</v>
      </c>
      <c r="BJ170" s="62">
        <f t="shared" si="146"/>
        <v>232.08940427392253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0.66380893338876301</v>
      </c>
      <c r="BQ170" s="23">
        <f>EXP(-LN(2)/25)*BQ169+(1-EXP(-LN(2)/25))/(LN(2)/25)*Calculateur!BL170*Calculateur!BN170*VLOOKUP('Données projet'!$B$11,Paramètres!$A$1:$I$89,3,0)*0.475*44/12</f>
        <v>0.36825847108933835</v>
      </c>
      <c r="BR170" s="23">
        <f>EXP(-LN(2)/2)*BR169+(1-EXP(-LN(2)/2))/(LN(2)/2)*BL170*BO170*VLOOKUP('Données projet'!$B$11,Paramètres!$A$1:$I$89,3,0)*0.475*44/12</f>
        <v>1.518909434439801E-20</v>
      </c>
      <c r="BS170" s="24">
        <f t="shared" si="169"/>
        <v>1.0320674044781013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5.1159076974727213E-13</v>
      </c>
      <c r="BZ170" s="14">
        <f>BY170*VLOOKUP('Données projet'!$B$12,Paramètres!$A$1:$I$89,3,0)*VLOOKUP('Données projet'!$B$12,Paramètres!$A$1:$I$89,5,0)</f>
        <v>2.3942448024172334E-13</v>
      </c>
      <c r="CA170" s="14">
        <f t="shared" si="170"/>
        <v>3.2492669905861755E-12</v>
      </c>
      <c r="CB170" s="22">
        <f t="shared" si="171"/>
        <v>6.0761376450252565E-12</v>
      </c>
      <c r="CC170" s="62">
        <f t="shared" si="119"/>
        <v>293.3333333333394</v>
      </c>
      <c r="CD170" s="62">
        <f ca="1">AVERAGE(OFFSET($CC$3,0,0,'Données projet'!$E$12+1,1))-AVERAGE(OFFSET($H$3,0,0,'Données projet'!$E$12+1,1))</f>
        <v>179.14256291235466</v>
      </c>
      <c r="CE170" s="62">
        <f t="shared" si="148"/>
        <v>107.5256983607585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-2.8421709430404007E-13</v>
      </c>
      <c r="CU170" s="18">
        <f>CT170*VLOOKUP('Données projet'!$B$13,Paramètres!$A$1:$I$89,3,0)*VLOOKUP('Données projet'!$B$13,Paramètres!$A$1:$I$89,5,0)</f>
        <v>-1.69961822393816E-13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237.03649693529445</v>
      </c>
      <c r="CZ170" s="62">
        <f t="shared" si="150"/>
        <v>191.04289411674887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1.2608629639054629E-20</v>
      </c>
      <c r="DI170" s="24">
        <f t="shared" si="175"/>
        <v>1.2608629639054629E-20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1.3096723705530166E-13</v>
      </c>
      <c r="DQ170" s="14">
        <f t="shared" si="176"/>
        <v>1.9066764221344275E-12</v>
      </c>
      <c r="DR170" s="22">
        <f t="shared" si="177"/>
        <v>3.548896039755445E-12</v>
      </c>
      <c r="DS170" s="62">
        <f t="shared" si="125"/>
        <v>293.33333333333684</v>
      </c>
      <c r="DT170" s="62">
        <f ca="1">AVERAGE(OFFSET($DS$3,0,0,'Données projet'!$E$14+1,1))-AVERAGE(OFFSET($H$3,0,0,'Données projet'!$E$14+1,1))</f>
        <v>431.38469096974364</v>
      </c>
      <c r="DU170" s="62">
        <f t="shared" si="152"/>
        <v>295.48627059086647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2.1946822559671748E-2</v>
      </c>
      <c r="EC170" s="23">
        <f>EXP(-LN(2)/2)*EC169+(1-EXP(-LN(2)/2))/(LN(2)/2)*DW170*DZ170*VLOOKUP('Données projet'!$B$14,Paramètres!$A$1:$I$89,3,0)*0.475*44/12</f>
        <v>9.1960115989513346E-21</v>
      </c>
      <c r="ED170" s="24">
        <f t="shared" si="178"/>
        <v>2.1946822559671748E-2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6.4733285398688169E-14</v>
      </c>
      <c r="EL170" s="14">
        <f t="shared" si="179"/>
        <v>1.0229736701638572E-12</v>
      </c>
      <c r="EM170" s="22">
        <f t="shared" si="180"/>
        <v>1.8944229476047665E-12</v>
      </c>
      <c r="EN170" s="62">
        <f t="shared" si="128"/>
        <v>293.33333333333519</v>
      </c>
      <c r="EO170" s="62">
        <f ca="1">AVERAGE(OFFSET($EN$3,0,0,'Données projet'!$E$15+1,1))-AVERAGE(OFFSET($H$3,0,0,'Données projet'!$E$15+1,1))</f>
        <v>220.03635832253951</v>
      </c>
      <c r="EP170" s="62">
        <f t="shared" si="154"/>
        <v>136.30639155882233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490.00000000000091</v>
      </c>
      <c r="FF170" s="18">
        <f>FE170*VLOOKUP('Données projet'!$B$16,Paramètres!$A$1:$I$89,3,0)*VLOOKUP('Données projet'!$B$16,Paramètres!$A$1:$I$89,5,0)</f>
        <v>512.14800000000105</v>
      </c>
      <c r="FG170" s="14">
        <f t="shared" si="182"/>
        <v>114.17576021740676</v>
      </c>
      <c r="FH170" s="22">
        <f t="shared" si="183"/>
        <v>1090.8472157119852</v>
      </c>
      <c r="FI170" s="62">
        <f t="shared" si="131"/>
        <v>1384.1805490453185</v>
      </c>
      <c r="FJ170" s="62">
        <f ca="1">AVERAGE(OFFSET($FI$3,0,0,'Données projet'!$E$16+1,1))-AVERAGE(OFFSET($H$3,0,0,'Données projet'!$E$16+1,1))</f>
        <v>641.62708445664862</v>
      </c>
      <c r="FK170" s="62">
        <f t="shared" si="156"/>
        <v>379.46845863546929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5.1978252206636611E-20</v>
      </c>
      <c r="FT170" s="24">
        <f t="shared" si="184"/>
        <v>5.1978252206636611E-20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5.6843418860808015E-14</v>
      </c>
      <c r="GA170" s="18">
        <f>FZ170*VLOOKUP('Données projet'!$B$17,Paramètres!$A$1:$I$89,3,0)*VLOOKUP('Données projet'!$B$17,Paramètres!$A$1:$I$89,5,0)</f>
        <v>5.4978954722173515E-14</v>
      </c>
      <c r="GB170" s="14">
        <f t="shared" si="185"/>
        <v>8.8550225887742724E-13</v>
      </c>
      <c r="GC170" s="22">
        <f t="shared" si="186"/>
        <v>1.6380047803526383E-12</v>
      </c>
      <c r="GD170" s="62">
        <f t="shared" si="134"/>
        <v>293.33333333333496</v>
      </c>
      <c r="GE170" s="62">
        <f ca="1">AVERAGE(OFFSET($GD$3,0,0,'Données projet'!$E$17+1,1))-AVERAGE(OFFSET($H$3,0,0,'Données projet'!$E$17+1,1))</f>
        <v>181.39066880931728</v>
      </c>
      <c r="GF170" s="62">
        <f t="shared" si="158"/>
        <v>116.06078566855524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-1.7053025658242404E-13</v>
      </c>
      <c r="GV170" s="18">
        <f>GU170*VLOOKUP('Données projet'!$B$18,Paramètres!$A$1:$I$89,3,0)*VLOOKUP('Données projet'!$B$18,Paramètres!$A$1:$I$89,5,0)</f>
        <v>-1.4897523215040567E-13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152.84277478695606</v>
      </c>
      <c r="HA170" s="62">
        <f t="shared" si="160"/>
        <v>179.22995976651015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9">
        <f t="shared" si="110"/>
        <v>459.93573789765719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-9.7986685432260874E-13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383.26814640166805</v>
      </c>
      <c r="T171" s="62">
        <f t="shared" si="142"/>
        <v>233.71216103405249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6.1186256061773749E-14</v>
      </c>
      <c r="AK171" s="14">
        <f t="shared" si="164"/>
        <v>9.7328366192051127E-13</v>
      </c>
      <c r="AL171" s="22">
        <f t="shared" si="165"/>
        <v>1.8017017738191463E-12</v>
      </c>
      <c r="AM171" s="62">
        <f t="shared" si="113"/>
        <v>293.33333333333513</v>
      </c>
      <c r="AN171" s="62">
        <f ca="1">AVERAGE(OFFSET($AM$3,0,0,'Données projet'!$E$10+1,1))-AVERAGE(OFFSET($H$3,0,0,'Données projet'!$E$10+1,1))</f>
        <v>205.99910063756408</v>
      </c>
      <c r="AO171" s="62">
        <f t="shared" si="144"/>
        <v>128.95330275493671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293.3333333333353</v>
      </c>
      <c r="BI171" s="62">
        <f ca="1">AVERAGE(OFFSET($BH$3,0,0,'Données projet'!$E$11+1,1))-AVERAGE(OFFSET($H$3,0,0,'Données projet'!$E$11+1,1))</f>
        <v>222.20580087523689</v>
      </c>
      <c r="BJ171" s="62">
        <f t="shared" si="146"/>
        <v>232.08940427392253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0.65079204508847976</v>
      </c>
      <c r="BQ171" s="23">
        <f>EXP(-LN(2)/25)*BQ170+(1-EXP(-LN(2)/25))/(LN(2)/25)*Calculateur!BL171*Calculateur!BN171*VLOOKUP('Données projet'!$B$11,Paramètres!$A$1:$I$89,3,0)*0.475*44/12</f>
        <v>0.35818842383152905</v>
      </c>
      <c r="BR171" s="23">
        <f>EXP(-LN(2)/2)*BR170+(1-EXP(-LN(2)/2))/(LN(2)/2)*BL171*BO171*VLOOKUP('Données projet'!$B$11,Paramètres!$A$1:$I$89,3,0)*0.475*44/12</f>
        <v>1.074031161100607E-20</v>
      </c>
      <c r="BS171" s="24">
        <f t="shared" si="169"/>
        <v>1.0089804689200088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5.1159076974727213E-13</v>
      </c>
      <c r="BZ171" s="14">
        <f>BY171*VLOOKUP('Données projet'!$B$12,Paramètres!$A$1:$I$89,3,0)*VLOOKUP('Données projet'!$B$12,Paramètres!$A$1:$I$89,5,0)</f>
        <v>2.3942448024172334E-13</v>
      </c>
      <c r="CA171" s="14">
        <f t="shared" si="170"/>
        <v>3.2492669905861755E-12</v>
      </c>
      <c r="CB171" s="22">
        <f t="shared" si="171"/>
        <v>6.0761376450252565E-12</v>
      </c>
      <c r="CC171" s="62">
        <f t="shared" si="119"/>
        <v>293.3333333333394</v>
      </c>
      <c r="CD171" s="62">
        <f ca="1">AVERAGE(OFFSET($CC$3,0,0,'Données projet'!$E$12+1,1))-AVERAGE(OFFSET($H$3,0,0,'Données projet'!$E$12+1,1))</f>
        <v>179.14256291235466</v>
      </c>
      <c r="CE171" s="62">
        <f t="shared" si="148"/>
        <v>107.5256983607585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-2.8421709430404007E-13</v>
      </c>
      <c r="CU171" s="18">
        <f>CT171*VLOOKUP('Données projet'!$B$13,Paramètres!$A$1:$I$89,3,0)*VLOOKUP('Données projet'!$B$13,Paramètres!$A$1:$I$89,5,0)</f>
        <v>-1.69961822393816E-13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237.03649693529445</v>
      </c>
      <c r="CZ171" s="62">
        <f t="shared" si="150"/>
        <v>191.04289411674887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8.9156475192452193E-21</v>
      </c>
      <c r="DI171" s="24">
        <f t="shared" si="175"/>
        <v>8.9156475192452193E-21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1.3096723705530166E-13</v>
      </c>
      <c r="DQ171" s="14">
        <f t="shared" si="176"/>
        <v>1.9066764221344275E-12</v>
      </c>
      <c r="DR171" s="22">
        <f t="shared" si="177"/>
        <v>3.548896039755445E-12</v>
      </c>
      <c r="DS171" s="62">
        <f t="shared" si="125"/>
        <v>293.33333333333684</v>
      </c>
      <c r="DT171" s="62">
        <f ca="1">AVERAGE(OFFSET($DS$3,0,0,'Données projet'!$E$14+1,1))-AVERAGE(OFFSET($H$3,0,0,'Données projet'!$E$14+1,1))</f>
        <v>431.38469096974364</v>
      </c>
      <c r="DU171" s="62">
        <f t="shared" si="152"/>
        <v>295.48627059086647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2.1346685542644284E-2</v>
      </c>
      <c r="EC171" s="23">
        <f>EXP(-LN(2)/2)*EC170+(1-EXP(-LN(2)/2))/(LN(2)/2)*DW171*DZ171*VLOOKUP('Données projet'!$B$14,Paramètres!$A$1:$I$89,3,0)*0.475*44/12</f>
        <v>6.5025621614886344E-21</v>
      </c>
      <c r="ED171" s="24">
        <f t="shared" si="178"/>
        <v>2.1346685542644284E-2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6.4733285398688169E-14</v>
      </c>
      <c r="EL171" s="14">
        <f t="shared" si="179"/>
        <v>1.0229736701638572E-12</v>
      </c>
      <c r="EM171" s="22">
        <f t="shared" si="180"/>
        <v>1.8944229476047665E-12</v>
      </c>
      <c r="EN171" s="62">
        <f t="shared" si="128"/>
        <v>293.33333333333519</v>
      </c>
      <c r="EO171" s="62">
        <f ca="1">AVERAGE(OFFSET($EN$3,0,0,'Données projet'!$E$15+1,1))-AVERAGE(OFFSET($H$3,0,0,'Données projet'!$E$15+1,1))</f>
        <v>220.03635832253951</v>
      </c>
      <c r="EP171" s="62">
        <f t="shared" si="154"/>
        <v>136.30639155882233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490.00000000000091</v>
      </c>
      <c r="FF171" s="18">
        <f>FE171*VLOOKUP('Données projet'!$B$16,Paramètres!$A$1:$I$89,3,0)*VLOOKUP('Données projet'!$B$16,Paramètres!$A$1:$I$89,5,0)</f>
        <v>512.14800000000105</v>
      </c>
      <c r="FG171" s="14">
        <f t="shared" si="182"/>
        <v>114.17576021740676</v>
      </c>
      <c r="FH171" s="22">
        <f t="shared" si="183"/>
        <v>1090.8472157119852</v>
      </c>
      <c r="FI171" s="62">
        <f t="shared" si="131"/>
        <v>1384.1805490453185</v>
      </c>
      <c r="FJ171" s="62">
        <f ca="1">AVERAGE(OFFSET($FI$3,0,0,'Données projet'!$E$16+1,1))-AVERAGE(OFFSET($H$3,0,0,'Données projet'!$E$16+1,1))</f>
        <v>641.62708445664862</v>
      </c>
      <c r="FK171" s="62">
        <f t="shared" si="156"/>
        <v>379.46845863546929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3.6754174609537375E-20</v>
      </c>
      <c r="FT171" s="24">
        <f t="shared" si="184"/>
        <v>3.6754174609537375E-20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5.6843418860808015E-14</v>
      </c>
      <c r="GA171" s="18">
        <f>FZ171*VLOOKUP('Données projet'!$B$17,Paramètres!$A$1:$I$89,3,0)*VLOOKUP('Données projet'!$B$17,Paramètres!$A$1:$I$89,5,0)</f>
        <v>5.4978954722173515E-14</v>
      </c>
      <c r="GB171" s="14">
        <f t="shared" si="185"/>
        <v>8.8550225887742724E-13</v>
      </c>
      <c r="GC171" s="22">
        <f t="shared" si="186"/>
        <v>1.6380047803526383E-12</v>
      </c>
      <c r="GD171" s="62">
        <f t="shared" si="134"/>
        <v>293.33333333333496</v>
      </c>
      <c r="GE171" s="62">
        <f ca="1">AVERAGE(OFFSET($GD$3,0,0,'Données projet'!$E$17+1,1))-AVERAGE(OFFSET($H$3,0,0,'Données projet'!$E$17+1,1))</f>
        <v>181.39066880931728</v>
      </c>
      <c r="GF171" s="62">
        <f t="shared" si="158"/>
        <v>116.06078566855524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-1.7053025658242404E-13</v>
      </c>
      <c r="GV171" s="18">
        <f>GU171*VLOOKUP('Données projet'!$B$18,Paramètres!$A$1:$I$89,3,0)*VLOOKUP('Données projet'!$B$18,Paramètres!$A$1:$I$89,5,0)</f>
        <v>-1.4897523215040567E-13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152.84277478695606</v>
      </c>
      <c r="HA171" s="62">
        <f t="shared" si="160"/>
        <v>179.22995976651015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9">
        <f t="shared" si="110"/>
        <v>461.11544789618642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-9.7986685432260874E-13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383.26814640166805</v>
      </c>
      <c r="T172" s="62">
        <f t="shared" si="142"/>
        <v>233.71216103405249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6.1186256061773749E-14</v>
      </c>
      <c r="AK172" s="14">
        <f t="shared" si="164"/>
        <v>9.7328366192051127E-13</v>
      </c>
      <c r="AL172" s="22">
        <f t="shared" si="165"/>
        <v>1.8017017738191463E-12</v>
      </c>
      <c r="AM172" s="62">
        <f t="shared" si="113"/>
        <v>293.33333333333513</v>
      </c>
      <c r="AN172" s="62">
        <f ca="1">AVERAGE(OFFSET($AM$3,0,0,'Données projet'!$E$10+1,1))-AVERAGE(OFFSET($H$3,0,0,'Données projet'!$E$10+1,1))</f>
        <v>205.99910063756408</v>
      </c>
      <c r="AO172" s="62">
        <f t="shared" si="144"/>
        <v>128.95330275493671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293.3333333333353</v>
      </c>
      <c r="BI172" s="62">
        <f ca="1">AVERAGE(OFFSET($BH$3,0,0,'Données projet'!$E$11+1,1))-AVERAGE(OFFSET($H$3,0,0,'Données projet'!$E$11+1,1))</f>
        <v>222.20580087523689</v>
      </c>
      <c r="BJ172" s="62">
        <f t="shared" si="146"/>
        <v>232.08940427392253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0.63803041002824723</v>
      </c>
      <c r="BQ172" s="23">
        <f>EXP(-LN(2)/25)*BQ171+(1-EXP(-LN(2)/25))/(LN(2)/25)*Calculateur!BL172*Calculateur!BN172*VLOOKUP('Données projet'!$B$11,Paramètres!$A$1:$I$89,3,0)*0.475*44/12</f>
        <v>0.34839374254554534</v>
      </c>
      <c r="BR172" s="23">
        <f>EXP(-LN(2)/2)*BR171+(1-EXP(-LN(2)/2))/(LN(2)/2)*BL172*BO172*VLOOKUP('Données projet'!$B$11,Paramètres!$A$1:$I$89,3,0)*0.475*44/12</f>
        <v>7.5945471721990052E-21</v>
      </c>
      <c r="BS172" s="24">
        <f t="shared" si="169"/>
        <v>0.98642415257379257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5.1159076974727213E-13</v>
      </c>
      <c r="BZ172" s="14">
        <f>BY172*VLOOKUP('Données projet'!$B$12,Paramètres!$A$1:$I$89,3,0)*VLOOKUP('Données projet'!$B$12,Paramètres!$A$1:$I$89,5,0)</f>
        <v>2.3942448024172334E-13</v>
      </c>
      <c r="CA172" s="14">
        <f t="shared" si="170"/>
        <v>3.2492669905861755E-12</v>
      </c>
      <c r="CB172" s="22">
        <f t="shared" si="171"/>
        <v>6.0761376450252565E-12</v>
      </c>
      <c r="CC172" s="62">
        <f t="shared" si="119"/>
        <v>293.3333333333394</v>
      </c>
      <c r="CD172" s="62">
        <f ca="1">AVERAGE(OFFSET($CC$3,0,0,'Données projet'!$E$12+1,1))-AVERAGE(OFFSET($H$3,0,0,'Données projet'!$E$12+1,1))</f>
        <v>179.14256291235466</v>
      </c>
      <c r="CE172" s="62">
        <f t="shared" si="148"/>
        <v>107.5256983607585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-2.8421709430404007E-13</v>
      </c>
      <c r="CU172" s="18">
        <f>CT172*VLOOKUP('Données projet'!$B$13,Paramètres!$A$1:$I$89,3,0)*VLOOKUP('Données projet'!$B$13,Paramètres!$A$1:$I$89,5,0)</f>
        <v>-1.69961822393816E-13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237.03649693529445</v>
      </c>
      <c r="CZ172" s="62">
        <f t="shared" si="150"/>
        <v>191.04289411674887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6.3043148195273146E-21</v>
      </c>
      <c r="DI172" s="24">
        <f t="shared" si="175"/>
        <v>6.3043148195273146E-21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1.3096723705530166E-13</v>
      </c>
      <c r="DQ172" s="14">
        <f t="shared" si="176"/>
        <v>1.9066764221344275E-12</v>
      </c>
      <c r="DR172" s="22">
        <f t="shared" si="177"/>
        <v>3.548896039755445E-12</v>
      </c>
      <c r="DS172" s="62">
        <f t="shared" si="125"/>
        <v>293.33333333333684</v>
      </c>
      <c r="DT172" s="62">
        <f ca="1">AVERAGE(OFFSET($DS$3,0,0,'Données projet'!$E$14+1,1))-AVERAGE(OFFSET($H$3,0,0,'Données projet'!$E$14+1,1))</f>
        <v>431.38469096974364</v>
      </c>
      <c r="DU172" s="62">
        <f t="shared" si="152"/>
        <v>295.48627059086647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2.0762959303907272E-2</v>
      </c>
      <c r="EC172" s="23">
        <f>EXP(-LN(2)/2)*EC171+(1-EXP(-LN(2)/2))/(LN(2)/2)*DW172*DZ172*VLOOKUP('Données projet'!$B$14,Paramètres!$A$1:$I$89,3,0)*0.475*44/12</f>
        <v>4.5980057994756673E-21</v>
      </c>
      <c r="ED172" s="24">
        <f t="shared" si="178"/>
        <v>2.0762959303907272E-2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6.4733285398688169E-14</v>
      </c>
      <c r="EL172" s="14">
        <f t="shared" si="179"/>
        <v>1.0229736701638572E-12</v>
      </c>
      <c r="EM172" s="22">
        <f t="shared" si="180"/>
        <v>1.8944229476047665E-12</v>
      </c>
      <c r="EN172" s="62">
        <f t="shared" si="128"/>
        <v>293.33333333333519</v>
      </c>
      <c r="EO172" s="62">
        <f ca="1">AVERAGE(OFFSET($EN$3,0,0,'Données projet'!$E$15+1,1))-AVERAGE(OFFSET($H$3,0,0,'Données projet'!$E$15+1,1))</f>
        <v>220.03635832253951</v>
      </c>
      <c r="EP172" s="62">
        <f t="shared" si="154"/>
        <v>136.30639155882233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490.00000000000091</v>
      </c>
      <c r="FF172" s="18">
        <f>FE172*VLOOKUP('Données projet'!$B$16,Paramètres!$A$1:$I$89,3,0)*VLOOKUP('Données projet'!$B$16,Paramètres!$A$1:$I$89,5,0)</f>
        <v>512.14800000000105</v>
      </c>
      <c r="FG172" s="14">
        <f t="shared" si="182"/>
        <v>114.17576021740676</v>
      </c>
      <c r="FH172" s="22">
        <f t="shared" si="183"/>
        <v>1090.8472157119852</v>
      </c>
      <c r="FI172" s="62">
        <f t="shared" si="131"/>
        <v>1384.1805490453185</v>
      </c>
      <c r="FJ172" s="62">
        <f ca="1">AVERAGE(OFFSET($FI$3,0,0,'Données projet'!$E$16+1,1))-AVERAGE(OFFSET($H$3,0,0,'Données projet'!$E$16+1,1))</f>
        <v>641.62708445664862</v>
      </c>
      <c r="FK172" s="62">
        <f t="shared" si="156"/>
        <v>379.46845863546929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2.5989126103318306E-20</v>
      </c>
      <c r="FT172" s="24">
        <f t="shared" si="184"/>
        <v>2.5989126103318306E-20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5.6843418860808015E-14</v>
      </c>
      <c r="GA172" s="18">
        <f>FZ172*VLOOKUP('Données projet'!$B$17,Paramètres!$A$1:$I$89,3,0)*VLOOKUP('Données projet'!$B$17,Paramètres!$A$1:$I$89,5,0)</f>
        <v>5.4978954722173515E-14</v>
      </c>
      <c r="GB172" s="14">
        <f t="shared" si="185"/>
        <v>8.8550225887742724E-13</v>
      </c>
      <c r="GC172" s="22">
        <f t="shared" si="186"/>
        <v>1.6380047803526383E-12</v>
      </c>
      <c r="GD172" s="62">
        <f t="shared" si="134"/>
        <v>293.33333333333496</v>
      </c>
      <c r="GE172" s="62">
        <f ca="1">AVERAGE(OFFSET($GD$3,0,0,'Données projet'!$E$17+1,1))-AVERAGE(OFFSET($H$3,0,0,'Données projet'!$E$17+1,1))</f>
        <v>181.39066880931728</v>
      </c>
      <c r="GF172" s="62">
        <f t="shared" si="158"/>
        <v>116.06078566855524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-1.7053025658242404E-13</v>
      </c>
      <c r="GV172" s="18">
        <f>GU172*VLOOKUP('Données projet'!$B$18,Paramètres!$A$1:$I$89,3,0)*VLOOKUP('Données projet'!$B$18,Paramètres!$A$1:$I$89,5,0)</f>
        <v>-1.4897523215040567E-13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152.84277478695606</v>
      </c>
      <c r="HA172" s="62">
        <f t="shared" si="160"/>
        <v>179.22995976651015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9">
        <f t="shared" si="110"/>
        <v>462.29500038785034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-9.7986685432260874E-13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383.26814640166805</v>
      </c>
      <c r="T173" s="62">
        <f t="shared" si="142"/>
        <v>233.71216103405249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6.1186256061773749E-14</v>
      </c>
      <c r="AK173" s="14">
        <f t="shared" si="164"/>
        <v>9.7328366192051127E-13</v>
      </c>
      <c r="AL173" s="22">
        <f t="shared" si="165"/>
        <v>1.8017017738191463E-12</v>
      </c>
      <c r="AM173" s="62">
        <f t="shared" si="113"/>
        <v>293.33333333333513</v>
      </c>
      <c r="AN173" s="62">
        <f ca="1">AVERAGE(OFFSET($AM$3,0,0,'Données projet'!$E$10+1,1))-AVERAGE(OFFSET($H$3,0,0,'Données projet'!$E$10+1,1))</f>
        <v>205.99910063756408</v>
      </c>
      <c r="AO173" s="62">
        <f t="shared" si="144"/>
        <v>128.95330275493671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293.3333333333353</v>
      </c>
      <c r="BI173" s="62">
        <f ca="1">AVERAGE(OFFSET($BH$3,0,0,'Données projet'!$E$11+1,1))-AVERAGE(OFFSET($H$3,0,0,'Données projet'!$E$11+1,1))</f>
        <v>222.20580087523689</v>
      </c>
      <c r="BJ173" s="62">
        <f t="shared" si="146"/>
        <v>232.08940427392253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0.6255190228477171</v>
      </c>
      <c r="BQ173" s="23">
        <f>EXP(-LN(2)/25)*BQ172+(1-EXP(-LN(2)/25))/(LN(2)/25)*Calculateur!BL173*Calculateur!BN173*VLOOKUP('Données projet'!$B$11,Paramètres!$A$1:$I$89,3,0)*0.475*44/12</f>
        <v>0.33886689733440672</v>
      </c>
      <c r="BR173" s="23">
        <f>EXP(-LN(2)/2)*BR172+(1-EXP(-LN(2)/2))/(LN(2)/2)*BL173*BO173*VLOOKUP('Données projet'!$B$11,Paramètres!$A$1:$I$89,3,0)*0.475*44/12</f>
        <v>5.3701558055030352E-21</v>
      </c>
      <c r="BS173" s="24">
        <f t="shared" si="169"/>
        <v>0.96438592018212388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5.1159076974727213E-13</v>
      </c>
      <c r="BZ173" s="14">
        <f>BY173*VLOOKUP('Données projet'!$B$12,Paramètres!$A$1:$I$89,3,0)*VLOOKUP('Données projet'!$B$12,Paramètres!$A$1:$I$89,5,0)</f>
        <v>2.3942448024172334E-13</v>
      </c>
      <c r="CA173" s="14">
        <f t="shared" si="170"/>
        <v>3.2492669905861755E-12</v>
      </c>
      <c r="CB173" s="22">
        <f t="shared" si="171"/>
        <v>6.0761376450252565E-12</v>
      </c>
      <c r="CC173" s="62">
        <f t="shared" si="119"/>
        <v>293.3333333333394</v>
      </c>
      <c r="CD173" s="62">
        <f ca="1">AVERAGE(OFFSET($CC$3,0,0,'Données projet'!$E$12+1,1))-AVERAGE(OFFSET($H$3,0,0,'Données projet'!$E$12+1,1))</f>
        <v>179.14256291235466</v>
      </c>
      <c r="CE173" s="62">
        <f t="shared" si="148"/>
        <v>107.5256983607585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-2.8421709430404007E-13</v>
      </c>
      <c r="CU173" s="18">
        <f>CT173*VLOOKUP('Données projet'!$B$13,Paramètres!$A$1:$I$89,3,0)*VLOOKUP('Données projet'!$B$13,Paramètres!$A$1:$I$89,5,0)</f>
        <v>-1.69961822393816E-13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237.03649693529445</v>
      </c>
      <c r="CZ173" s="62">
        <f t="shared" si="150"/>
        <v>191.04289411674887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4.4578237596226096E-21</v>
      </c>
      <c r="DI173" s="24">
        <f t="shared" si="175"/>
        <v>4.4578237596226096E-21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1.3096723705530166E-13</v>
      </c>
      <c r="DQ173" s="14">
        <f t="shared" si="176"/>
        <v>1.9066764221344275E-12</v>
      </c>
      <c r="DR173" s="22">
        <f t="shared" si="177"/>
        <v>3.548896039755445E-12</v>
      </c>
      <c r="DS173" s="62">
        <f t="shared" si="125"/>
        <v>293.33333333333684</v>
      </c>
      <c r="DT173" s="62">
        <f ca="1">AVERAGE(OFFSET($DS$3,0,0,'Données projet'!$E$14+1,1))-AVERAGE(OFFSET($H$3,0,0,'Données projet'!$E$14+1,1))</f>
        <v>431.38469096974364</v>
      </c>
      <c r="DU173" s="62">
        <f t="shared" si="152"/>
        <v>295.48627059086647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2.019519508986535E-2</v>
      </c>
      <c r="EC173" s="23">
        <f>EXP(-LN(2)/2)*EC172+(1-EXP(-LN(2)/2))/(LN(2)/2)*DW173*DZ173*VLOOKUP('Données projet'!$B$14,Paramètres!$A$1:$I$89,3,0)*0.475*44/12</f>
        <v>3.2512810807443172E-21</v>
      </c>
      <c r="ED173" s="24">
        <f t="shared" si="178"/>
        <v>2.019519508986535E-2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6.4733285398688169E-14</v>
      </c>
      <c r="EL173" s="14">
        <f t="shared" si="179"/>
        <v>1.0229736701638572E-12</v>
      </c>
      <c r="EM173" s="22">
        <f t="shared" si="180"/>
        <v>1.8944229476047665E-12</v>
      </c>
      <c r="EN173" s="62">
        <f t="shared" si="128"/>
        <v>293.33333333333519</v>
      </c>
      <c r="EO173" s="62">
        <f ca="1">AVERAGE(OFFSET($EN$3,0,0,'Données projet'!$E$15+1,1))-AVERAGE(OFFSET($H$3,0,0,'Données projet'!$E$15+1,1))</f>
        <v>220.03635832253951</v>
      </c>
      <c r="EP173" s="62">
        <f t="shared" si="154"/>
        <v>136.30639155882233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490.00000000000091</v>
      </c>
      <c r="FF173" s="18">
        <f>FE173*VLOOKUP('Données projet'!$B$16,Paramètres!$A$1:$I$89,3,0)*VLOOKUP('Données projet'!$B$16,Paramètres!$A$1:$I$89,5,0)</f>
        <v>512.14800000000105</v>
      </c>
      <c r="FG173" s="14">
        <f t="shared" si="182"/>
        <v>114.17576021740676</v>
      </c>
      <c r="FH173" s="22">
        <f t="shared" si="183"/>
        <v>1090.8472157119852</v>
      </c>
      <c r="FI173" s="62">
        <f t="shared" si="131"/>
        <v>1384.1805490453185</v>
      </c>
      <c r="FJ173" s="62">
        <f ca="1">AVERAGE(OFFSET($FI$3,0,0,'Données projet'!$E$16+1,1))-AVERAGE(OFFSET($H$3,0,0,'Données projet'!$E$16+1,1))</f>
        <v>641.62708445664862</v>
      </c>
      <c r="FK173" s="62">
        <f t="shared" si="156"/>
        <v>379.46845863546929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1.8377087304768688E-20</v>
      </c>
      <c r="FT173" s="24">
        <f t="shared" si="184"/>
        <v>1.8377087304768688E-20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5.6843418860808015E-14</v>
      </c>
      <c r="GA173" s="18">
        <f>FZ173*VLOOKUP('Données projet'!$B$17,Paramètres!$A$1:$I$89,3,0)*VLOOKUP('Données projet'!$B$17,Paramètres!$A$1:$I$89,5,0)</f>
        <v>5.4978954722173515E-14</v>
      </c>
      <c r="GB173" s="14">
        <f t="shared" si="185"/>
        <v>8.8550225887742724E-13</v>
      </c>
      <c r="GC173" s="22">
        <f t="shared" si="186"/>
        <v>1.6380047803526383E-12</v>
      </c>
      <c r="GD173" s="62">
        <f t="shared" si="134"/>
        <v>293.33333333333496</v>
      </c>
      <c r="GE173" s="62">
        <f ca="1">AVERAGE(OFFSET($GD$3,0,0,'Données projet'!$E$17+1,1))-AVERAGE(OFFSET($H$3,0,0,'Données projet'!$E$17+1,1))</f>
        <v>181.39066880931728</v>
      </c>
      <c r="GF173" s="62">
        <f t="shared" si="158"/>
        <v>116.06078566855524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-1.7053025658242404E-13</v>
      </c>
      <c r="GV173" s="18">
        <f>GU173*VLOOKUP('Données projet'!$B$18,Paramètres!$A$1:$I$89,3,0)*VLOOKUP('Données projet'!$B$18,Paramètres!$A$1:$I$89,5,0)</f>
        <v>-1.4897523215040567E-13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152.84277478695606</v>
      </c>
      <c r="HA173" s="62">
        <f t="shared" si="160"/>
        <v>179.22995976651015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9">
        <f t="shared" si="110"/>
        <v>463.47439640666357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-9.7986685432260874E-13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383.26814640166805</v>
      </c>
      <c r="T174" s="62">
        <f t="shared" si="142"/>
        <v>233.71216103405249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6.1186256061773749E-14</v>
      </c>
      <c r="AK174" s="14">
        <f t="shared" si="164"/>
        <v>9.7328366192051127E-13</v>
      </c>
      <c r="AL174" s="22">
        <f t="shared" si="165"/>
        <v>1.8017017738191463E-12</v>
      </c>
      <c r="AM174" s="62">
        <f t="shared" si="113"/>
        <v>293.33333333333513</v>
      </c>
      <c r="AN174" s="62">
        <f ca="1">AVERAGE(OFFSET($AM$3,0,0,'Données projet'!$E$10+1,1))-AVERAGE(OFFSET($H$3,0,0,'Données projet'!$E$10+1,1))</f>
        <v>205.99910063756408</v>
      </c>
      <c r="AO174" s="62">
        <f t="shared" si="144"/>
        <v>128.95330275493671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293.3333333333353</v>
      </c>
      <c r="BI174" s="62">
        <f ca="1">AVERAGE(OFFSET($BH$3,0,0,'Données projet'!$E$11+1,1))-AVERAGE(OFFSET($H$3,0,0,'Données projet'!$E$11+1,1))</f>
        <v>222.20580087523689</v>
      </c>
      <c r="BJ174" s="62">
        <f t="shared" si="146"/>
        <v>232.08940427392253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0.61325297633860443</v>
      </c>
      <c r="BQ174" s="23">
        <f>EXP(-LN(2)/25)*BQ173+(1-EXP(-LN(2)/25))/(LN(2)/25)*Calculateur!BL174*Calculateur!BN174*VLOOKUP('Données projet'!$B$11,Paramètres!$A$1:$I$89,3,0)*0.475*44/12</f>
        <v>0.32960056420656175</v>
      </c>
      <c r="BR174" s="23">
        <f>EXP(-LN(2)/2)*BR173+(1-EXP(-LN(2)/2))/(LN(2)/2)*BL174*BO174*VLOOKUP('Données projet'!$B$11,Paramètres!$A$1:$I$89,3,0)*0.475*44/12</f>
        <v>3.7972735860995026E-21</v>
      </c>
      <c r="BS174" s="24">
        <f t="shared" si="169"/>
        <v>0.94285354054516612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5.1159076974727213E-13</v>
      </c>
      <c r="BZ174" s="14">
        <f>BY174*VLOOKUP('Données projet'!$B$12,Paramètres!$A$1:$I$89,3,0)*VLOOKUP('Données projet'!$B$12,Paramètres!$A$1:$I$89,5,0)</f>
        <v>2.3942448024172334E-13</v>
      </c>
      <c r="CA174" s="14">
        <f t="shared" si="170"/>
        <v>3.2492669905861755E-12</v>
      </c>
      <c r="CB174" s="22">
        <f t="shared" si="171"/>
        <v>6.0761376450252565E-12</v>
      </c>
      <c r="CC174" s="62">
        <f t="shared" si="119"/>
        <v>293.3333333333394</v>
      </c>
      <c r="CD174" s="62">
        <f ca="1">AVERAGE(OFFSET($CC$3,0,0,'Données projet'!$E$12+1,1))-AVERAGE(OFFSET($H$3,0,0,'Données projet'!$E$12+1,1))</f>
        <v>179.14256291235466</v>
      </c>
      <c r="CE174" s="62">
        <f t="shared" si="148"/>
        <v>107.5256983607585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-2.8421709430404007E-13</v>
      </c>
      <c r="CU174" s="18">
        <f>CT174*VLOOKUP('Données projet'!$B$13,Paramètres!$A$1:$I$89,3,0)*VLOOKUP('Données projet'!$B$13,Paramètres!$A$1:$I$89,5,0)</f>
        <v>-1.69961822393816E-13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237.03649693529445</v>
      </c>
      <c r="CZ174" s="62">
        <f t="shared" si="150"/>
        <v>191.04289411674887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3.1521574097636573E-21</v>
      </c>
      <c r="DI174" s="24">
        <f t="shared" si="175"/>
        <v>3.1521574097636573E-21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1.3096723705530166E-13</v>
      </c>
      <c r="DQ174" s="14">
        <f t="shared" si="176"/>
        <v>1.9066764221344275E-12</v>
      </c>
      <c r="DR174" s="22">
        <f t="shared" si="177"/>
        <v>3.548896039755445E-12</v>
      </c>
      <c r="DS174" s="62">
        <f t="shared" si="125"/>
        <v>293.33333333333684</v>
      </c>
      <c r="DT174" s="62">
        <f ca="1">AVERAGE(OFFSET($DS$3,0,0,'Données projet'!$E$14+1,1))-AVERAGE(OFFSET($H$3,0,0,'Données projet'!$E$14+1,1))</f>
        <v>431.38469096974364</v>
      </c>
      <c r="DU174" s="62">
        <f t="shared" si="152"/>
        <v>295.48627059086647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1.9642956418113828E-2</v>
      </c>
      <c r="EC174" s="23">
        <f>EXP(-LN(2)/2)*EC173+(1-EXP(-LN(2)/2))/(LN(2)/2)*DW174*DZ174*VLOOKUP('Données projet'!$B$14,Paramètres!$A$1:$I$89,3,0)*0.475*44/12</f>
        <v>2.2990028997378336E-21</v>
      </c>
      <c r="ED174" s="24">
        <f t="shared" si="178"/>
        <v>1.9642956418113828E-2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6.4733285398688169E-14</v>
      </c>
      <c r="EL174" s="14">
        <f t="shared" si="179"/>
        <v>1.0229736701638572E-12</v>
      </c>
      <c r="EM174" s="22">
        <f t="shared" si="180"/>
        <v>1.8944229476047665E-12</v>
      </c>
      <c r="EN174" s="62">
        <f t="shared" si="128"/>
        <v>293.33333333333519</v>
      </c>
      <c r="EO174" s="62">
        <f ca="1">AVERAGE(OFFSET($EN$3,0,0,'Données projet'!$E$15+1,1))-AVERAGE(OFFSET($H$3,0,0,'Données projet'!$E$15+1,1))</f>
        <v>220.03635832253951</v>
      </c>
      <c r="EP174" s="62">
        <f t="shared" si="154"/>
        <v>136.30639155882233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490.00000000000091</v>
      </c>
      <c r="FF174" s="18">
        <f>FE174*VLOOKUP('Données projet'!$B$16,Paramètres!$A$1:$I$89,3,0)*VLOOKUP('Données projet'!$B$16,Paramètres!$A$1:$I$89,5,0)</f>
        <v>512.14800000000105</v>
      </c>
      <c r="FG174" s="14">
        <f t="shared" si="182"/>
        <v>114.17576021740676</v>
      </c>
      <c r="FH174" s="22">
        <f t="shared" si="183"/>
        <v>1090.8472157119852</v>
      </c>
      <c r="FI174" s="62">
        <f t="shared" si="131"/>
        <v>1384.1805490453185</v>
      </c>
      <c r="FJ174" s="62">
        <f ca="1">AVERAGE(OFFSET($FI$3,0,0,'Données projet'!$E$16+1,1))-AVERAGE(OFFSET($H$3,0,0,'Données projet'!$E$16+1,1))</f>
        <v>641.62708445664862</v>
      </c>
      <c r="FK174" s="62">
        <f t="shared" si="156"/>
        <v>379.46845863546929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1.2994563051659153E-20</v>
      </c>
      <c r="FT174" s="24">
        <f t="shared" si="184"/>
        <v>1.2994563051659153E-20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5.6843418860808015E-14</v>
      </c>
      <c r="GA174" s="18">
        <f>FZ174*VLOOKUP('Données projet'!$B$17,Paramètres!$A$1:$I$89,3,0)*VLOOKUP('Données projet'!$B$17,Paramètres!$A$1:$I$89,5,0)</f>
        <v>5.4978954722173515E-14</v>
      </c>
      <c r="GB174" s="14">
        <f t="shared" si="185"/>
        <v>8.8550225887742724E-13</v>
      </c>
      <c r="GC174" s="22">
        <f t="shared" si="186"/>
        <v>1.6380047803526383E-12</v>
      </c>
      <c r="GD174" s="62">
        <f t="shared" si="134"/>
        <v>293.33333333333496</v>
      </c>
      <c r="GE174" s="62">
        <f ca="1">AVERAGE(OFFSET($GD$3,0,0,'Données projet'!$E$17+1,1))-AVERAGE(OFFSET($H$3,0,0,'Données projet'!$E$17+1,1))</f>
        <v>181.39066880931728</v>
      </c>
      <c r="GF174" s="62">
        <f t="shared" si="158"/>
        <v>116.06078566855524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-1.7053025658242404E-13</v>
      </c>
      <c r="GV174" s="18">
        <f>GU174*VLOOKUP('Données projet'!$B$18,Paramètres!$A$1:$I$89,3,0)*VLOOKUP('Données projet'!$B$18,Paramètres!$A$1:$I$89,5,0)</f>
        <v>-1.4897523215040567E-13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152.84277478695606</v>
      </c>
      <c r="HA174" s="62">
        <f t="shared" si="160"/>
        <v>179.22995976651015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9">
        <f t="shared" si="110"/>
        <v>464.65363697384748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-9.7986685432260874E-13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383.26814640166805</v>
      </c>
      <c r="T175" s="62">
        <f t="shared" si="142"/>
        <v>233.71216103405249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6.1186256061773749E-14</v>
      </c>
      <c r="AK175" s="14">
        <f t="shared" si="164"/>
        <v>9.7328366192051127E-13</v>
      </c>
      <c r="AL175" s="22">
        <f t="shared" si="165"/>
        <v>1.8017017738191463E-12</v>
      </c>
      <c r="AM175" s="62">
        <f t="shared" si="113"/>
        <v>293.33333333333513</v>
      </c>
      <c r="AN175" s="62">
        <f ca="1">AVERAGE(OFFSET($AM$3,0,0,'Données projet'!$E$10+1,1))-AVERAGE(OFFSET($H$3,0,0,'Données projet'!$E$10+1,1))</f>
        <v>205.99910063756408</v>
      </c>
      <c r="AO175" s="62">
        <f t="shared" si="144"/>
        <v>128.95330275493671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293.3333333333353</v>
      </c>
      <c r="BI175" s="62">
        <f ca="1">AVERAGE(OFFSET($BH$3,0,0,'Données projet'!$E$11+1,1))-AVERAGE(OFFSET($H$3,0,0,'Données projet'!$E$11+1,1))</f>
        <v>222.20580087523689</v>
      </c>
      <c r="BJ175" s="62">
        <f t="shared" si="146"/>
        <v>232.08940427392253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0.6012274595199858</v>
      </c>
      <c r="BQ175" s="23">
        <f>EXP(-LN(2)/25)*BQ174+(1-EXP(-LN(2)/25))/(LN(2)/25)*Calculateur!BL175*Calculateur!BN175*VLOOKUP('Données projet'!$B$11,Paramètres!$A$1:$I$89,3,0)*0.475*44/12</f>
        <v>0.32058761944539294</v>
      </c>
      <c r="BR175" s="23">
        <f>EXP(-LN(2)/2)*BR174+(1-EXP(-LN(2)/2))/(LN(2)/2)*BL175*BO175*VLOOKUP('Données projet'!$B$11,Paramètres!$A$1:$I$89,3,0)*0.475*44/12</f>
        <v>2.6850779027515176E-21</v>
      </c>
      <c r="BS175" s="24">
        <f t="shared" si="169"/>
        <v>0.92181507896537873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5.1159076974727213E-13</v>
      </c>
      <c r="BZ175" s="14">
        <f>BY175*VLOOKUP('Données projet'!$B$12,Paramètres!$A$1:$I$89,3,0)*VLOOKUP('Données projet'!$B$12,Paramètres!$A$1:$I$89,5,0)</f>
        <v>2.3942448024172334E-13</v>
      </c>
      <c r="CA175" s="14">
        <f t="shared" si="170"/>
        <v>3.2492669905861755E-12</v>
      </c>
      <c r="CB175" s="22">
        <f t="shared" si="171"/>
        <v>6.0761376450252565E-12</v>
      </c>
      <c r="CC175" s="62">
        <f t="shared" si="119"/>
        <v>293.3333333333394</v>
      </c>
      <c r="CD175" s="62">
        <f ca="1">AVERAGE(OFFSET($CC$3,0,0,'Données projet'!$E$12+1,1))-AVERAGE(OFFSET($H$3,0,0,'Données projet'!$E$12+1,1))</f>
        <v>179.14256291235466</v>
      </c>
      <c r="CE175" s="62">
        <f t="shared" si="148"/>
        <v>107.5256983607585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-2.8421709430404007E-13</v>
      </c>
      <c r="CU175" s="18">
        <f>CT175*VLOOKUP('Données projet'!$B$13,Paramètres!$A$1:$I$89,3,0)*VLOOKUP('Données projet'!$B$13,Paramètres!$A$1:$I$89,5,0)</f>
        <v>-1.69961822393816E-13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237.03649693529445</v>
      </c>
      <c r="CZ175" s="62">
        <f t="shared" si="150"/>
        <v>191.04289411674887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2.2289118798113048E-21</v>
      </c>
      <c r="DI175" s="24">
        <f t="shared" si="175"/>
        <v>2.2289118798113048E-21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1.3096723705530166E-13</v>
      </c>
      <c r="DQ175" s="14">
        <f t="shared" si="176"/>
        <v>1.9066764221344275E-12</v>
      </c>
      <c r="DR175" s="22">
        <f t="shared" si="177"/>
        <v>3.548896039755445E-12</v>
      </c>
      <c r="DS175" s="62">
        <f t="shared" si="125"/>
        <v>293.33333333333684</v>
      </c>
      <c r="DT175" s="62">
        <f ca="1">AVERAGE(OFFSET($DS$3,0,0,'Données projet'!$E$14+1,1))-AVERAGE(OFFSET($H$3,0,0,'Données projet'!$E$14+1,1))</f>
        <v>431.38469096974364</v>
      </c>
      <c r="DU175" s="62">
        <f t="shared" si="152"/>
        <v>295.48627059086647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1.9105818741882323E-2</v>
      </c>
      <c r="EC175" s="23">
        <f>EXP(-LN(2)/2)*EC174+(1-EXP(-LN(2)/2))/(LN(2)/2)*DW175*DZ175*VLOOKUP('Données projet'!$B$14,Paramètres!$A$1:$I$89,3,0)*0.475*44/12</f>
        <v>1.6256405403721586E-21</v>
      </c>
      <c r="ED175" s="24">
        <f t="shared" si="178"/>
        <v>1.9105818741882323E-2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6.4733285398688169E-14</v>
      </c>
      <c r="EL175" s="14">
        <f t="shared" si="179"/>
        <v>1.0229736701638572E-12</v>
      </c>
      <c r="EM175" s="22">
        <f t="shared" si="180"/>
        <v>1.8944229476047665E-12</v>
      </c>
      <c r="EN175" s="62">
        <f t="shared" si="128"/>
        <v>293.33333333333519</v>
      </c>
      <c r="EO175" s="62">
        <f ca="1">AVERAGE(OFFSET($EN$3,0,0,'Données projet'!$E$15+1,1))-AVERAGE(OFFSET($H$3,0,0,'Données projet'!$E$15+1,1))</f>
        <v>220.03635832253951</v>
      </c>
      <c r="EP175" s="62">
        <f t="shared" si="154"/>
        <v>136.30639155882233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490.00000000000091</v>
      </c>
      <c r="FF175" s="18">
        <f>FE175*VLOOKUP('Données projet'!$B$16,Paramètres!$A$1:$I$89,3,0)*VLOOKUP('Données projet'!$B$16,Paramètres!$A$1:$I$89,5,0)</f>
        <v>512.14800000000105</v>
      </c>
      <c r="FG175" s="14">
        <f t="shared" si="182"/>
        <v>114.17576021740676</v>
      </c>
      <c r="FH175" s="22">
        <f t="shared" si="183"/>
        <v>1090.8472157119852</v>
      </c>
      <c r="FI175" s="62">
        <f t="shared" si="131"/>
        <v>1384.1805490453185</v>
      </c>
      <c r="FJ175" s="62">
        <f ca="1">AVERAGE(OFFSET($FI$3,0,0,'Données projet'!$E$16+1,1))-AVERAGE(OFFSET($H$3,0,0,'Données projet'!$E$16+1,1))</f>
        <v>641.62708445664862</v>
      </c>
      <c r="FK175" s="62">
        <f t="shared" si="156"/>
        <v>379.46845863546929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9.1885436523843438E-21</v>
      </c>
      <c r="FT175" s="24">
        <f t="shared" si="184"/>
        <v>9.1885436523843438E-21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5.6843418860808015E-14</v>
      </c>
      <c r="GA175" s="18">
        <f>FZ175*VLOOKUP('Données projet'!$B$17,Paramètres!$A$1:$I$89,3,0)*VLOOKUP('Données projet'!$B$17,Paramètres!$A$1:$I$89,5,0)</f>
        <v>5.4978954722173515E-14</v>
      </c>
      <c r="GB175" s="14">
        <f t="shared" si="185"/>
        <v>8.8550225887742724E-13</v>
      </c>
      <c r="GC175" s="22">
        <f t="shared" si="186"/>
        <v>1.6380047803526383E-12</v>
      </c>
      <c r="GD175" s="62">
        <f t="shared" si="134"/>
        <v>293.33333333333496</v>
      </c>
      <c r="GE175" s="62">
        <f ca="1">AVERAGE(OFFSET($GD$3,0,0,'Données projet'!$E$17+1,1))-AVERAGE(OFFSET($H$3,0,0,'Données projet'!$E$17+1,1))</f>
        <v>181.39066880931728</v>
      </c>
      <c r="GF175" s="62">
        <f t="shared" si="158"/>
        <v>116.06078566855524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-1.7053025658242404E-13</v>
      </c>
      <c r="GV175" s="18">
        <f>GU175*VLOOKUP('Données projet'!$B$18,Paramètres!$A$1:$I$89,3,0)*VLOOKUP('Données projet'!$B$18,Paramètres!$A$1:$I$89,5,0)</f>
        <v>-1.4897523215040567E-13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152.84277478695606</v>
      </c>
      <c r="HA175" s="62">
        <f t="shared" si="160"/>
        <v>179.22995976651015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9">
        <f t="shared" si="110"/>
        <v>465.83272309806171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-9.7986685432260874E-13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383.26814640166805</v>
      </c>
      <c r="T176" s="62">
        <f t="shared" si="142"/>
        <v>233.71216103405249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6.1186256061773749E-14</v>
      </c>
      <c r="AK176" s="14">
        <f t="shared" si="164"/>
        <v>9.7328366192051127E-13</v>
      </c>
      <c r="AL176" s="22">
        <f t="shared" si="165"/>
        <v>1.8017017738191463E-12</v>
      </c>
      <c r="AM176" s="62">
        <f t="shared" si="113"/>
        <v>293.33333333333513</v>
      </c>
      <c r="AN176" s="62">
        <f ca="1">AVERAGE(OFFSET($AM$3,0,0,'Données projet'!$E$10+1,1))-AVERAGE(OFFSET($H$3,0,0,'Données projet'!$E$10+1,1))</f>
        <v>205.99910063756408</v>
      </c>
      <c r="AO176" s="62">
        <f t="shared" si="144"/>
        <v>128.95330275493671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293.3333333333353</v>
      </c>
      <c r="BI176" s="62">
        <f ca="1">AVERAGE(OFFSET($BH$3,0,0,'Données projet'!$E$11+1,1))-AVERAGE(OFFSET($H$3,0,0,'Données projet'!$E$11+1,1))</f>
        <v>222.20580087523689</v>
      </c>
      <c r="BJ176" s="62">
        <f t="shared" si="146"/>
        <v>232.08940427392253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0.58943775575133928</v>
      </c>
      <c r="BQ176" s="23">
        <f>EXP(-LN(2)/25)*BQ175+(1-EXP(-LN(2)/25))/(LN(2)/25)*Calculateur!BL176*Calculateur!BN176*VLOOKUP('Données projet'!$B$11,Paramètres!$A$1:$I$89,3,0)*0.475*44/12</f>
        <v>0.31182113413268847</v>
      </c>
      <c r="BR176" s="23">
        <f>EXP(-LN(2)/2)*BR175+(1-EXP(-LN(2)/2))/(LN(2)/2)*BL176*BO176*VLOOKUP('Données projet'!$B$11,Paramètres!$A$1:$I$89,3,0)*0.475*44/12</f>
        <v>1.8986367930497513E-21</v>
      </c>
      <c r="BS176" s="24">
        <f t="shared" si="169"/>
        <v>0.90125888988402769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5.1159076974727213E-13</v>
      </c>
      <c r="BZ176" s="14">
        <f>BY176*VLOOKUP('Données projet'!$B$12,Paramètres!$A$1:$I$89,3,0)*VLOOKUP('Données projet'!$B$12,Paramètres!$A$1:$I$89,5,0)</f>
        <v>2.3942448024172334E-13</v>
      </c>
      <c r="CA176" s="14">
        <f t="shared" si="170"/>
        <v>3.2492669905861755E-12</v>
      </c>
      <c r="CB176" s="22">
        <f t="shared" si="171"/>
        <v>6.0761376450252565E-12</v>
      </c>
      <c r="CC176" s="62">
        <f t="shared" si="119"/>
        <v>293.3333333333394</v>
      </c>
      <c r="CD176" s="62">
        <f ca="1">AVERAGE(OFFSET($CC$3,0,0,'Données projet'!$E$12+1,1))-AVERAGE(OFFSET($H$3,0,0,'Données projet'!$E$12+1,1))</f>
        <v>179.14256291235466</v>
      </c>
      <c r="CE176" s="62">
        <f t="shared" si="148"/>
        <v>107.5256983607585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-2.8421709430404007E-13</v>
      </c>
      <c r="CU176" s="18">
        <f>CT176*VLOOKUP('Données projet'!$B$13,Paramètres!$A$1:$I$89,3,0)*VLOOKUP('Données projet'!$B$13,Paramètres!$A$1:$I$89,5,0)</f>
        <v>-1.69961822393816E-13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237.03649693529445</v>
      </c>
      <c r="CZ176" s="62">
        <f t="shared" si="150"/>
        <v>191.04289411674887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1.5760787048818286E-21</v>
      </c>
      <c r="DI176" s="24">
        <f t="shared" si="175"/>
        <v>1.5760787048818286E-21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1.3096723705530166E-13</v>
      </c>
      <c r="DQ176" s="14">
        <f t="shared" si="176"/>
        <v>1.9066764221344275E-12</v>
      </c>
      <c r="DR176" s="22">
        <f t="shared" si="177"/>
        <v>3.548896039755445E-12</v>
      </c>
      <c r="DS176" s="62">
        <f t="shared" si="125"/>
        <v>293.33333333333684</v>
      </c>
      <c r="DT176" s="62">
        <f ca="1">AVERAGE(OFFSET($DS$3,0,0,'Données projet'!$E$14+1,1))-AVERAGE(OFFSET($H$3,0,0,'Données projet'!$E$14+1,1))</f>
        <v>431.38469096974364</v>
      </c>
      <c r="DU176" s="62">
        <f t="shared" si="152"/>
        <v>295.48627059086647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1.8583369123654211E-2</v>
      </c>
      <c r="EC176" s="23">
        <f>EXP(-LN(2)/2)*EC175+(1-EXP(-LN(2)/2))/(LN(2)/2)*DW176*DZ176*VLOOKUP('Données projet'!$B$14,Paramètres!$A$1:$I$89,3,0)*0.475*44/12</f>
        <v>1.1495014498689168E-21</v>
      </c>
      <c r="ED176" s="24">
        <f t="shared" si="178"/>
        <v>1.8583369123654211E-2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6.4733285398688169E-14</v>
      </c>
      <c r="EL176" s="14">
        <f t="shared" si="179"/>
        <v>1.0229736701638572E-12</v>
      </c>
      <c r="EM176" s="22">
        <f t="shared" si="180"/>
        <v>1.8944229476047665E-12</v>
      </c>
      <c r="EN176" s="62">
        <f t="shared" si="128"/>
        <v>293.33333333333519</v>
      </c>
      <c r="EO176" s="62">
        <f ca="1">AVERAGE(OFFSET($EN$3,0,0,'Données projet'!$E$15+1,1))-AVERAGE(OFFSET($H$3,0,0,'Données projet'!$E$15+1,1))</f>
        <v>220.03635832253951</v>
      </c>
      <c r="EP176" s="62">
        <f t="shared" si="154"/>
        <v>136.30639155882233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490.00000000000091</v>
      </c>
      <c r="FF176" s="18">
        <f>FE176*VLOOKUP('Données projet'!$B$16,Paramètres!$A$1:$I$89,3,0)*VLOOKUP('Données projet'!$B$16,Paramètres!$A$1:$I$89,5,0)</f>
        <v>512.14800000000105</v>
      </c>
      <c r="FG176" s="14">
        <f t="shared" si="182"/>
        <v>114.17576021740676</v>
      </c>
      <c r="FH176" s="22">
        <f t="shared" si="183"/>
        <v>1090.8472157119852</v>
      </c>
      <c r="FI176" s="62">
        <f t="shared" si="131"/>
        <v>1384.1805490453185</v>
      </c>
      <c r="FJ176" s="62">
        <f ca="1">AVERAGE(OFFSET($FI$3,0,0,'Données projet'!$E$16+1,1))-AVERAGE(OFFSET($H$3,0,0,'Données projet'!$E$16+1,1))</f>
        <v>641.62708445664862</v>
      </c>
      <c r="FK176" s="62">
        <f t="shared" si="156"/>
        <v>379.46845863546929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6.4972815258295764E-21</v>
      </c>
      <c r="FT176" s="24">
        <f t="shared" si="184"/>
        <v>6.4972815258295764E-21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5.6843418860808015E-14</v>
      </c>
      <c r="GA176" s="18">
        <f>FZ176*VLOOKUP('Données projet'!$B$17,Paramètres!$A$1:$I$89,3,0)*VLOOKUP('Données projet'!$B$17,Paramètres!$A$1:$I$89,5,0)</f>
        <v>5.4978954722173515E-14</v>
      </c>
      <c r="GB176" s="14">
        <f t="shared" si="185"/>
        <v>8.8550225887742724E-13</v>
      </c>
      <c r="GC176" s="22">
        <f t="shared" si="186"/>
        <v>1.6380047803526383E-12</v>
      </c>
      <c r="GD176" s="62">
        <f t="shared" si="134"/>
        <v>293.33333333333496</v>
      </c>
      <c r="GE176" s="62">
        <f ca="1">AVERAGE(OFFSET($GD$3,0,0,'Données projet'!$E$17+1,1))-AVERAGE(OFFSET($H$3,0,0,'Données projet'!$E$17+1,1))</f>
        <v>181.39066880931728</v>
      </c>
      <c r="GF176" s="62">
        <f t="shared" si="158"/>
        <v>116.06078566855524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-1.7053025658242404E-13</v>
      </c>
      <c r="GV176" s="18">
        <f>GU176*VLOOKUP('Données projet'!$B$18,Paramètres!$A$1:$I$89,3,0)*VLOOKUP('Données projet'!$B$18,Paramètres!$A$1:$I$89,5,0)</f>
        <v>-1.4897523215040567E-13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152.84277478695606</v>
      </c>
      <c r="HA176" s="62">
        <f t="shared" si="160"/>
        <v>179.22995976651015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9">
        <f t="shared" si="110"/>
        <v>467.01165577563029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-9.7986685432260874E-13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383.26814640166805</v>
      </c>
      <c r="T177" s="62">
        <f t="shared" si="142"/>
        <v>233.71216103405249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6.1186256061773749E-14</v>
      </c>
      <c r="AK177" s="14">
        <f t="shared" si="164"/>
        <v>9.7328366192051127E-13</v>
      </c>
      <c r="AL177" s="22">
        <f t="shared" si="165"/>
        <v>1.8017017738191463E-12</v>
      </c>
      <c r="AM177" s="62">
        <f t="shared" si="113"/>
        <v>293.33333333333513</v>
      </c>
      <c r="AN177" s="62">
        <f ca="1">AVERAGE(OFFSET($AM$3,0,0,'Données projet'!$E$10+1,1))-AVERAGE(OFFSET($H$3,0,0,'Données projet'!$E$10+1,1))</f>
        <v>205.99910063756408</v>
      </c>
      <c r="AO177" s="62">
        <f t="shared" si="144"/>
        <v>128.95330275493671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293.3333333333353</v>
      </c>
      <c r="BI177" s="62">
        <f ca="1">AVERAGE(OFFSET($BH$3,0,0,'Données projet'!$E$11+1,1))-AVERAGE(OFFSET($H$3,0,0,'Données projet'!$E$11+1,1))</f>
        <v>222.20580087523689</v>
      </c>
      <c r="BJ177" s="62">
        <f t="shared" si="146"/>
        <v>232.08940427392253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0.57787924088258669</v>
      </c>
      <c r="BQ177" s="23">
        <f>EXP(-LN(2)/25)*BQ176+(1-EXP(-LN(2)/25))/(LN(2)/25)*Calculateur!BL177*Calculateur!BN177*VLOOKUP('Données projet'!$B$11,Paramètres!$A$1:$I$89,3,0)*0.475*44/12</f>
        <v>0.30329436882186933</v>
      </c>
      <c r="BR177" s="23">
        <f>EXP(-LN(2)/2)*BR176+(1-EXP(-LN(2)/2))/(LN(2)/2)*BL177*BO177*VLOOKUP('Données projet'!$B$11,Paramètres!$A$1:$I$89,3,0)*0.475*44/12</f>
        <v>1.3425389513757588E-21</v>
      </c>
      <c r="BS177" s="24">
        <f t="shared" si="169"/>
        <v>0.88117360970445602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5.1159076974727213E-13</v>
      </c>
      <c r="BZ177" s="14">
        <f>BY177*VLOOKUP('Données projet'!$B$12,Paramètres!$A$1:$I$89,3,0)*VLOOKUP('Données projet'!$B$12,Paramètres!$A$1:$I$89,5,0)</f>
        <v>2.3942448024172334E-13</v>
      </c>
      <c r="CA177" s="14">
        <f t="shared" si="170"/>
        <v>3.2492669905861755E-12</v>
      </c>
      <c r="CB177" s="22">
        <f t="shared" si="171"/>
        <v>6.0761376450252565E-12</v>
      </c>
      <c r="CC177" s="62">
        <f t="shared" si="119"/>
        <v>293.3333333333394</v>
      </c>
      <c r="CD177" s="62">
        <f ca="1">AVERAGE(OFFSET($CC$3,0,0,'Données projet'!$E$12+1,1))-AVERAGE(OFFSET($H$3,0,0,'Données projet'!$E$12+1,1))</f>
        <v>179.14256291235466</v>
      </c>
      <c r="CE177" s="62">
        <f t="shared" si="148"/>
        <v>107.5256983607585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-2.8421709430404007E-13</v>
      </c>
      <c r="CU177" s="18">
        <f>CT177*VLOOKUP('Données projet'!$B$13,Paramètres!$A$1:$I$89,3,0)*VLOOKUP('Données projet'!$B$13,Paramètres!$A$1:$I$89,5,0)</f>
        <v>-1.69961822393816E-13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237.03649693529445</v>
      </c>
      <c r="CZ177" s="62">
        <f t="shared" si="150"/>
        <v>191.04289411674887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1.1144559399056524E-21</v>
      </c>
      <c r="DI177" s="24">
        <f t="shared" si="175"/>
        <v>1.1144559399056524E-21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1.3096723705530166E-13</v>
      </c>
      <c r="DQ177" s="14">
        <f t="shared" si="176"/>
        <v>1.9066764221344275E-12</v>
      </c>
      <c r="DR177" s="22">
        <f t="shared" si="177"/>
        <v>3.548896039755445E-12</v>
      </c>
      <c r="DS177" s="62">
        <f t="shared" si="125"/>
        <v>293.33333333333684</v>
      </c>
      <c r="DT177" s="62">
        <f ca="1">AVERAGE(OFFSET($DS$3,0,0,'Données projet'!$E$14+1,1))-AVERAGE(OFFSET($H$3,0,0,'Données projet'!$E$14+1,1))</f>
        <v>431.38469096974364</v>
      </c>
      <c r="DU177" s="62">
        <f t="shared" si="152"/>
        <v>295.48627059086647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1.8075205917710977E-2</v>
      </c>
      <c r="EC177" s="23">
        <f>EXP(-LN(2)/2)*EC176+(1-EXP(-LN(2)/2))/(LN(2)/2)*DW177*DZ177*VLOOKUP('Données projet'!$B$14,Paramètres!$A$1:$I$89,3,0)*0.475*44/12</f>
        <v>8.128202701860793E-22</v>
      </c>
      <c r="ED177" s="24">
        <f t="shared" si="178"/>
        <v>1.8075205917710977E-2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6.4733285398688169E-14</v>
      </c>
      <c r="EL177" s="14">
        <f t="shared" si="179"/>
        <v>1.0229736701638572E-12</v>
      </c>
      <c r="EM177" s="22">
        <f t="shared" si="180"/>
        <v>1.8944229476047665E-12</v>
      </c>
      <c r="EN177" s="62">
        <f t="shared" si="128"/>
        <v>293.33333333333519</v>
      </c>
      <c r="EO177" s="62">
        <f ca="1">AVERAGE(OFFSET($EN$3,0,0,'Données projet'!$E$15+1,1))-AVERAGE(OFFSET($H$3,0,0,'Données projet'!$E$15+1,1))</f>
        <v>220.03635832253951</v>
      </c>
      <c r="EP177" s="62">
        <f t="shared" si="154"/>
        <v>136.30639155882233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490.00000000000091</v>
      </c>
      <c r="FF177" s="18">
        <f>FE177*VLOOKUP('Données projet'!$B$16,Paramètres!$A$1:$I$89,3,0)*VLOOKUP('Données projet'!$B$16,Paramètres!$A$1:$I$89,5,0)</f>
        <v>512.14800000000105</v>
      </c>
      <c r="FG177" s="14">
        <f t="shared" si="182"/>
        <v>114.17576021740676</v>
      </c>
      <c r="FH177" s="22">
        <f t="shared" si="183"/>
        <v>1090.8472157119852</v>
      </c>
      <c r="FI177" s="62">
        <f t="shared" si="131"/>
        <v>1384.1805490453185</v>
      </c>
      <c r="FJ177" s="62">
        <f ca="1">AVERAGE(OFFSET($FI$3,0,0,'Données projet'!$E$16+1,1))-AVERAGE(OFFSET($H$3,0,0,'Données projet'!$E$16+1,1))</f>
        <v>641.62708445664862</v>
      </c>
      <c r="FK177" s="62">
        <f t="shared" si="156"/>
        <v>379.46845863546929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4.5942718261921719E-21</v>
      </c>
      <c r="FT177" s="24">
        <f t="shared" si="184"/>
        <v>4.5942718261921719E-21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5.6843418860808015E-14</v>
      </c>
      <c r="GA177" s="18">
        <f>FZ177*VLOOKUP('Données projet'!$B$17,Paramètres!$A$1:$I$89,3,0)*VLOOKUP('Données projet'!$B$17,Paramètres!$A$1:$I$89,5,0)</f>
        <v>5.4978954722173515E-14</v>
      </c>
      <c r="GB177" s="14">
        <f t="shared" si="185"/>
        <v>8.8550225887742724E-13</v>
      </c>
      <c r="GC177" s="22">
        <f t="shared" si="186"/>
        <v>1.6380047803526383E-12</v>
      </c>
      <c r="GD177" s="62">
        <f t="shared" si="134"/>
        <v>293.33333333333496</v>
      </c>
      <c r="GE177" s="62">
        <f ca="1">AVERAGE(OFFSET($GD$3,0,0,'Données projet'!$E$17+1,1))-AVERAGE(OFFSET($H$3,0,0,'Données projet'!$E$17+1,1))</f>
        <v>181.39066880931728</v>
      </c>
      <c r="GF177" s="62">
        <f t="shared" si="158"/>
        <v>116.06078566855524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-1.7053025658242404E-13</v>
      </c>
      <c r="GV177" s="18">
        <f>GU177*VLOOKUP('Données projet'!$B$18,Paramètres!$A$1:$I$89,3,0)*VLOOKUP('Données projet'!$B$18,Paramètres!$A$1:$I$89,5,0)</f>
        <v>-1.4897523215040567E-13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152.84277478695606</v>
      </c>
      <c r="HA177" s="62">
        <f t="shared" si="160"/>
        <v>179.22995976651015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9">
        <f t="shared" si="110"/>
        <v>468.19043599076269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-9.7986685432260874E-13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383.26814640166805</v>
      </c>
      <c r="T178" s="62">
        <f t="shared" si="142"/>
        <v>233.71216103405249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6.1186256061773749E-14</v>
      </c>
      <c r="AK178" s="14">
        <f t="shared" si="164"/>
        <v>9.7328366192051127E-13</v>
      </c>
      <c r="AL178" s="22">
        <f t="shared" si="165"/>
        <v>1.8017017738191463E-12</v>
      </c>
      <c r="AM178" s="62">
        <f t="shared" si="113"/>
        <v>293.33333333333513</v>
      </c>
      <c r="AN178" s="62">
        <f ca="1">AVERAGE(OFFSET($AM$3,0,0,'Données projet'!$E$10+1,1))-AVERAGE(OFFSET($H$3,0,0,'Données projet'!$E$10+1,1))</f>
        <v>205.99910063756408</v>
      </c>
      <c r="AO178" s="62">
        <f t="shared" si="144"/>
        <v>128.95330275493671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293.3333333333353</v>
      </c>
      <c r="BI178" s="62">
        <f ca="1">AVERAGE(OFFSET($BH$3,0,0,'Données projet'!$E$11+1,1))-AVERAGE(OFFSET($H$3,0,0,'Données projet'!$E$11+1,1))</f>
        <v>222.20580087523689</v>
      </c>
      <c r="BJ178" s="62">
        <f t="shared" si="146"/>
        <v>232.08940427392253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0.56654738144041239</v>
      </c>
      <c r="BQ178" s="23">
        <f>EXP(-LN(2)/25)*BQ177+(1-EXP(-LN(2)/25))/(LN(2)/25)*Calculateur!BL178*Calculateur!BN178*VLOOKUP('Données projet'!$B$11,Paramètres!$A$1:$I$89,3,0)*0.475*44/12</f>
        <v>0.29500076835687766</v>
      </c>
      <c r="BR178" s="23">
        <f>EXP(-LN(2)/2)*BR177+(1-EXP(-LN(2)/2))/(LN(2)/2)*BL178*BO178*VLOOKUP('Données projet'!$B$11,Paramètres!$A$1:$I$89,3,0)*0.475*44/12</f>
        <v>9.4931839652487565E-22</v>
      </c>
      <c r="BS178" s="24">
        <f t="shared" si="169"/>
        <v>0.86154814979729011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5.1159076974727213E-13</v>
      </c>
      <c r="BZ178" s="14">
        <f>BY178*VLOOKUP('Données projet'!$B$12,Paramètres!$A$1:$I$89,3,0)*VLOOKUP('Données projet'!$B$12,Paramètres!$A$1:$I$89,5,0)</f>
        <v>2.3942448024172334E-13</v>
      </c>
      <c r="CA178" s="14">
        <f t="shared" si="170"/>
        <v>3.2492669905861755E-12</v>
      </c>
      <c r="CB178" s="22">
        <f t="shared" si="171"/>
        <v>6.0761376450252565E-12</v>
      </c>
      <c r="CC178" s="62">
        <f t="shared" si="119"/>
        <v>293.3333333333394</v>
      </c>
      <c r="CD178" s="62">
        <f ca="1">AVERAGE(OFFSET($CC$3,0,0,'Données projet'!$E$12+1,1))-AVERAGE(OFFSET($H$3,0,0,'Données projet'!$E$12+1,1))</f>
        <v>179.14256291235466</v>
      </c>
      <c r="CE178" s="62">
        <f t="shared" si="148"/>
        <v>107.5256983607585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-2.8421709430404007E-13</v>
      </c>
      <c r="CU178" s="18">
        <f>CT178*VLOOKUP('Données projet'!$B$13,Paramètres!$A$1:$I$89,3,0)*VLOOKUP('Données projet'!$B$13,Paramètres!$A$1:$I$89,5,0)</f>
        <v>-1.69961822393816E-13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237.03649693529445</v>
      </c>
      <c r="CZ178" s="62">
        <f t="shared" si="150"/>
        <v>191.04289411674887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7.8803935244091432E-22</v>
      </c>
      <c r="DI178" s="24">
        <f t="shared" si="175"/>
        <v>7.8803935244091432E-22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1.3096723705530166E-13</v>
      </c>
      <c r="DQ178" s="14">
        <f t="shared" si="176"/>
        <v>1.9066764221344275E-12</v>
      </c>
      <c r="DR178" s="22">
        <f t="shared" si="177"/>
        <v>3.548896039755445E-12</v>
      </c>
      <c r="DS178" s="62">
        <f t="shared" si="125"/>
        <v>293.33333333333684</v>
      </c>
      <c r="DT178" s="62">
        <f ca="1">AVERAGE(OFFSET($DS$3,0,0,'Données projet'!$E$14+1,1))-AVERAGE(OFFSET($H$3,0,0,'Données projet'!$E$14+1,1))</f>
        <v>431.38469096974364</v>
      </c>
      <c r="DU178" s="62">
        <f t="shared" si="152"/>
        <v>295.48627059086647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1.7580938461357401E-2</v>
      </c>
      <c r="EC178" s="23">
        <f>EXP(-LN(2)/2)*EC177+(1-EXP(-LN(2)/2))/(LN(2)/2)*DW178*DZ178*VLOOKUP('Données projet'!$B$14,Paramètres!$A$1:$I$89,3,0)*0.475*44/12</f>
        <v>5.7475072493445841E-22</v>
      </c>
      <c r="ED178" s="24">
        <f t="shared" si="178"/>
        <v>1.7580938461357401E-2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6.4733285398688169E-14</v>
      </c>
      <c r="EL178" s="14">
        <f t="shared" si="179"/>
        <v>1.0229736701638572E-12</v>
      </c>
      <c r="EM178" s="22">
        <f t="shared" si="180"/>
        <v>1.8944229476047665E-12</v>
      </c>
      <c r="EN178" s="62">
        <f t="shared" si="128"/>
        <v>293.33333333333519</v>
      </c>
      <c r="EO178" s="62">
        <f ca="1">AVERAGE(OFFSET($EN$3,0,0,'Données projet'!$E$15+1,1))-AVERAGE(OFFSET($H$3,0,0,'Données projet'!$E$15+1,1))</f>
        <v>220.03635832253951</v>
      </c>
      <c r="EP178" s="62">
        <f t="shared" si="154"/>
        <v>136.30639155882233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490.00000000000091</v>
      </c>
      <c r="FF178" s="18">
        <f>FE178*VLOOKUP('Données projet'!$B$16,Paramètres!$A$1:$I$89,3,0)*VLOOKUP('Données projet'!$B$16,Paramètres!$A$1:$I$89,5,0)</f>
        <v>512.14800000000105</v>
      </c>
      <c r="FG178" s="14">
        <f t="shared" si="182"/>
        <v>114.17576021740676</v>
      </c>
      <c r="FH178" s="22">
        <f t="shared" si="183"/>
        <v>1090.8472157119852</v>
      </c>
      <c r="FI178" s="62">
        <f t="shared" si="131"/>
        <v>1384.1805490453185</v>
      </c>
      <c r="FJ178" s="62">
        <f ca="1">AVERAGE(OFFSET($FI$3,0,0,'Données projet'!$E$16+1,1))-AVERAGE(OFFSET($H$3,0,0,'Données projet'!$E$16+1,1))</f>
        <v>641.62708445664862</v>
      </c>
      <c r="FK178" s="62">
        <f t="shared" si="156"/>
        <v>379.46845863546929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3.2486407629147882E-21</v>
      </c>
      <c r="FT178" s="24">
        <f t="shared" si="184"/>
        <v>3.2486407629147882E-21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5.6843418860808015E-14</v>
      </c>
      <c r="GA178" s="18">
        <f>FZ178*VLOOKUP('Données projet'!$B$17,Paramètres!$A$1:$I$89,3,0)*VLOOKUP('Données projet'!$B$17,Paramètres!$A$1:$I$89,5,0)</f>
        <v>5.4978954722173515E-14</v>
      </c>
      <c r="GB178" s="14">
        <f t="shared" si="185"/>
        <v>8.8550225887742724E-13</v>
      </c>
      <c r="GC178" s="22">
        <f t="shared" si="186"/>
        <v>1.6380047803526383E-12</v>
      </c>
      <c r="GD178" s="62">
        <f t="shared" si="134"/>
        <v>293.33333333333496</v>
      </c>
      <c r="GE178" s="62">
        <f ca="1">AVERAGE(OFFSET($GD$3,0,0,'Données projet'!$E$17+1,1))-AVERAGE(OFFSET($H$3,0,0,'Données projet'!$E$17+1,1))</f>
        <v>181.39066880931728</v>
      </c>
      <c r="GF178" s="62">
        <f t="shared" si="158"/>
        <v>116.06078566855524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-1.7053025658242404E-13</v>
      </c>
      <c r="GV178" s="18">
        <f>GU178*VLOOKUP('Données projet'!$B$18,Paramètres!$A$1:$I$89,3,0)*VLOOKUP('Données projet'!$B$18,Paramètres!$A$1:$I$89,5,0)</f>
        <v>-1.4897523215040567E-13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152.84277478695606</v>
      </c>
      <c r="HA178" s="62">
        <f t="shared" si="160"/>
        <v>179.22995976651015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9">
        <f t="shared" si="110"/>
        <v>469.3690647157693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-9.7986685432260874E-13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383.26814640166805</v>
      </c>
      <c r="T179" s="62">
        <f t="shared" si="142"/>
        <v>233.71216103405249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6.1186256061773749E-14</v>
      </c>
      <c r="AK179" s="14">
        <f t="shared" si="164"/>
        <v>9.7328366192051127E-13</v>
      </c>
      <c r="AL179" s="22">
        <f t="shared" si="165"/>
        <v>1.8017017738191463E-12</v>
      </c>
      <c r="AM179" s="62">
        <f t="shared" si="113"/>
        <v>293.33333333333513</v>
      </c>
      <c r="AN179" s="62">
        <f ca="1">AVERAGE(OFFSET($AM$3,0,0,'Données projet'!$E$10+1,1))-AVERAGE(OFFSET($H$3,0,0,'Données projet'!$E$10+1,1))</f>
        <v>205.99910063756408</v>
      </c>
      <c r="AO179" s="62">
        <f t="shared" si="144"/>
        <v>128.95330275493671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293.3333333333353</v>
      </c>
      <c r="BI179" s="62">
        <f ca="1">AVERAGE(OFFSET($BH$3,0,0,'Données projet'!$E$11+1,1))-AVERAGE(OFFSET($H$3,0,0,'Données projet'!$E$11+1,1))</f>
        <v>222.20580087523689</v>
      </c>
      <c r="BJ179" s="62">
        <f t="shared" si="146"/>
        <v>232.08940427392253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0.55543773285014741</v>
      </c>
      <c r="BQ179" s="23">
        <f>EXP(-LN(2)/25)*BQ178+(1-EXP(-LN(2)/25))/(LN(2)/25)*Calculateur!BL179*Calculateur!BN179*VLOOKUP('Données projet'!$B$11,Paramètres!$A$1:$I$89,3,0)*0.475*44/12</f>
        <v>0.28693395683274264</v>
      </c>
      <c r="BR179" s="23">
        <f>EXP(-LN(2)/2)*BR178+(1-EXP(-LN(2)/2))/(LN(2)/2)*BL179*BO179*VLOOKUP('Données projet'!$B$11,Paramètres!$A$1:$I$89,3,0)*0.475*44/12</f>
        <v>6.712694756878794E-22</v>
      </c>
      <c r="BS179" s="24">
        <f t="shared" si="169"/>
        <v>0.84237168968289011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5.1159076974727213E-13</v>
      </c>
      <c r="BZ179" s="14">
        <f>BY179*VLOOKUP('Données projet'!$B$12,Paramètres!$A$1:$I$89,3,0)*VLOOKUP('Données projet'!$B$12,Paramètres!$A$1:$I$89,5,0)</f>
        <v>2.3942448024172334E-13</v>
      </c>
      <c r="CA179" s="14">
        <f t="shared" si="170"/>
        <v>3.2492669905861755E-12</v>
      </c>
      <c r="CB179" s="22">
        <f t="shared" si="171"/>
        <v>6.0761376450252565E-12</v>
      </c>
      <c r="CC179" s="62">
        <f t="shared" si="119"/>
        <v>293.3333333333394</v>
      </c>
      <c r="CD179" s="62">
        <f ca="1">AVERAGE(OFFSET($CC$3,0,0,'Données projet'!$E$12+1,1))-AVERAGE(OFFSET($H$3,0,0,'Données projet'!$E$12+1,1))</f>
        <v>179.14256291235466</v>
      </c>
      <c r="CE179" s="62">
        <f t="shared" si="148"/>
        <v>107.5256983607585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-2.8421709430404007E-13</v>
      </c>
      <c r="CU179" s="18">
        <f>CT179*VLOOKUP('Données projet'!$B$13,Paramètres!$A$1:$I$89,3,0)*VLOOKUP('Données projet'!$B$13,Paramètres!$A$1:$I$89,5,0)</f>
        <v>-1.69961822393816E-13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237.03649693529445</v>
      </c>
      <c r="CZ179" s="62">
        <f t="shared" si="150"/>
        <v>191.04289411674887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5.5722796995282621E-22</v>
      </c>
      <c r="DI179" s="24">
        <f t="shared" si="175"/>
        <v>5.5722796995282621E-22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1.3096723705530166E-13</v>
      </c>
      <c r="DQ179" s="14">
        <f t="shared" si="176"/>
        <v>1.9066764221344275E-12</v>
      </c>
      <c r="DR179" s="22">
        <f t="shared" si="177"/>
        <v>3.548896039755445E-12</v>
      </c>
      <c r="DS179" s="62">
        <f t="shared" si="125"/>
        <v>293.33333333333684</v>
      </c>
      <c r="DT179" s="62">
        <f ca="1">AVERAGE(OFFSET($DS$3,0,0,'Données projet'!$E$14+1,1))-AVERAGE(OFFSET($H$3,0,0,'Données projet'!$E$14+1,1))</f>
        <v>431.38469096974364</v>
      </c>
      <c r="DU179" s="62">
        <f t="shared" si="152"/>
        <v>295.48627059086647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1.7100186774590211E-2</v>
      </c>
      <c r="EC179" s="23">
        <f>EXP(-LN(2)/2)*EC178+(1-EXP(-LN(2)/2))/(LN(2)/2)*DW179*DZ179*VLOOKUP('Données projet'!$B$14,Paramètres!$A$1:$I$89,3,0)*0.475*44/12</f>
        <v>4.0641013509303965E-22</v>
      </c>
      <c r="ED179" s="24">
        <f t="shared" si="178"/>
        <v>1.7100186774590211E-2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6.4733285398688169E-14</v>
      </c>
      <c r="EL179" s="14">
        <f t="shared" si="179"/>
        <v>1.0229736701638572E-12</v>
      </c>
      <c r="EM179" s="22">
        <f t="shared" si="180"/>
        <v>1.8944229476047665E-12</v>
      </c>
      <c r="EN179" s="62">
        <f t="shared" si="128"/>
        <v>293.33333333333519</v>
      </c>
      <c r="EO179" s="62">
        <f ca="1">AVERAGE(OFFSET($EN$3,0,0,'Données projet'!$E$15+1,1))-AVERAGE(OFFSET($H$3,0,0,'Données projet'!$E$15+1,1))</f>
        <v>220.03635832253951</v>
      </c>
      <c r="EP179" s="62">
        <f t="shared" si="154"/>
        <v>136.30639155882233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490.00000000000091</v>
      </c>
      <c r="FF179" s="18">
        <f>FE179*VLOOKUP('Données projet'!$B$16,Paramètres!$A$1:$I$89,3,0)*VLOOKUP('Données projet'!$B$16,Paramètres!$A$1:$I$89,5,0)</f>
        <v>512.14800000000105</v>
      </c>
      <c r="FG179" s="14">
        <f t="shared" si="182"/>
        <v>114.17576021740676</v>
      </c>
      <c r="FH179" s="22">
        <f t="shared" si="183"/>
        <v>1090.8472157119852</v>
      </c>
      <c r="FI179" s="62">
        <f t="shared" si="131"/>
        <v>1384.1805490453185</v>
      </c>
      <c r="FJ179" s="62">
        <f ca="1">AVERAGE(OFFSET($FI$3,0,0,'Données projet'!$E$16+1,1))-AVERAGE(OFFSET($H$3,0,0,'Données projet'!$E$16+1,1))</f>
        <v>641.62708445664862</v>
      </c>
      <c r="FK179" s="62">
        <f t="shared" si="156"/>
        <v>379.46845863546929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2.2971359130960859E-21</v>
      </c>
      <c r="FT179" s="24">
        <f t="shared" si="184"/>
        <v>2.2971359130960859E-21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5.6843418860808015E-14</v>
      </c>
      <c r="GA179" s="18">
        <f>FZ179*VLOOKUP('Données projet'!$B$17,Paramètres!$A$1:$I$89,3,0)*VLOOKUP('Données projet'!$B$17,Paramètres!$A$1:$I$89,5,0)</f>
        <v>5.4978954722173515E-14</v>
      </c>
      <c r="GB179" s="14">
        <f t="shared" si="185"/>
        <v>8.8550225887742724E-13</v>
      </c>
      <c r="GC179" s="22">
        <f t="shared" si="186"/>
        <v>1.6380047803526383E-12</v>
      </c>
      <c r="GD179" s="62">
        <f t="shared" si="134"/>
        <v>293.33333333333496</v>
      </c>
      <c r="GE179" s="62">
        <f ca="1">AVERAGE(OFFSET($GD$3,0,0,'Données projet'!$E$17+1,1))-AVERAGE(OFFSET($H$3,0,0,'Données projet'!$E$17+1,1))</f>
        <v>181.39066880931728</v>
      </c>
      <c r="GF179" s="62">
        <f t="shared" si="158"/>
        <v>116.06078566855524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-1.7053025658242404E-13</v>
      </c>
      <c r="GV179" s="18">
        <f>GU179*VLOOKUP('Données projet'!$B$18,Paramètres!$A$1:$I$89,3,0)*VLOOKUP('Données projet'!$B$18,Paramètres!$A$1:$I$89,5,0)</f>
        <v>-1.4897523215040567E-13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152.84277478695606</v>
      </c>
      <c r="HA179" s="62">
        <f t="shared" si="160"/>
        <v>179.22995976651015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9">
        <f t="shared" si="110"/>
        <v>470.54754291127216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-9.7986685432260874E-13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383.26814640166805</v>
      </c>
      <c r="T180" s="62">
        <f t="shared" si="142"/>
        <v>233.71216103405249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6.1186256061773749E-14</v>
      </c>
      <c r="AK180" s="14">
        <f t="shared" si="164"/>
        <v>9.7328366192051127E-13</v>
      </c>
      <c r="AL180" s="22">
        <f t="shared" si="165"/>
        <v>1.8017017738191463E-12</v>
      </c>
      <c r="AM180" s="62">
        <f t="shared" si="113"/>
        <v>293.33333333333513</v>
      </c>
      <c r="AN180" s="62">
        <f ca="1">AVERAGE(OFFSET($AM$3,0,0,'Données projet'!$E$10+1,1))-AVERAGE(OFFSET($H$3,0,0,'Données projet'!$E$10+1,1))</f>
        <v>205.99910063756408</v>
      </c>
      <c r="AO180" s="62">
        <f t="shared" si="144"/>
        <v>128.95330275493671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293.3333333333353</v>
      </c>
      <c r="BI180" s="62">
        <f ca="1">AVERAGE(OFFSET($BH$3,0,0,'Données projet'!$E$11+1,1))-AVERAGE(OFFSET($H$3,0,0,'Données projet'!$E$11+1,1))</f>
        <v>222.20580087523689</v>
      </c>
      <c r="BJ180" s="62">
        <f t="shared" si="146"/>
        <v>232.08940427392253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0.54454593769252091</v>
      </c>
      <c r="BQ180" s="23">
        <f>EXP(-LN(2)/25)*BQ179+(1-EXP(-LN(2)/25))/(LN(2)/25)*Calculateur!BL180*Calculateur!BN180*VLOOKUP('Données projet'!$B$11,Paramètres!$A$1:$I$89,3,0)*0.475*44/12</f>
        <v>0.27908773269395032</v>
      </c>
      <c r="BR180" s="23">
        <f>EXP(-LN(2)/2)*BR179+(1-EXP(-LN(2)/2))/(LN(2)/2)*BL180*BO180*VLOOKUP('Données projet'!$B$11,Paramètres!$A$1:$I$89,3,0)*0.475*44/12</f>
        <v>4.7465919826243782E-22</v>
      </c>
      <c r="BS180" s="24">
        <f t="shared" si="169"/>
        <v>0.82363367038647128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5.1159076974727213E-13</v>
      </c>
      <c r="BZ180" s="14">
        <f>BY180*VLOOKUP('Données projet'!$B$12,Paramètres!$A$1:$I$89,3,0)*VLOOKUP('Données projet'!$B$12,Paramètres!$A$1:$I$89,5,0)</f>
        <v>2.3942448024172334E-13</v>
      </c>
      <c r="CA180" s="14">
        <f t="shared" si="170"/>
        <v>3.2492669905861755E-12</v>
      </c>
      <c r="CB180" s="22">
        <f t="shared" si="171"/>
        <v>6.0761376450252565E-12</v>
      </c>
      <c r="CC180" s="62">
        <f t="shared" si="119"/>
        <v>293.3333333333394</v>
      </c>
      <c r="CD180" s="62">
        <f ca="1">AVERAGE(OFFSET($CC$3,0,0,'Données projet'!$E$12+1,1))-AVERAGE(OFFSET($H$3,0,0,'Données projet'!$E$12+1,1))</f>
        <v>179.14256291235466</v>
      </c>
      <c r="CE180" s="62">
        <f t="shared" si="148"/>
        <v>107.5256983607585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-2.8421709430404007E-13</v>
      </c>
      <c r="CU180" s="18">
        <f>CT180*VLOOKUP('Données projet'!$B$13,Paramètres!$A$1:$I$89,3,0)*VLOOKUP('Données projet'!$B$13,Paramètres!$A$1:$I$89,5,0)</f>
        <v>-1.69961822393816E-13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237.03649693529445</v>
      </c>
      <c r="CZ180" s="62">
        <f t="shared" si="150"/>
        <v>191.04289411674887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3.9401967622045716E-22</v>
      </c>
      <c r="DI180" s="24">
        <f t="shared" si="175"/>
        <v>3.9401967622045716E-22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1.3096723705530166E-13</v>
      </c>
      <c r="DQ180" s="14">
        <f t="shared" si="176"/>
        <v>1.9066764221344275E-12</v>
      </c>
      <c r="DR180" s="22">
        <f t="shared" si="177"/>
        <v>3.548896039755445E-12</v>
      </c>
      <c r="DS180" s="62">
        <f t="shared" si="125"/>
        <v>293.33333333333684</v>
      </c>
      <c r="DT180" s="62">
        <f ca="1">AVERAGE(OFFSET($DS$3,0,0,'Données projet'!$E$14+1,1))-AVERAGE(OFFSET($H$3,0,0,'Données projet'!$E$14+1,1))</f>
        <v>431.38469096974364</v>
      </c>
      <c r="DU180" s="62">
        <f t="shared" si="152"/>
        <v>295.48627059086647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1.6632581267979302E-2</v>
      </c>
      <c r="EC180" s="23">
        <f>EXP(-LN(2)/2)*EC179+(1-EXP(-LN(2)/2))/(LN(2)/2)*DW180*DZ180*VLOOKUP('Données projet'!$B$14,Paramètres!$A$1:$I$89,3,0)*0.475*44/12</f>
        <v>2.873753624672292E-22</v>
      </c>
      <c r="ED180" s="24">
        <f t="shared" si="178"/>
        <v>1.6632581267979302E-2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6.4733285398688169E-14</v>
      </c>
      <c r="EL180" s="14">
        <f t="shared" si="179"/>
        <v>1.0229736701638572E-12</v>
      </c>
      <c r="EM180" s="22">
        <f t="shared" si="180"/>
        <v>1.8944229476047665E-12</v>
      </c>
      <c r="EN180" s="62">
        <f t="shared" si="128"/>
        <v>293.33333333333519</v>
      </c>
      <c r="EO180" s="62">
        <f ca="1">AVERAGE(OFFSET($EN$3,0,0,'Données projet'!$E$15+1,1))-AVERAGE(OFFSET($H$3,0,0,'Données projet'!$E$15+1,1))</f>
        <v>220.03635832253951</v>
      </c>
      <c r="EP180" s="62">
        <f t="shared" si="154"/>
        <v>136.30639155882233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490.00000000000091</v>
      </c>
      <c r="FF180" s="18">
        <f>FE180*VLOOKUP('Données projet'!$B$16,Paramètres!$A$1:$I$89,3,0)*VLOOKUP('Données projet'!$B$16,Paramètres!$A$1:$I$89,5,0)</f>
        <v>512.14800000000105</v>
      </c>
      <c r="FG180" s="14">
        <f t="shared" si="182"/>
        <v>114.17576021740676</v>
      </c>
      <c r="FH180" s="22">
        <f t="shared" si="183"/>
        <v>1090.8472157119852</v>
      </c>
      <c r="FI180" s="62">
        <f t="shared" si="131"/>
        <v>1384.1805490453185</v>
      </c>
      <c r="FJ180" s="62">
        <f ca="1">AVERAGE(OFFSET($FI$3,0,0,'Données projet'!$E$16+1,1))-AVERAGE(OFFSET($H$3,0,0,'Données projet'!$E$16+1,1))</f>
        <v>641.62708445664862</v>
      </c>
      <c r="FK180" s="62">
        <f t="shared" si="156"/>
        <v>379.46845863546929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1.6243203814573941E-21</v>
      </c>
      <c r="FT180" s="24">
        <f t="shared" si="184"/>
        <v>1.6243203814573941E-21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5.6843418860808015E-14</v>
      </c>
      <c r="GA180" s="18">
        <f>FZ180*VLOOKUP('Données projet'!$B$17,Paramètres!$A$1:$I$89,3,0)*VLOOKUP('Données projet'!$B$17,Paramètres!$A$1:$I$89,5,0)</f>
        <v>5.4978954722173515E-14</v>
      </c>
      <c r="GB180" s="14">
        <f t="shared" si="185"/>
        <v>8.8550225887742724E-13</v>
      </c>
      <c r="GC180" s="22">
        <f t="shared" si="186"/>
        <v>1.6380047803526383E-12</v>
      </c>
      <c r="GD180" s="62">
        <f t="shared" si="134"/>
        <v>293.33333333333496</v>
      </c>
      <c r="GE180" s="62">
        <f ca="1">AVERAGE(OFFSET($GD$3,0,0,'Données projet'!$E$17+1,1))-AVERAGE(OFFSET($H$3,0,0,'Données projet'!$E$17+1,1))</f>
        <v>181.39066880931728</v>
      </c>
      <c r="GF180" s="62">
        <f t="shared" si="158"/>
        <v>116.06078566855524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-1.7053025658242404E-13</v>
      </c>
      <c r="GV180" s="18">
        <f>GU180*VLOOKUP('Données projet'!$B$18,Paramètres!$A$1:$I$89,3,0)*VLOOKUP('Données projet'!$B$18,Paramètres!$A$1:$I$89,5,0)</f>
        <v>-1.4897523215040567E-13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152.84277478695606</v>
      </c>
      <c r="HA180" s="62">
        <f t="shared" si="160"/>
        <v>179.22995976651015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9">
        <f t="shared" si="110"/>
        <v>471.7258715264108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-9.7986685432260874E-13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383.26814640166805</v>
      </c>
      <c r="T181" s="62">
        <f t="shared" si="142"/>
        <v>233.71216103405249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6.1186256061773749E-14</v>
      </c>
      <c r="AK181" s="14">
        <f t="shared" si="164"/>
        <v>9.7328366192051127E-13</v>
      </c>
      <c r="AL181" s="22">
        <f t="shared" si="165"/>
        <v>1.8017017738191463E-12</v>
      </c>
      <c r="AM181" s="62">
        <f t="shared" si="113"/>
        <v>293.33333333333513</v>
      </c>
      <c r="AN181" s="62">
        <f ca="1">AVERAGE(OFFSET($AM$3,0,0,'Données projet'!$E$10+1,1))-AVERAGE(OFFSET($H$3,0,0,'Données projet'!$E$10+1,1))</f>
        <v>205.99910063756408</v>
      </c>
      <c r="AO181" s="62">
        <f t="shared" si="144"/>
        <v>128.95330275493671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293.3333333333353</v>
      </c>
      <c r="BI181" s="62">
        <f ca="1">AVERAGE(OFFSET($BH$3,0,0,'Données projet'!$E$11+1,1))-AVERAGE(OFFSET($H$3,0,0,'Données projet'!$E$11+1,1))</f>
        <v>222.20580087523689</v>
      </c>
      <c r="BJ181" s="62">
        <f t="shared" si="146"/>
        <v>232.08940427392253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0.53386772399459648</v>
      </c>
      <c r="BQ181" s="23">
        <f>EXP(-LN(2)/25)*BQ180+(1-EXP(-LN(2)/25))/(LN(2)/25)*Calculateur!BL181*Calculateur!BN181*VLOOKUP('Données projet'!$B$11,Paramètres!$A$1:$I$89,3,0)*0.475*44/12</f>
        <v>0.27145606396684824</v>
      </c>
      <c r="BR181" s="23">
        <f>EXP(-LN(2)/2)*BR180+(1-EXP(-LN(2)/2))/(LN(2)/2)*BL181*BO181*VLOOKUP('Données projet'!$B$11,Paramètres!$A$1:$I$89,3,0)*0.475*44/12</f>
        <v>3.356347378439397E-22</v>
      </c>
      <c r="BS181" s="24">
        <f t="shared" si="169"/>
        <v>0.80532378796144477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5.1159076974727213E-13</v>
      </c>
      <c r="BZ181" s="14">
        <f>BY181*VLOOKUP('Données projet'!$B$12,Paramètres!$A$1:$I$89,3,0)*VLOOKUP('Données projet'!$B$12,Paramètres!$A$1:$I$89,5,0)</f>
        <v>2.3942448024172334E-13</v>
      </c>
      <c r="CA181" s="14">
        <f t="shared" si="170"/>
        <v>3.2492669905861755E-12</v>
      </c>
      <c r="CB181" s="22">
        <f t="shared" si="171"/>
        <v>6.0761376450252565E-12</v>
      </c>
      <c r="CC181" s="62">
        <f t="shared" si="119"/>
        <v>293.3333333333394</v>
      </c>
      <c r="CD181" s="62">
        <f ca="1">AVERAGE(OFFSET($CC$3,0,0,'Données projet'!$E$12+1,1))-AVERAGE(OFFSET($H$3,0,0,'Données projet'!$E$12+1,1))</f>
        <v>179.14256291235466</v>
      </c>
      <c r="CE181" s="62">
        <f t="shared" si="148"/>
        <v>107.5256983607585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-2.8421709430404007E-13</v>
      </c>
      <c r="CU181" s="18">
        <f>CT181*VLOOKUP('Données projet'!$B$13,Paramètres!$A$1:$I$89,3,0)*VLOOKUP('Données projet'!$B$13,Paramètres!$A$1:$I$89,5,0)</f>
        <v>-1.69961822393816E-13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237.03649693529445</v>
      </c>
      <c r="CZ181" s="62">
        <f t="shared" si="150"/>
        <v>191.04289411674887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2.786139849764131E-22</v>
      </c>
      <c r="DI181" s="24">
        <f t="shared" si="175"/>
        <v>2.786139849764131E-22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1.3096723705530166E-13</v>
      </c>
      <c r="DQ181" s="14">
        <f t="shared" si="176"/>
        <v>1.9066764221344275E-12</v>
      </c>
      <c r="DR181" s="22">
        <f t="shared" si="177"/>
        <v>3.548896039755445E-12</v>
      </c>
      <c r="DS181" s="62">
        <f t="shared" si="125"/>
        <v>293.33333333333684</v>
      </c>
      <c r="DT181" s="62">
        <f ca="1">AVERAGE(OFFSET($DS$3,0,0,'Données projet'!$E$14+1,1))-AVERAGE(OFFSET($H$3,0,0,'Données projet'!$E$14+1,1))</f>
        <v>431.38469096974364</v>
      </c>
      <c r="DU181" s="62">
        <f t="shared" si="152"/>
        <v>295.48627059086647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1.6177762458536974E-2</v>
      </c>
      <c r="EC181" s="23">
        <f>EXP(-LN(2)/2)*EC180+(1-EXP(-LN(2)/2))/(LN(2)/2)*DW181*DZ181*VLOOKUP('Données projet'!$B$14,Paramètres!$A$1:$I$89,3,0)*0.475*44/12</f>
        <v>2.0320506754651983E-22</v>
      </c>
      <c r="ED181" s="24">
        <f t="shared" si="178"/>
        <v>1.6177762458536974E-2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6.4733285398688169E-14</v>
      </c>
      <c r="EL181" s="14">
        <f t="shared" si="179"/>
        <v>1.0229736701638572E-12</v>
      </c>
      <c r="EM181" s="22">
        <f t="shared" si="180"/>
        <v>1.8944229476047665E-12</v>
      </c>
      <c r="EN181" s="62">
        <f t="shared" si="128"/>
        <v>293.33333333333519</v>
      </c>
      <c r="EO181" s="62">
        <f ca="1">AVERAGE(OFFSET($EN$3,0,0,'Données projet'!$E$15+1,1))-AVERAGE(OFFSET($H$3,0,0,'Données projet'!$E$15+1,1))</f>
        <v>220.03635832253951</v>
      </c>
      <c r="EP181" s="62">
        <f t="shared" si="154"/>
        <v>136.30639155882233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490.00000000000091</v>
      </c>
      <c r="FF181" s="18">
        <f>FE181*VLOOKUP('Données projet'!$B$16,Paramètres!$A$1:$I$89,3,0)*VLOOKUP('Données projet'!$B$16,Paramètres!$A$1:$I$89,5,0)</f>
        <v>512.14800000000105</v>
      </c>
      <c r="FG181" s="14">
        <f t="shared" si="182"/>
        <v>114.17576021740676</v>
      </c>
      <c r="FH181" s="22">
        <f t="shared" si="183"/>
        <v>1090.8472157119852</v>
      </c>
      <c r="FI181" s="62">
        <f t="shared" si="131"/>
        <v>1384.1805490453185</v>
      </c>
      <c r="FJ181" s="62">
        <f ca="1">AVERAGE(OFFSET($FI$3,0,0,'Données projet'!$E$16+1,1))-AVERAGE(OFFSET($H$3,0,0,'Données projet'!$E$16+1,1))</f>
        <v>641.62708445664862</v>
      </c>
      <c r="FK181" s="62">
        <f t="shared" si="156"/>
        <v>379.46845863546929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1.148567956548043E-21</v>
      </c>
      <c r="FT181" s="24">
        <f t="shared" si="184"/>
        <v>1.148567956548043E-21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5.6843418860808015E-14</v>
      </c>
      <c r="GA181" s="18">
        <f>FZ181*VLOOKUP('Données projet'!$B$17,Paramètres!$A$1:$I$89,3,0)*VLOOKUP('Données projet'!$B$17,Paramètres!$A$1:$I$89,5,0)</f>
        <v>5.4978954722173515E-14</v>
      </c>
      <c r="GB181" s="14">
        <f t="shared" si="185"/>
        <v>8.8550225887742724E-13</v>
      </c>
      <c r="GC181" s="22">
        <f t="shared" si="186"/>
        <v>1.6380047803526383E-12</v>
      </c>
      <c r="GD181" s="62">
        <f t="shared" si="134"/>
        <v>293.33333333333496</v>
      </c>
      <c r="GE181" s="62">
        <f ca="1">AVERAGE(OFFSET($GD$3,0,0,'Données projet'!$E$17+1,1))-AVERAGE(OFFSET($H$3,0,0,'Données projet'!$E$17+1,1))</f>
        <v>181.39066880931728</v>
      </c>
      <c r="GF181" s="62">
        <f t="shared" si="158"/>
        <v>116.06078566855524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-1.7053025658242404E-13</v>
      </c>
      <c r="GV181" s="18">
        <f>GU181*VLOOKUP('Données projet'!$B$18,Paramètres!$A$1:$I$89,3,0)*VLOOKUP('Données projet'!$B$18,Paramètres!$A$1:$I$89,5,0)</f>
        <v>-1.4897523215040567E-13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152.84277478695606</v>
      </c>
      <c r="HA181" s="62">
        <f t="shared" si="160"/>
        <v>179.22995976651015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9">
        <f t="shared" si="110"/>
        <v>472.90405149904302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-9.7986685432260874E-13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383.26814640166805</v>
      </c>
      <c r="T182" s="62">
        <f t="shared" si="142"/>
        <v>233.71216103405249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6.1186256061773749E-14</v>
      </c>
      <c r="AK182" s="14">
        <f t="shared" si="164"/>
        <v>9.7328366192051127E-13</v>
      </c>
      <c r="AL182" s="22">
        <f t="shared" si="165"/>
        <v>1.8017017738191463E-12</v>
      </c>
      <c r="AM182" s="62">
        <f t="shared" si="113"/>
        <v>293.33333333333513</v>
      </c>
      <c r="AN182" s="62">
        <f ca="1">AVERAGE(OFFSET($AM$3,0,0,'Données projet'!$E$10+1,1))-AVERAGE(OFFSET($H$3,0,0,'Données projet'!$E$10+1,1))</f>
        <v>205.99910063756408</v>
      </c>
      <c r="AO182" s="62">
        <f t="shared" si="144"/>
        <v>128.95330275493671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293.3333333333353</v>
      </c>
      <c r="BI182" s="62">
        <f ca="1">AVERAGE(OFFSET($BH$3,0,0,'Données projet'!$E$11+1,1))-AVERAGE(OFFSET($H$3,0,0,'Données projet'!$E$11+1,1))</f>
        <v>222.20580087523689</v>
      </c>
      <c r="BJ182" s="62">
        <f t="shared" si="146"/>
        <v>232.08940427392253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0.52339890355422103</v>
      </c>
      <c r="BQ182" s="23">
        <f>EXP(-LN(2)/25)*BQ181+(1-EXP(-LN(2)/25))/(LN(2)/25)*Calculateur!BL182*Calculateur!BN182*VLOOKUP('Données projet'!$B$11,Paramètres!$A$1:$I$89,3,0)*0.475*44/12</f>
        <v>0.26403308362242078</v>
      </c>
      <c r="BR182" s="23">
        <f>EXP(-LN(2)/2)*BR181+(1-EXP(-LN(2)/2))/(LN(2)/2)*BL182*BO182*VLOOKUP('Données projet'!$B$11,Paramètres!$A$1:$I$89,3,0)*0.475*44/12</f>
        <v>2.3732959913121891E-22</v>
      </c>
      <c r="BS182" s="24">
        <f t="shared" si="169"/>
        <v>0.78743198717664176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5.1159076974727213E-13</v>
      </c>
      <c r="BZ182" s="14">
        <f>BY182*VLOOKUP('Données projet'!$B$12,Paramètres!$A$1:$I$89,3,0)*VLOOKUP('Données projet'!$B$12,Paramètres!$A$1:$I$89,5,0)</f>
        <v>2.3942448024172334E-13</v>
      </c>
      <c r="CA182" s="14">
        <f t="shared" si="170"/>
        <v>3.2492669905861755E-12</v>
      </c>
      <c r="CB182" s="22">
        <f t="shared" si="171"/>
        <v>6.0761376450252565E-12</v>
      </c>
      <c r="CC182" s="62">
        <f t="shared" si="119"/>
        <v>293.3333333333394</v>
      </c>
      <c r="CD182" s="62">
        <f ca="1">AVERAGE(OFFSET($CC$3,0,0,'Données projet'!$E$12+1,1))-AVERAGE(OFFSET($H$3,0,0,'Données projet'!$E$12+1,1))</f>
        <v>179.14256291235466</v>
      </c>
      <c r="CE182" s="62">
        <f t="shared" si="148"/>
        <v>107.5256983607585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-2.8421709430404007E-13</v>
      </c>
      <c r="CU182" s="18">
        <f>CT182*VLOOKUP('Données projet'!$B$13,Paramètres!$A$1:$I$89,3,0)*VLOOKUP('Données projet'!$B$13,Paramètres!$A$1:$I$89,5,0)</f>
        <v>-1.69961822393816E-13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237.03649693529445</v>
      </c>
      <c r="CZ182" s="62">
        <f t="shared" si="150"/>
        <v>191.04289411674887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1.9700983811022858E-22</v>
      </c>
      <c r="DI182" s="24">
        <f t="shared" si="175"/>
        <v>1.9700983811022858E-22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1.3096723705530166E-13</v>
      </c>
      <c r="DQ182" s="14">
        <f t="shared" si="176"/>
        <v>1.9066764221344275E-12</v>
      </c>
      <c r="DR182" s="22">
        <f t="shared" si="177"/>
        <v>3.548896039755445E-12</v>
      </c>
      <c r="DS182" s="62">
        <f t="shared" si="125"/>
        <v>293.33333333333684</v>
      </c>
      <c r="DT182" s="62">
        <f ca="1">AVERAGE(OFFSET($DS$3,0,0,'Données projet'!$E$14+1,1))-AVERAGE(OFFSET($H$3,0,0,'Données projet'!$E$14+1,1))</f>
        <v>431.38469096974364</v>
      </c>
      <c r="DU182" s="62">
        <f t="shared" si="152"/>
        <v>295.48627059086647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1.5735380693356726E-2</v>
      </c>
      <c r="EC182" s="23">
        <f>EXP(-LN(2)/2)*EC181+(1-EXP(-LN(2)/2))/(LN(2)/2)*DW182*DZ182*VLOOKUP('Données projet'!$B$14,Paramètres!$A$1:$I$89,3,0)*0.475*44/12</f>
        <v>1.436876812336146E-22</v>
      </c>
      <c r="ED182" s="24">
        <f t="shared" si="178"/>
        <v>1.5735380693356726E-2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6.4733285398688169E-14</v>
      </c>
      <c r="EL182" s="14">
        <f t="shared" si="179"/>
        <v>1.0229736701638572E-12</v>
      </c>
      <c r="EM182" s="22">
        <f t="shared" si="180"/>
        <v>1.8944229476047665E-12</v>
      </c>
      <c r="EN182" s="62">
        <f t="shared" si="128"/>
        <v>293.33333333333519</v>
      </c>
      <c r="EO182" s="62">
        <f ca="1">AVERAGE(OFFSET($EN$3,0,0,'Données projet'!$E$15+1,1))-AVERAGE(OFFSET($H$3,0,0,'Données projet'!$E$15+1,1))</f>
        <v>220.03635832253951</v>
      </c>
      <c r="EP182" s="62">
        <f t="shared" si="154"/>
        <v>136.30639155882233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490.00000000000091</v>
      </c>
      <c r="FF182" s="18">
        <f>FE182*VLOOKUP('Données projet'!$B$16,Paramètres!$A$1:$I$89,3,0)*VLOOKUP('Données projet'!$B$16,Paramètres!$A$1:$I$89,5,0)</f>
        <v>512.14800000000105</v>
      </c>
      <c r="FG182" s="14">
        <f t="shared" si="182"/>
        <v>114.17576021740676</v>
      </c>
      <c r="FH182" s="22">
        <f t="shared" si="183"/>
        <v>1090.8472157119852</v>
      </c>
      <c r="FI182" s="62">
        <f t="shared" si="131"/>
        <v>1384.1805490453185</v>
      </c>
      <c r="FJ182" s="62">
        <f ca="1">AVERAGE(OFFSET($FI$3,0,0,'Données projet'!$E$16+1,1))-AVERAGE(OFFSET($H$3,0,0,'Données projet'!$E$16+1,1))</f>
        <v>641.62708445664862</v>
      </c>
      <c r="FK182" s="62">
        <f t="shared" si="156"/>
        <v>379.46845863546929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8.1216019072869705E-22</v>
      </c>
      <c r="FT182" s="24">
        <f t="shared" si="184"/>
        <v>8.1216019072869705E-22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5.6843418860808015E-14</v>
      </c>
      <c r="GA182" s="18">
        <f>FZ182*VLOOKUP('Données projet'!$B$17,Paramètres!$A$1:$I$89,3,0)*VLOOKUP('Données projet'!$B$17,Paramètres!$A$1:$I$89,5,0)</f>
        <v>5.4978954722173515E-14</v>
      </c>
      <c r="GB182" s="14">
        <f t="shared" si="185"/>
        <v>8.8550225887742724E-13</v>
      </c>
      <c r="GC182" s="22">
        <f t="shared" si="186"/>
        <v>1.6380047803526383E-12</v>
      </c>
      <c r="GD182" s="62">
        <f t="shared" si="134"/>
        <v>293.33333333333496</v>
      </c>
      <c r="GE182" s="62">
        <f ca="1">AVERAGE(OFFSET($GD$3,0,0,'Données projet'!$E$17+1,1))-AVERAGE(OFFSET($H$3,0,0,'Données projet'!$E$17+1,1))</f>
        <v>181.39066880931728</v>
      </c>
      <c r="GF182" s="62">
        <f t="shared" si="158"/>
        <v>116.06078566855524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-1.7053025658242404E-13</v>
      </c>
      <c r="GV182" s="18">
        <f>GU182*VLOOKUP('Données projet'!$B$18,Paramètres!$A$1:$I$89,3,0)*VLOOKUP('Données projet'!$B$18,Paramètres!$A$1:$I$89,5,0)</f>
        <v>-1.4897523215040567E-13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152.84277478695606</v>
      </c>
      <c r="HA182" s="62">
        <f t="shared" si="160"/>
        <v>179.22995976651015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9">
        <f t="shared" si="110"/>
        <v>474.08208375594126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-9.7986685432260874E-13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383.26814640166805</v>
      </c>
      <c r="T183" s="62">
        <f t="shared" si="142"/>
        <v>233.71216103405249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6.1186256061773749E-14</v>
      </c>
      <c r="AK183" s="14">
        <f t="shared" si="164"/>
        <v>9.7328366192051127E-13</v>
      </c>
      <c r="AL183" s="22">
        <f t="shared" si="165"/>
        <v>1.8017017738191463E-12</v>
      </c>
      <c r="AM183" s="62">
        <f t="shared" si="113"/>
        <v>293.33333333333513</v>
      </c>
      <c r="AN183" s="62">
        <f ca="1">AVERAGE(OFFSET($AM$3,0,0,'Données projet'!$E$10+1,1))-AVERAGE(OFFSET($H$3,0,0,'Données projet'!$E$10+1,1))</f>
        <v>205.99910063756408</v>
      </c>
      <c r="AO183" s="62">
        <f t="shared" si="144"/>
        <v>128.95330275493671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293.3333333333353</v>
      </c>
      <c r="BI183" s="62">
        <f ca="1">AVERAGE(OFFSET($BH$3,0,0,'Données projet'!$E$11+1,1))-AVERAGE(OFFSET($H$3,0,0,'Données projet'!$E$11+1,1))</f>
        <v>222.20580087523689</v>
      </c>
      <c r="BJ183" s="62">
        <f t="shared" si="146"/>
        <v>232.08940427392253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0.51313537029733136</v>
      </c>
      <c r="BQ183" s="23">
        <f>EXP(-LN(2)/25)*BQ182+(1-EXP(-LN(2)/25))/(LN(2)/25)*Calculateur!BL183*Calculateur!BN183*VLOOKUP('Données projet'!$B$11,Paramètres!$A$1:$I$89,3,0)*0.475*44/12</f>
        <v>0.25681308506586925</v>
      </c>
      <c r="BR183" s="23">
        <f>EXP(-LN(2)/2)*BR182+(1-EXP(-LN(2)/2))/(LN(2)/2)*BL183*BO183*VLOOKUP('Données projet'!$B$11,Paramètres!$A$1:$I$89,3,0)*0.475*44/12</f>
        <v>1.6781736892196985E-22</v>
      </c>
      <c r="BS183" s="24">
        <f t="shared" si="169"/>
        <v>0.76994845536320056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5.1159076974727213E-13</v>
      </c>
      <c r="BZ183" s="14">
        <f>BY183*VLOOKUP('Données projet'!$B$12,Paramètres!$A$1:$I$89,3,0)*VLOOKUP('Données projet'!$B$12,Paramètres!$A$1:$I$89,5,0)</f>
        <v>2.3942448024172334E-13</v>
      </c>
      <c r="CA183" s="14">
        <f t="shared" si="170"/>
        <v>3.2492669905861755E-12</v>
      </c>
      <c r="CB183" s="22">
        <f t="shared" si="171"/>
        <v>6.0761376450252565E-12</v>
      </c>
      <c r="CC183" s="62">
        <f t="shared" si="119"/>
        <v>293.3333333333394</v>
      </c>
      <c r="CD183" s="62">
        <f ca="1">AVERAGE(OFFSET($CC$3,0,0,'Données projet'!$E$12+1,1))-AVERAGE(OFFSET($H$3,0,0,'Données projet'!$E$12+1,1))</f>
        <v>179.14256291235466</v>
      </c>
      <c r="CE183" s="62">
        <f t="shared" si="148"/>
        <v>107.5256983607585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-2.8421709430404007E-13</v>
      </c>
      <c r="CU183" s="18">
        <f>CT183*VLOOKUP('Données projet'!$B$13,Paramètres!$A$1:$I$89,3,0)*VLOOKUP('Données projet'!$B$13,Paramètres!$A$1:$I$89,5,0)</f>
        <v>-1.69961822393816E-13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237.03649693529445</v>
      </c>
      <c r="CZ183" s="62">
        <f t="shared" si="150"/>
        <v>191.04289411674887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1.3930699248820655E-22</v>
      </c>
      <c r="DI183" s="24">
        <f t="shared" si="175"/>
        <v>1.3930699248820655E-22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1.3096723705530166E-13</v>
      </c>
      <c r="DQ183" s="14">
        <f t="shared" si="176"/>
        <v>1.9066764221344275E-12</v>
      </c>
      <c r="DR183" s="22">
        <f t="shared" si="177"/>
        <v>3.548896039755445E-12</v>
      </c>
      <c r="DS183" s="62">
        <f t="shared" si="125"/>
        <v>293.33333333333684</v>
      </c>
      <c r="DT183" s="62">
        <f ca="1">AVERAGE(OFFSET($DS$3,0,0,'Données projet'!$E$14+1,1))-AVERAGE(OFFSET($H$3,0,0,'Données projet'!$E$14+1,1))</f>
        <v>431.38469096974364</v>
      </c>
      <c r="DU183" s="62">
        <f t="shared" si="152"/>
        <v>295.48627059086647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1.530509588080918E-2</v>
      </c>
      <c r="EC183" s="23">
        <f>EXP(-LN(2)/2)*EC182+(1-EXP(-LN(2)/2))/(LN(2)/2)*DW183*DZ183*VLOOKUP('Données projet'!$B$14,Paramètres!$A$1:$I$89,3,0)*0.475*44/12</f>
        <v>1.0160253377325991E-22</v>
      </c>
      <c r="ED183" s="24">
        <f t="shared" si="178"/>
        <v>1.530509588080918E-2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6.4733285398688169E-14</v>
      </c>
      <c r="EL183" s="14">
        <f t="shared" si="179"/>
        <v>1.0229736701638572E-12</v>
      </c>
      <c r="EM183" s="22">
        <f t="shared" si="180"/>
        <v>1.8944229476047665E-12</v>
      </c>
      <c r="EN183" s="62">
        <f t="shared" si="128"/>
        <v>293.33333333333519</v>
      </c>
      <c r="EO183" s="62">
        <f ca="1">AVERAGE(OFFSET($EN$3,0,0,'Données projet'!$E$15+1,1))-AVERAGE(OFFSET($H$3,0,0,'Données projet'!$E$15+1,1))</f>
        <v>220.03635832253951</v>
      </c>
      <c r="EP183" s="62">
        <f t="shared" si="154"/>
        <v>136.30639155882233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490.00000000000091</v>
      </c>
      <c r="FF183" s="18">
        <f>FE183*VLOOKUP('Données projet'!$B$16,Paramètres!$A$1:$I$89,3,0)*VLOOKUP('Données projet'!$B$16,Paramètres!$A$1:$I$89,5,0)</f>
        <v>512.14800000000105</v>
      </c>
      <c r="FG183" s="14">
        <f t="shared" si="182"/>
        <v>114.17576021740676</v>
      </c>
      <c r="FH183" s="22">
        <f t="shared" si="183"/>
        <v>1090.8472157119852</v>
      </c>
      <c r="FI183" s="62">
        <f t="shared" si="131"/>
        <v>1384.1805490453185</v>
      </c>
      <c r="FJ183" s="62">
        <f ca="1">AVERAGE(OFFSET($FI$3,0,0,'Données projet'!$E$16+1,1))-AVERAGE(OFFSET($H$3,0,0,'Données projet'!$E$16+1,1))</f>
        <v>641.62708445664862</v>
      </c>
      <c r="FK183" s="62">
        <f t="shared" si="156"/>
        <v>379.46845863546929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5.7428397827402149E-22</v>
      </c>
      <c r="FT183" s="24">
        <f t="shared" si="184"/>
        <v>5.7428397827402149E-22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5.6843418860808015E-14</v>
      </c>
      <c r="GA183" s="18">
        <f>FZ183*VLOOKUP('Données projet'!$B$17,Paramètres!$A$1:$I$89,3,0)*VLOOKUP('Données projet'!$B$17,Paramètres!$A$1:$I$89,5,0)</f>
        <v>5.4978954722173515E-14</v>
      </c>
      <c r="GB183" s="14">
        <f t="shared" si="185"/>
        <v>8.8550225887742724E-13</v>
      </c>
      <c r="GC183" s="22">
        <f t="shared" si="186"/>
        <v>1.6380047803526383E-12</v>
      </c>
      <c r="GD183" s="62">
        <f t="shared" si="134"/>
        <v>293.33333333333496</v>
      </c>
      <c r="GE183" s="62">
        <f ca="1">AVERAGE(OFFSET($GD$3,0,0,'Données projet'!$E$17+1,1))-AVERAGE(OFFSET($H$3,0,0,'Données projet'!$E$17+1,1))</f>
        <v>181.39066880931728</v>
      </c>
      <c r="GF183" s="62">
        <f t="shared" si="158"/>
        <v>116.06078566855524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-1.7053025658242404E-13</v>
      </c>
      <c r="GV183" s="18">
        <f>GU183*VLOOKUP('Données projet'!$B$18,Paramètres!$A$1:$I$89,3,0)*VLOOKUP('Données projet'!$B$18,Paramètres!$A$1:$I$89,5,0)</f>
        <v>-1.4897523215040567E-13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152.84277478695606</v>
      </c>
      <c r="HA183" s="62">
        <f t="shared" si="160"/>
        <v>179.22995976651015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9">
        <f t="shared" si="110"/>
        <v>475.25996921298474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-9.7986685432260874E-13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383.26814640166805</v>
      </c>
      <c r="T184" s="62">
        <f t="shared" si="142"/>
        <v>233.71216103405249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6.1186256061773749E-14</v>
      </c>
      <c r="AK184" s="14">
        <f t="shared" si="164"/>
        <v>9.7328366192051127E-13</v>
      </c>
      <c r="AL184" s="22">
        <f t="shared" si="165"/>
        <v>1.8017017738191463E-12</v>
      </c>
      <c r="AM184" s="62">
        <f t="shared" si="113"/>
        <v>293.33333333333513</v>
      </c>
      <c r="AN184" s="62">
        <f ca="1">AVERAGE(OFFSET($AM$3,0,0,'Données projet'!$E$10+1,1))-AVERAGE(OFFSET($H$3,0,0,'Données projet'!$E$10+1,1))</f>
        <v>205.99910063756408</v>
      </c>
      <c r="AO184" s="62">
        <f t="shared" si="144"/>
        <v>128.95330275493671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293.3333333333353</v>
      </c>
      <c r="BI184" s="62">
        <f ca="1">AVERAGE(OFFSET($BH$3,0,0,'Données projet'!$E$11+1,1))-AVERAGE(OFFSET($H$3,0,0,'Données projet'!$E$11+1,1))</f>
        <v>222.20580087523689</v>
      </c>
      <c r="BJ184" s="62">
        <f t="shared" si="146"/>
        <v>232.08940427392253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0.50307309866747218</v>
      </c>
      <c r="BQ184" s="23">
        <f>EXP(-LN(2)/25)*BQ183+(1-EXP(-LN(2)/25))/(LN(2)/25)*Calculateur!BL184*Calculateur!BN184*VLOOKUP('Données projet'!$B$11,Paramètres!$A$1:$I$89,3,0)*0.475*44/12</f>
        <v>0.24979051774952987</v>
      </c>
      <c r="BR184" s="23">
        <f>EXP(-LN(2)/2)*BR183+(1-EXP(-LN(2)/2))/(LN(2)/2)*BL184*BO184*VLOOKUP('Données projet'!$B$11,Paramètres!$A$1:$I$89,3,0)*0.475*44/12</f>
        <v>1.1866479956560946E-22</v>
      </c>
      <c r="BS184" s="24">
        <f t="shared" si="169"/>
        <v>0.75286361641700206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5.1159076974727213E-13</v>
      </c>
      <c r="BZ184" s="14">
        <f>BY184*VLOOKUP('Données projet'!$B$12,Paramètres!$A$1:$I$89,3,0)*VLOOKUP('Données projet'!$B$12,Paramètres!$A$1:$I$89,5,0)</f>
        <v>2.3942448024172334E-13</v>
      </c>
      <c r="CA184" s="14">
        <f t="shared" si="170"/>
        <v>3.2492669905861755E-12</v>
      </c>
      <c r="CB184" s="22">
        <f t="shared" si="171"/>
        <v>6.0761376450252565E-12</v>
      </c>
      <c r="CC184" s="62">
        <f t="shared" si="119"/>
        <v>293.3333333333394</v>
      </c>
      <c r="CD184" s="62">
        <f ca="1">AVERAGE(OFFSET($CC$3,0,0,'Données projet'!$E$12+1,1))-AVERAGE(OFFSET($H$3,0,0,'Données projet'!$E$12+1,1))</f>
        <v>179.14256291235466</v>
      </c>
      <c r="CE184" s="62">
        <f t="shared" si="148"/>
        <v>107.5256983607585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-2.8421709430404007E-13</v>
      </c>
      <c r="CU184" s="18">
        <f>CT184*VLOOKUP('Données projet'!$B$13,Paramètres!$A$1:$I$89,3,0)*VLOOKUP('Données projet'!$B$13,Paramètres!$A$1:$I$89,5,0)</f>
        <v>-1.69961822393816E-13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237.03649693529445</v>
      </c>
      <c r="CZ184" s="62">
        <f t="shared" si="150"/>
        <v>191.04289411674887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9.8504919055114291E-23</v>
      </c>
      <c r="DI184" s="24">
        <f t="shared" si="175"/>
        <v>9.8504919055114291E-23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1.3096723705530166E-13</v>
      </c>
      <c r="DQ184" s="14">
        <f t="shared" si="176"/>
        <v>1.9066764221344275E-12</v>
      </c>
      <c r="DR184" s="22">
        <f t="shared" si="177"/>
        <v>3.548896039755445E-12</v>
      </c>
      <c r="DS184" s="62">
        <f t="shared" si="125"/>
        <v>293.33333333333684</v>
      </c>
      <c r="DT184" s="62">
        <f ca="1">AVERAGE(OFFSET($DS$3,0,0,'Données projet'!$E$14+1,1))-AVERAGE(OFFSET($H$3,0,0,'Données projet'!$E$14+1,1))</f>
        <v>431.38469096974364</v>
      </c>
      <c r="DU184" s="62">
        <f t="shared" si="152"/>
        <v>295.48627059086647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1.4886577229088441E-2</v>
      </c>
      <c r="EC184" s="23">
        <f>EXP(-LN(2)/2)*EC183+(1-EXP(-LN(2)/2))/(LN(2)/2)*DW184*DZ184*VLOOKUP('Données projet'!$B$14,Paramètres!$A$1:$I$89,3,0)*0.475*44/12</f>
        <v>7.1843840616807301E-23</v>
      </c>
      <c r="ED184" s="24">
        <f t="shared" si="178"/>
        <v>1.4886577229088441E-2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6.4733285398688169E-14</v>
      </c>
      <c r="EL184" s="14">
        <f t="shared" si="179"/>
        <v>1.0229736701638572E-12</v>
      </c>
      <c r="EM184" s="22">
        <f t="shared" si="180"/>
        <v>1.8944229476047665E-12</v>
      </c>
      <c r="EN184" s="62">
        <f t="shared" si="128"/>
        <v>293.33333333333519</v>
      </c>
      <c r="EO184" s="62">
        <f ca="1">AVERAGE(OFFSET($EN$3,0,0,'Données projet'!$E$15+1,1))-AVERAGE(OFFSET($H$3,0,0,'Données projet'!$E$15+1,1))</f>
        <v>220.03635832253951</v>
      </c>
      <c r="EP184" s="62">
        <f t="shared" si="154"/>
        <v>136.30639155882233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490.00000000000091</v>
      </c>
      <c r="FF184" s="18">
        <f>FE184*VLOOKUP('Données projet'!$B$16,Paramètres!$A$1:$I$89,3,0)*VLOOKUP('Données projet'!$B$16,Paramètres!$A$1:$I$89,5,0)</f>
        <v>512.14800000000105</v>
      </c>
      <c r="FG184" s="14">
        <f t="shared" si="182"/>
        <v>114.17576021740676</v>
      </c>
      <c r="FH184" s="22">
        <f t="shared" si="183"/>
        <v>1090.8472157119852</v>
      </c>
      <c r="FI184" s="62">
        <f t="shared" si="131"/>
        <v>1384.1805490453185</v>
      </c>
      <c r="FJ184" s="62">
        <f ca="1">AVERAGE(OFFSET($FI$3,0,0,'Données projet'!$E$16+1,1))-AVERAGE(OFFSET($H$3,0,0,'Données projet'!$E$16+1,1))</f>
        <v>641.62708445664862</v>
      </c>
      <c r="FK184" s="62">
        <f t="shared" si="156"/>
        <v>379.46845863546929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4.0608009536434853E-22</v>
      </c>
      <c r="FT184" s="24">
        <f t="shared" si="184"/>
        <v>4.0608009536434853E-22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5.6843418860808015E-14</v>
      </c>
      <c r="GA184" s="18">
        <f>FZ184*VLOOKUP('Données projet'!$B$17,Paramètres!$A$1:$I$89,3,0)*VLOOKUP('Données projet'!$B$17,Paramètres!$A$1:$I$89,5,0)</f>
        <v>5.4978954722173515E-14</v>
      </c>
      <c r="GB184" s="14">
        <f t="shared" si="185"/>
        <v>8.8550225887742724E-13</v>
      </c>
      <c r="GC184" s="22">
        <f t="shared" si="186"/>
        <v>1.6380047803526383E-12</v>
      </c>
      <c r="GD184" s="62">
        <f t="shared" si="134"/>
        <v>293.33333333333496</v>
      </c>
      <c r="GE184" s="62">
        <f ca="1">AVERAGE(OFFSET($GD$3,0,0,'Données projet'!$E$17+1,1))-AVERAGE(OFFSET($H$3,0,0,'Données projet'!$E$17+1,1))</f>
        <v>181.39066880931728</v>
      </c>
      <c r="GF184" s="62">
        <f t="shared" si="158"/>
        <v>116.06078566855524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-1.7053025658242404E-13</v>
      </c>
      <c r="GV184" s="18">
        <f>GU184*VLOOKUP('Données projet'!$B$18,Paramètres!$A$1:$I$89,3,0)*VLOOKUP('Données projet'!$B$18,Paramètres!$A$1:$I$89,5,0)</f>
        <v>-1.4897523215040567E-13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152.84277478695606</v>
      </c>
      <c r="HA184" s="62">
        <f t="shared" si="160"/>
        <v>179.22995976651015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9">
        <f t="shared" si="110"/>
        <v>476.43770877534655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-9.7986685432260874E-13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383.26814640166805</v>
      </c>
      <c r="T185" s="62">
        <f t="shared" si="142"/>
        <v>233.71216103405249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6.1186256061773749E-14</v>
      </c>
      <c r="AK185" s="14">
        <f t="shared" si="164"/>
        <v>9.7328366192051127E-13</v>
      </c>
      <c r="AL185" s="22">
        <f t="shared" si="165"/>
        <v>1.8017017738191463E-12</v>
      </c>
      <c r="AM185" s="62">
        <f t="shared" si="113"/>
        <v>293.33333333333513</v>
      </c>
      <c r="AN185" s="62">
        <f ca="1">AVERAGE(OFFSET($AM$3,0,0,'Données projet'!$E$10+1,1))-AVERAGE(OFFSET($H$3,0,0,'Données projet'!$E$10+1,1))</f>
        <v>205.99910063756408</v>
      </c>
      <c r="AO185" s="62">
        <f t="shared" si="144"/>
        <v>128.95330275493671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293.3333333333353</v>
      </c>
      <c r="BI185" s="62">
        <f ca="1">AVERAGE(OFFSET($BH$3,0,0,'Données projet'!$E$11+1,1))-AVERAGE(OFFSET($H$3,0,0,'Données projet'!$E$11+1,1))</f>
        <v>222.20580087523689</v>
      </c>
      <c r="BJ185" s="62">
        <f t="shared" si="146"/>
        <v>232.08940427392253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0.49320814204689489</v>
      </c>
      <c r="BQ185" s="23">
        <f>EXP(-LN(2)/25)*BQ184+(1-EXP(-LN(2)/25))/(LN(2)/25)*Calculateur!BL185*Calculateur!BN185*VLOOKUP('Données projet'!$B$11,Paramètres!$A$1:$I$89,3,0)*0.475*44/12</f>
        <v>0.24295998290575654</v>
      </c>
      <c r="BR185" s="23">
        <f>EXP(-LN(2)/2)*BR184+(1-EXP(-LN(2)/2))/(LN(2)/2)*BL185*BO185*VLOOKUP('Données projet'!$B$11,Paramètres!$A$1:$I$89,3,0)*0.475*44/12</f>
        <v>8.3908684460984925E-23</v>
      </c>
      <c r="BS185" s="24">
        <f t="shared" si="169"/>
        <v>0.73616812495265149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5.1159076974727213E-13</v>
      </c>
      <c r="BZ185" s="14">
        <f>BY185*VLOOKUP('Données projet'!$B$12,Paramètres!$A$1:$I$89,3,0)*VLOOKUP('Données projet'!$B$12,Paramètres!$A$1:$I$89,5,0)</f>
        <v>2.3942448024172334E-13</v>
      </c>
      <c r="CA185" s="14">
        <f t="shared" si="170"/>
        <v>3.2492669905861755E-12</v>
      </c>
      <c r="CB185" s="22">
        <f t="shared" si="171"/>
        <v>6.0761376450252565E-12</v>
      </c>
      <c r="CC185" s="62">
        <f t="shared" si="119"/>
        <v>293.3333333333394</v>
      </c>
      <c r="CD185" s="62">
        <f ca="1">AVERAGE(OFFSET($CC$3,0,0,'Données projet'!$E$12+1,1))-AVERAGE(OFFSET($H$3,0,0,'Données projet'!$E$12+1,1))</f>
        <v>179.14256291235466</v>
      </c>
      <c r="CE185" s="62">
        <f t="shared" si="148"/>
        <v>107.5256983607585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-2.8421709430404007E-13</v>
      </c>
      <c r="CU185" s="18">
        <f>CT185*VLOOKUP('Données projet'!$B$13,Paramètres!$A$1:$I$89,3,0)*VLOOKUP('Données projet'!$B$13,Paramètres!$A$1:$I$89,5,0)</f>
        <v>-1.69961822393816E-13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237.03649693529445</v>
      </c>
      <c r="CZ185" s="62">
        <f t="shared" si="150"/>
        <v>191.04289411674887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6.9653496244103276E-23</v>
      </c>
      <c r="DI185" s="24">
        <f t="shared" si="175"/>
        <v>6.9653496244103276E-23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1.3096723705530166E-13</v>
      </c>
      <c r="DQ185" s="14">
        <f t="shared" si="176"/>
        <v>1.9066764221344275E-12</v>
      </c>
      <c r="DR185" s="22">
        <f t="shared" si="177"/>
        <v>3.548896039755445E-12</v>
      </c>
      <c r="DS185" s="62">
        <f t="shared" si="125"/>
        <v>293.33333333333684</v>
      </c>
      <c r="DT185" s="62">
        <f ca="1">AVERAGE(OFFSET($DS$3,0,0,'Données projet'!$E$14+1,1))-AVERAGE(OFFSET($H$3,0,0,'Données projet'!$E$14+1,1))</f>
        <v>431.38469096974364</v>
      </c>
      <c r="DU185" s="62">
        <f t="shared" si="152"/>
        <v>295.48627059086647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1.4479502991907945E-2</v>
      </c>
      <c r="EC185" s="23">
        <f>EXP(-LN(2)/2)*EC184+(1-EXP(-LN(2)/2))/(LN(2)/2)*DW185*DZ185*VLOOKUP('Données projet'!$B$14,Paramètres!$A$1:$I$89,3,0)*0.475*44/12</f>
        <v>5.0801266886629956E-23</v>
      </c>
      <c r="ED185" s="24">
        <f t="shared" si="178"/>
        <v>1.4479502991907945E-2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6.4733285398688169E-14</v>
      </c>
      <c r="EL185" s="14">
        <f t="shared" si="179"/>
        <v>1.0229736701638572E-12</v>
      </c>
      <c r="EM185" s="22">
        <f t="shared" si="180"/>
        <v>1.8944229476047665E-12</v>
      </c>
      <c r="EN185" s="62">
        <f t="shared" si="128"/>
        <v>293.33333333333519</v>
      </c>
      <c r="EO185" s="62">
        <f ca="1">AVERAGE(OFFSET($EN$3,0,0,'Données projet'!$E$15+1,1))-AVERAGE(OFFSET($H$3,0,0,'Données projet'!$E$15+1,1))</f>
        <v>220.03635832253951</v>
      </c>
      <c r="EP185" s="62">
        <f t="shared" si="154"/>
        <v>136.30639155882233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490.00000000000091</v>
      </c>
      <c r="FF185" s="18">
        <f>FE185*VLOOKUP('Données projet'!$B$16,Paramètres!$A$1:$I$89,3,0)*VLOOKUP('Données projet'!$B$16,Paramètres!$A$1:$I$89,5,0)</f>
        <v>512.14800000000105</v>
      </c>
      <c r="FG185" s="14">
        <f t="shared" si="182"/>
        <v>114.17576021740676</v>
      </c>
      <c r="FH185" s="22">
        <f t="shared" si="183"/>
        <v>1090.8472157119852</v>
      </c>
      <c r="FI185" s="62">
        <f t="shared" si="131"/>
        <v>1384.1805490453185</v>
      </c>
      <c r="FJ185" s="62">
        <f ca="1">AVERAGE(OFFSET($FI$3,0,0,'Données projet'!$E$16+1,1))-AVERAGE(OFFSET($H$3,0,0,'Données projet'!$E$16+1,1))</f>
        <v>641.62708445664862</v>
      </c>
      <c r="FK185" s="62">
        <f t="shared" si="156"/>
        <v>379.46845863546929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2.8714198913701074E-22</v>
      </c>
      <c r="FT185" s="24">
        <f t="shared" si="184"/>
        <v>2.8714198913701074E-22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5.6843418860808015E-14</v>
      </c>
      <c r="GA185" s="18">
        <f>FZ185*VLOOKUP('Données projet'!$B$17,Paramètres!$A$1:$I$89,3,0)*VLOOKUP('Données projet'!$B$17,Paramètres!$A$1:$I$89,5,0)</f>
        <v>5.4978954722173515E-14</v>
      </c>
      <c r="GB185" s="14">
        <f t="shared" si="185"/>
        <v>8.8550225887742724E-13</v>
      </c>
      <c r="GC185" s="22">
        <f t="shared" si="186"/>
        <v>1.6380047803526383E-12</v>
      </c>
      <c r="GD185" s="62">
        <f t="shared" si="134"/>
        <v>293.33333333333496</v>
      </c>
      <c r="GE185" s="62">
        <f ca="1">AVERAGE(OFFSET($GD$3,0,0,'Données projet'!$E$17+1,1))-AVERAGE(OFFSET($H$3,0,0,'Données projet'!$E$17+1,1))</f>
        <v>181.39066880931728</v>
      </c>
      <c r="GF185" s="62">
        <f t="shared" si="158"/>
        <v>116.06078566855524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-1.7053025658242404E-13</v>
      </c>
      <c r="GV185" s="18">
        <f>GU185*VLOOKUP('Données projet'!$B$18,Paramètres!$A$1:$I$89,3,0)*VLOOKUP('Données projet'!$B$18,Paramètres!$A$1:$I$89,5,0)</f>
        <v>-1.4897523215040567E-13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152.84277478695606</v>
      </c>
      <c r="HA185" s="62">
        <f t="shared" si="160"/>
        <v>179.22995976651015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9">
        <f t="shared" si="110"/>
        <v>477.61530333767718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-9.7986685432260874E-13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383.26814640166805</v>
      </c>
      <c r="T186" s="62">
        <f t="shared" si="142"/>
        <v>233.71216103405249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6.1186256061773749E-14</v>
      </c>
      <c r="AK186" s="14">
        <f t="shared" si="164"/>
        <v>9.7328366192051127E-13</v>
      </c>
      <c r="AL186" s="22">
        <f t="shared" si="165"/>
        <v>1.8017017738191463E-12</v>
      </c>
      <c r="AM186" s="62">
        <f t="shared" si="113"/>
        <v>293.33333333333513</v>
      </c>
      <c r="AN186" s="62">
        <f ca="1">AVERAGE(OFFSET($AM$3,0,0,'Données projet'!$E$10+1,1))-AVERAGE(OFFSET($H$3,0,0,'Données projet'!$E$10+1,1))</f>
        <v>205.99910063756408</v>
      </c>
      <c r="AO186" s="62">
        <f t="shared" si="144"/>
        <v>128.95330275493671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293.3333333333353</v>
      </c>
      <c r="BI186" s="62">
        <f ca="1">AVERAGE(OFFSET($BH$3,0,0,'Données projet'!$E$11+1,1))-AVERAGE(OFFSET($H$3,0,0,'Données projet'!$E$11+1,1))</f>
        <v>222.20580087523689</v>
      </c>
      <c r="BJ186" s="62">
        <f t="shared" si="146"/>
        <v>232.08940427392253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0.48353663120861773</v>
      </c>
      <c r="BQ186" s="23">
        <f>EXP(-LN(2)/25)*BQ185+(1-EXP(-LN(2)/25))/(LN(2)/25)*Calculateur!BL186*Calculateur!BN186*VLOOKUP('Données projet'!$B$11,Paramètres!$A$1:$I$89,3,0)*0.475*44/12</f>
        <v>0.23631622939648841</v>
      </c>
      <c r="BR186" s="23">
        <f>EXP(-LN(2)/2)*BR185+(1-EXP(-LN(2)/2))/(LN(2)/2)*BL186*BO186*VLOOKUP('Données projet'!$B$11,Paramètres!$A$1:$I$89,3,0)*0.475*44/12</f>
        <v>5.9332399782804728E-23</v>
      </c>
      <c r="BS186" s="24">
        <f t="shared" si="169"/>
        <v>0.71985286060510612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5.1159076974727213E-13</v>
      </c>
      <c r="BZ186" s="14">
        <f>BY186*VLOOKUP('Données projet'!$B$12,Paramètres!$A$1:$I$89,3,0)*VLOOKUP('Données projet'!$B$12,Paramètres!$A$1:$I$89,5,0)</f>
        <v>2.3942448024172334E-13</v>
      </c>
      <c r="CA186" s="14">
        <f t="shared" si="170"/>
        <v>3.2492669905861755E-12</v>
      </c>
      <c r="CB186" s="22">
        <f t="shared" si="171"/>
        <v>6.0761376450252565E-12</v>
      </c>
      <c r="CC186" s="62">
        <f t="shared" si="119"/>
        <v>293.3333333333394</v>
      </c>
      <c r="CD186" s="62">
        <f ca="1">AVERAGE(OFFSET($CC$3,0,0,'Données projet'!$E$12+1,1))-AVERAGE(OFFSET($H$3,0,0,'Données projet'!$E$12+1,1))</f>
        <v>179.14256291235466</v>
      </c>
      <c r="CE186" s="62">
        <f t="shared" si="148"/>
        <v>107.5256983607585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-2.8421709430404007E-13</v>
      </c>
      <c r="CU186" s="18">
        <f>CT186*VLOOKUP('Données projet'!$B$13,Paramètres!$A$1:$I$89,3,0)*VLOOKUP('Données projet'!$B$13,Paramètres!$A$1:$I$89,5,0)</f>
        <v>-1.69961822393816E-13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237.03649693529445</v>
      </c>
      <c r="CZ186" s="62">
        <f t="shared" si="150"/>
        <v>191.04289411674887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4.9252459527557145E-23</v>
      </c>
      <c r="DI186" s="24">
        <f t="shared" si="175"/>
        <v>4.9252459527557145E-23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1.3096723705530166E-13</v>
      </c>
      <c r="DQ186" s="14">
        <f t="shared" si="176"/>
        <v>1.9066764221344275E-12</v>
      </c>
      <c r="DR186" s="22">
        <f t="shared" si="177"/>
        <v>3.548896039755445E-12</v>
      </c>
      <c r="DS186" s="62">
        <f t="shared" si="125"/>
        <v>293.33333333333684</v>
      </c>
      <c r="DT186" s="62">
        <f ca="1">AVERAGE(OFFSET($DS$3,0,0,'Données projet'!$E$14+1,1))-AVERAGE(OFFSET($H$3,0,0,'Données projet'!$E$14+1,1))</f>
        <v>431.38469096974364</v>
      </c>
      <c r="DU186" s="62">
        <f t="shared" si="152"/>
        <v>295.48627059086647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1.4083560221150253E-2</v>
      </c>
      <c r="EC186" s="23">
        <f>EXP(-LN(2)/2)*EC185+(1-EXP(-LN(2)/2))/(LN(2)/2)*DW186*DZ186*VLOOKUP('Données projet'!$B$14,Paramètres!$A$1:$I$89,3,0)*0.475*44/12</f>
        <v>3.5921920308403651E-23</v>
      </c>
      <c r="ED186" s="24">
        <f t="shared" si="178"/>
        <v>1.4083560221150253E-2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6.4733285398688169E-14</v>
      </c>
      <c r="EL186" s="14">
        <f t="shared" si="179"/>
        <v>1.0229736701638572E-12</v>
      </c>
      <c r="EM186" s="22">
        <f t="shared" si="180"/>
        <v>1.8944229476047665E-12</v>
      </c>
      <c r="EN186" s="62">
        <f t="shared" si="128"/>
        <v>293.33333333333519</v>
      </c>
      <c r="EO186" s="62">
        <f ca="1">AVERAGE(OFFSET($EN$3,0,0,'Données projet'!$E$15+1,1))-AVERAGE(OFFSET($H$3,0,0,'Données projet'!$E$15+1,1))</f>
        <v>220.03635832253951</v>
      </c>
      <c r="EP186" s="62">
        <f t="shared" si="154"/>
        <v>136.30639155882233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490.00000000000091</v>
      </c>
      <c r="FF186" s="18">
        <f>FE186*VLOOKUP('Données projet'!$B$16,Paramètres!$A$1:$I$89,3,0)*VLOOKUP('Données projet'!$B$16,Paramètres!$A$1:$I$89,5,0)</f>
        <v>512.14800000000105</v>
      </c>
      <c r="FG186" s="14">
        <f t="shared" si="182"/>
        <v>114.17576021740676</v>
      </c>
      <c r="FH186" s="22">
        <f t="shared" si="183"/>
        <v>1090.8472157119852</v>
      </c>
      <c r="FI186" s="62">
        <f t="shared" si="131"/>
        <v>1384.1805490453185</v>
      </c>
      <c r="FJ186" s="62">
        <f ca="1">AVERAGE(OFFSET($FI$3,0,0,'Données projet'!$E$16+1,1))-AVERAGE(OFFSET($H$3,0,0,'Données projet'!$E$16+1,1))</f>
        <v>641.62708445664862</v>
      </c>
      <c r="FK186" s="62">
        <f t="shared" si="156"/>
        <v>379.46845863546929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2.0304004768217426E-22</v>
      </c>
      <c r="FT186" s="24">
        <f t="shared" si="184"/>
        <v>2.0304004768217426E-22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5.6843418860808015E-14</v>
      </c>
      <c r="GA186" s="18">
        <f>FZ186*VLOOKUP('Données projet'!$B$17,Paramètres!$A$1:$I$89,3,0)*VLOOKUP('Données projet'!$B$17,Paramètres!$A$1:$I$89,5,0)</f>
        <v>5.4978954722173515E-14</v>
      </c>
      <c r="GB186" s="14">
        <f t="shared" si="185"/>
        <v>8.8550225887742724E-13</v>
      </c>
      <c r="GC186" s="22">
        <f t="shared" si="186"/>
        <v>1.6380047803526383E-12</v>
      </c>
      <c r="GD186" s="62">
        <f t="shared" si="134"/>
        <v>293.33333333333496</v>
      </c>
      <c r="GE186" s="62">
        <f ca="1">AVERAGE(OFFSET($GD$3,0,0,'Données projet'!$E$17+1,1))-AVERAGE(OFFSET($H$3,0,0,'Données projet'!$E$17+1,1))</f>
        <v>181.39066880931728</v>
      </c>
      <c r="GF186" s="62">
        <f t="shared" si="158"/>
        <v>116.06078566855524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-1.7053025658242404E-13</v>
      </c>
      <c r="GV186" s="18">
        <f>GU186*VLOOKUP('Données projet'!$B$18,Paramètres!$A$1:$I$89,3,0)*VLOOKUP('Données projet'!$B$18,Paramètres!$A$1:$I$89,5,0)</f>
        <v>-1.4897523215040567E-13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152.84277478695606</v>
      </c>
      <c r="HA186" s="62">
        <f t="shared" si="160"/>
        <v>179.22995976651015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9">
        <f t="shared" si="110"/>
        <v>478.79275378428366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-9.7986685432260874E-13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383.26814640166805</v>
      </c>
      <c r="T187" s="62">
        <f t="shared" si="142"/>
        <v>233.71216103405249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6.1186256061773749E-14</v>
      </c>
      <c r="AK187" s="14">
        <f t="shared" si="164"/>
        <v>9.7328366192051127E-13</v>
      </c>
      <c r="AL187" s="22">
        <f t="shared" si="165"/>
        <v>1.8017017738191463E-12</v>
      </c>
      <c r="AM187" s="62">
        <f t="shared" si="113"/>
        <v>293.33333333333513</v>
      </c>
      <c r="AN187" s="62">
        <f ca="1">AVERAGE(OFFSET($AM$3,0,0,'Données projet'!$E$10+1,1))-AVERAGE(OFFSET($H$3,0,0,'Données projet'!$E$10+1,1))</f>
        <v>205.99910063756408</v>
      </c>
      <c r="AO187" s="62">
        <f t="shared" si="144"/>
        <v>128.95330275493671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293.3333333333353</v>
      </c>
      <c r="BI187" s="62">
        <f ca="1">AVERAGE(OFFSET($BH$3,0,0,'Données projet'!$E$11+1,1))-AVERAGE(OFFSET($H$3,0,0,'Données projet'!$E$11+1,1))</f>
        <v>222.20580087523689</v>
      </c>
      <c r="BJ187" s="62">
        <f t="shared" si="146"/>
        <v>232.08940427392253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0.47405477279884001</v>
      </c>
      <c r="BQ187" s="23">
        <f>EXP(-LN(2)/25)*BQ186+(1-EXP(-LN(2)/25))/(LN(2)/25)*Calculateur!BL187*Calculateur!BN187*VLOOKUP('Données projet'!$B$11,Paramètres!$A$1:$I$89,3,0)*0.475*44/12</f>
        <v>0.22985414967631104</v>
      </c>
      <c r="BR187" s="23">
        <f>EXP(-LN(2)/2)*BR186+(1-EXP(-LN(2)/2))/(LN(2)/2)*BL187*BO187*VLOOKUP('Données projet'!$B$11,Paramètres!$A$1:$I$89,3,0)*0.475*44/12</f>
        <v>4.1954342230492463E-23</v>
      </c>
      <c r="BS187" s="24">
        <f t="shared" si="169"/>
        <v>0.70390892247515102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5.1159076974727213E-13</v>
      </c>
      <c r="BZ187" s="14">
        <f>BY187*VLOOKUP('Données projet'!$B$12,Paramètres!$A$1:$I$89,3,0)*VLOOKUP('Données projet'!$B$12,Paramètres!$A$1:$I$89,5,0)</f>
        <v>2.3942448024172334E-13</v>
      </c>
      <c r="CA187" s="14">
        <f t="shared" si="170"/>
        <v>3.2492669905861755E-12</v>
      </c>
      <c r="CB187" s="22">
        <f t="shared" si="171"/>
        <v>6.0761376450252565E-12</v>
      </c>
      <c r="CC187" s="62">
        <f t="shared" si="119"/>
        <v>293.3333333333394</v>
      </c>
      <c r="CD187" s="62">
        <f ca="1">AVERAGE(OFFSET($CC$3,0,0,'Données projet'!$E$12+1,1))-AVERAGE(OFFSET($H$3,0,0,'Données projet'!$E$12+1,1))</f>
        <v>179.14256291235466</v>
      </c>
      <c r="CE187" s="62">
        <f t="shared" si="148"/>
        <v>107.5256983607585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-2.8421709430404007E-13</v>
      </c>
      <c r="CU187" s="18">
        <f>CT187*VLOOKUP('Données projet'!$B$13,Paramètres!$A$1:$I$89,3,0)*VLOOKUP('Données projet'!$B$13,Paramètres!$A$1:$I$89,5,0)</f>
        <v>-1.69961822393816E-13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237.03649693529445</v>
      </c>
      <c r="CZ187" s="62">
        <f t="shared" si="150"/>
        <v>191.04289411674887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3.4826748122051638E-23</v>
      </c>
      <c r="DI187" s="24">
        <f t="shared" si="175"/>
        <v>3.4826748122051638E-23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1.3096723705530166E-13</v>
      </c>
      <c r="DQ187" s="14">
        <f t="shared" si="176"/>
        <v>1.9066764221344275E-12</v>
      </c>
      <c r="DR187" s="22">
        <f t="shared" si="177"/>
        <v>3.548896039755445E-12</v>
      </c>
      <c r="DS187" s="62">
        <f t="shared" si="125"/>
        <v>293.33333333333684</v>
      </c>
      <c r="DT187" s="62">
        <f ca="1">AVERAGE(OFFSET($DS$3,0,0,'Données projet'!$E$14+1,1))-AVERAGE(OFFSET($H$3,0,0,'Données projet'!$E$14+1,1))</f>
        <v>431.38469096974364</v>
      </c>
      <c r="DU187" s="62">
        <f t="shared" si="152"/>
        <v>295.48627059086647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1.3698444526280655E-2</v>
      </c>
      <c r="EC187" s="23">
        <f>EXP(-LN(2)/2)*EC186+(1-EXP(-LN(2)/2))/(LN(2)/2)*DW187*DZ187*VLOOKUP('Données projet'!$B$14,Paramètres!$A$1:$I$89,3,0)*0.475*44/12</f>
        <v>2.5400633443314978E-23</v>
      </c>
      <c r="ED187" s="24">
        <f t="shared" si="178"/>
        <v>1.3698444526280655E-2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6.4733285398688169E-14</v>
      </c>
      <c r="EL187" s="14">
        <f t="shared" si="179"/>
        <v>1.0229736701638572E-12</v>
      </c>
      <c r="EM187" s="22">
        <f t="shared" si="180"/>
        <v>1.8944229476047665E-12</v>
      </c>
      <c r="EN187" s="62">
        <f t="shared" si="128"/>
        <v>293.33333333333519</v>
      </c>
      <c r="EO187" s="62">
        <f ca="1">AVERAGE(OFFSET($EN$3,0,0,'Données projet'!$E$15+1,1))-AVERAGE(OFFSET($H$3,0,0,'Données projet'!$E$15+1,1))</f>
        <v>220.03635832253951</v>
      </c>
      <c r="EP187" s="62">
        <f t="shared" si="154"/>
        <v>136.30639155882233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490.00000000000091</v>
      </c>
      <c r="FF187" s="18">
        <f>FE187*VLOOKUP('Données projet'!$B$16,Paramètres!$A$1:$I$89,3,0)*VLOOKUP('Données projet'!$B$16,Paramètres!$A$1:$I$89,5,0)</f>
        <v>512.14800000000105</v>
      </c>
      <c r="FG187" s="14">
        <f t="shared" si="182"/>
        <v>114.17576021740676</v>
      </c>
      <c r="FH187" s="22">
        <f t="shared" si="183"/>
        <v>1090.8472157119852</v>
      </c>
      <c r="FI187" s="62">
        <f t="shared" si="131"/>
        <v>1384.1805490453185</v>
      </c>
      <c r="FJ187" s="62">
        <f ca="1">AVERAGE(OFFSET($FI$3,0,0,'Données projet'!$E$16+1,1))-AVERAGE(OFFSET($H$3,0,0,'Données projet'!$E$16+1,1))</f>
        <v>641.62708445664862</v>
      </c>
      <c r="FK187" s="62">
        <f t="shared" si="156"/>
        <v>379.46845863546929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1.4357099456850537E-22</v>
      </c>
      <c r="FT187" s="24">
        <f t="shared" si="184"/>
        <v>1.4357099456850537E-22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5.6843418860808015E-14</v>
      </c>
      <c r="GA187" s="18">
        <f>FZ187*VLOOKUP('Données projet'!$B$17,Paramètres!$A$1:$I$89,3,0)*VLOOKUP('Données projet'!$B$17,Paramètres!$A$1:$I$89,5,0)</f>
        <v>5.4978954722173515E-14</v>
      </c>
      <c r="GB187" s="14">
        <f t="shared" si="185"/>
        <v>8.8550225887742724E-13</v>
      </c>
      <c r="GC187" s="22">
        <f t="shared" si="186"/>
        <v>1.6380047803526383E-12</v>
      </c>
      <c r="GD187" s="62">
        <f t="shared" si="134"/>
        <v>293.33333333333496</v>
      </c>
      <c r="GE187" s="62">
        <f ca="1">AVERAGE(OFFSET($GD$3,0,0,'Données projet'!$E$17+1,1))-AVERAGE(OFFSET($H$3,0,0,'Données projet'!$E$17+1,1))</f>
        <v>181.39066880931728</v>
      </c>
      <c r="GF187" s="62">
        <f t="shared" si="158"/>
        <v>116.06078566855524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-1.7053025658242404E-13</v>
      </c>
      <c r="GV187" s="18">
        <f>GU187*VLOOKUP('Données projet'!$B$18,Paramètres!$A$1:$I$89,3,0)*VLOOKUP('Données projet'!$B$18,Paramètres!$A$1:$I$89,5,0)</f>
        <v>-1.4897523215040567E-13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152.84277478695606</v>
      </c>
      <c r="HA187" s="62">
        <f t="shared" si="160"/>
        <v>179.22995976651015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9">
        <f t="shared" si="110"/>
        <v>479.97006098930456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-9.7986685432260874E-13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383.26814640166805</v>
      </c>
      <c r="T188" s="62">
        <f t="shared" si="142"/>
        <v>233.71216103405249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6.1186256061773749E-14</v>
      </c>
      <c r="AK188" s="14">
        <f t="shared" si="164"/>
        <v>9.7328366192051127E-13</v>
      </c>
      <c r="AL188" s="22">
        <f t="shared" si="165"/>
        <v>1.8017017738191463E-12</v>
      </c>
      <c r="AM188" s="62">
        <f t="shared" si="113"/>
        <v>293.33333333333513</v>
      </c>
      <c r="AN188" s="62">
        <f ca="1">AVERAGE(OFFSET($AM$3,0,0,'Données projet'!$E$10+1,1))-AVERAGE(OFFSET($H$3,0,0,'Données projet'!$E$10+1,1))</f>
        <v>205.99910063756408</v>
      </c>
      <c r="AO188" s="62">
        <f t="shared" si="144"/>
        <v>128.95330275493671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293.3333333333353</v>
      </c>
      <c r="BI188" s="62">
        <f ca="1">AVERAGE(OFFSET($BH$3,0,0,'Données projet'!$E$11+1,1))-AVERAGE(OFFSET($H$3,0,0,'Données projet'!$E$11+1,1))</f>
        <v>222.20580087523689</v>
      </c>
      <c r="BJ188" s="62">
        <f t="shared" si="146"/>
        <v>232.08940427392253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0.46475884784911548</v>
      </c>
      <c r="BQ188" s="23">
        <f>EXP(-LN(2)/25)*BQ187+(1-EXP(-LN(2)/25))/(LN(2)/25)*Calculateur!BL188*Calculateur!BN188*VLOOKUP('Données projet'!$B$11,Paramètres!$A$1:$I$89,3,0)*0.475*44/12</f>
        <v>0.22356877586590793</v>
      </c>
      <c r="BR188" s="23">
        <f>EXP(-LN(2)/2)*BR187+(1-EXP(-LN(2)/2))/(LN(2)/2)*BL188*BO188*VLOOKUP('Données projet'!$B$11,Paramètres!$A$1:$I$89,3,0)*0.475*44/12</f>
        <v>2.9666199891402364E-23</v>
      </c>
      <c r="BS188" s="24">
        <f t="shared" si="169"/>
        <v>0.68832762371502343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5.1159076974727213E-13</v>
      </c>
      <c r="BZ188" s="14">
        <f>BY188*VLOOKUP('Données projet'!$B$12,Paramètres!$A$1:$I$89,3,0)*VLOOKUP('Données projet'!$B$12,Paramètres!$A$1:$I$89,5,0)</f>
        <v>2.3942448024172334E-13</v>
      </c>
      <c r="CA188" s="14">
        <f t="shared" si="170"/>
        <v>3.2492669905861755E-12</v>
      </c>
      <c r="CB188" s="22">
        <f t="shared" si="171"/>
        <v>6.0761376450252565E-12</v>
      </c>
      <c r="CC188" s="62">
        <f t="shared" si="119"/>
        <v>293.3333333333394</v>
      </c>
      <c r="CD188" s="62">
        <f ca="1">AVERAGE(OFFSET($CC$3,0,0,'Données projet'!$E$12+1,1))-AVERAGE(OFFSET($H$3,0,0,'Données projet'!$E$12+1,1))</f>
        <v>179.14256291235466</v>
      </c>
      <c r="CE188" s="62">
        <f t="shared" si="148"/>
        <v>107.5256983607585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-2.8421709430404007E-13</v>
      </c>
      <c r="CU188" s="18">
        <f>CT188*VLOOKUP('Données projet'!$B$13,Paramètres!$A$1:$I$89,3,0)*VLOOKUP('Données projet'!$B$13,Paramètres!$A$1:$I$89,5,0)</f>
        <v>-1.69961822393816E-13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237.03649693529445</v>
      </c>
      <c r="CZ188" s="62">
        <f t="shared" si="150"/>
        <v>191.04289411674887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2.4626229763778573E-23</v>
      </c>
      <c r="DI188" s="24">
        <f t="shared" si="175"/>
        <v>2.4626229763778573E-23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1.3096723705530166E-13</v>
      </c>
      <c r="DQ188" s="14">
        <f t="shared" si="176"/>
        <v>1.9066764221344275E-12</v>
      </c>
      <c r="DR188" s="22">
        <f t="shared" si="177"/>
        <v>3.548896039755445E-12</v>
      </c>
      <c r="DS188" s="62">
        <f t="shared" si="125"/>
        <v>293.33333333333684</v>
      </c>
      <c r="DT188" s="62">
        <f ca="1">AVERAGE(OFFSET($DS$3,0,0,'Données projet'!$E$14+1,1))-AVERAGE(OFFSET($H$3,0,0,'Données projet'!$E$14+1,1))</f>
        <v>431.38469096974364</v>
      </c>
      <c r="DU188" s="62">
        <f t="shared" si="152"/>
        <v>295.48627059086647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1.3323859840339621E-2</v>
      </c>
      <c r="EC188" s="23">
        <f>EXP(-LN(2)/2)*EC187+(1-EXP(-LN(2)/2))/(LN(2)/2)*DW188*DZ188*VLOOKUP('Données projet'!$B$14,Paramètres!$A$1:$I$89,3,0)*0.475*44/12</f>
        <v>1.7960960154201825E-23</v>
      </c>
      <c r="ED188" s="24">
        <f t="shared" si="178"/>
        <v>1.3323859840339621E-2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6.4733285398688169E-14</v>
      </c>
      <c r="EL188" s="14">
        <f t="shared" si="179"/>
        <v>1.0229736701638572E-12</v>
      </c>
      <c r="EM188" s="22">
        <f t="shared" si="180"/>
        <v>1.8944229476047665E-12</v>
      </c>
      <c r="EN188" s="62">
        <f t="shared" si="128"/>
        <v>293.33333333333519</v>
      </c>
      <c r="EO188" s="62">
        <f ca="1">AVERAGE(OFFSET($EN$3,0,0,'Données projet'!$E$15+1,1))-AVERAGE(OFFSET($H$3,0,0,'Données projet'!$E$15+1,1))</f>
        <v>220.03635832253951</v>
      </c>
      <c r="EP188" s="62">
        <f t="shared" si="154"/>
        <v>136.30639155882233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490.00000000000091</v>
      </c>
      <c r="FF188" s="18">
        <f>FE188*VLOOKUP('Données projet'!$B$16,Paramètres!$A$1:$I$89,3,0)*VLOOKUP('Données projet'!$B$16,Paramètres!$A$1:$I$89,5,0)</f>
        <v>512.14800000000105</v>
      </c>
      <c r="FG188" s="14">
        <f t="shared" si="182"/>
        <v>114.17576021740676</v>
      </c>
      <c r="FH188" s="22">
        <f t="shared" si="183"/>
        <v>1090.8472157119852</v>
      </c>
      <c r="FI188" s="62">
        <f t="shared" si="131"/>
        <v>1384.1805490453185</v>
      </c>
      <c r="FJ188" s="62">
        <f ca="1">AVERAGE(OFFSET($FI$3,0,0,'Données projet'!$E$16+1,1))-AVERAGE(OFFSET($H$3,0,0,'Données projet'!$E$16+1,1))</f>
        <v>641.62708445664862</v>
      </c>
      <c r="FK188" s="62">
        <f t="shared" si="156"/>
        <v>379.46845863546929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1.0152002384108713E-22</v>
      </c>
      <c r="FT188" s="24">
        <f t="shared" si="184"/>
        <v>1.0152002384108713E-22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5.6843418860808015E-14</v>
      </c>
      <c r="GA188" s="18">
        <f>FZ188*VLOOKUP('Données projet'!$B$17,Paramètres!$A$1:$I$89,3,0)*VLOOKUP('Données projet'!$B$17,Paramètres!$A$1:$I$89,5,0)</f>
        <v>5.4978954722173515E-14</v>
      </c>
      <c r="GB188" s="14">
        <f t="shared" si="185"/>
        <v>8.8550225887742724E-13</v>
      </c>
      <c r="GC188" s="22">
        <f t="shared" si="186"/>
        <v>1.6380047803526383E-12</v>
      </c>
      <c r="GD188" s="62">
        <f t="shared" si="134"/>
        <v>293.33333333333496</v>
      </c>
      <c r="GE188" s="62">
        <f ca="1">AVERAGE(OFFSET($GD$3,0,0,'Données projet'!$E$17+1,1))-AVERAGE(OFFSET($H$3,0,0,'Données projet'!$E$17+1,1))</f>
        <v>181.39066880931728</v>
      </c>
      <c r="GF188" s="62">
        <f t="shared" si="158"/>
        <v>116.06078566855524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-1.7053025658242404E-13</v>
      </c>
      <c r="GV188" s="18">
        <f>GU188*VLOOKUP('Données projet'!$B$18,Paramètres!$A$1:$I$89,3,0)*VLOOKUP('Données projet'!$B$18,Paramètres!$A$1:$I$89,5,0)</f>
        <v>-1.4897523215040567E-13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152.84277478695606</v>
      </c>
      <c r="HA188" s="62">
        <f t="shared" si="160"/>
        <v>179.22995976651015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9">
        <f t="shared" si="110"/>
        <v>481.1472258168813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-9.7986685432260874E-13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383.26814640166805</v>
      </c>
      <c r="T189" s="62">
        <f t="shared" si="142"/>
        <v>233.71216103405249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6.1186256061773749E-14</v>
      </c>
      <c r="AK189" s="14">
        <f t="shared" si="164"/>
        <v>9.7328366192051127E-13</v>
      </c>
      <c r="AL189" s="22">
        <f t="shared" si="165"/>
        <v>1.8017017738191463E-12</v>
      </c>
      <c r="AM189" s="62">
        <f t="shared" si="113"/>
        <v>293.33333333333513</v>
      </c>
      <c r="AN189" s="62">
        <f ca="1">AVERAGE(OFFSET($AM$3,0,0,'Données projet'!$E$10+1,1))-AVERAGE(OFFSET($H$3,0,0,'Données projet'!$E$10+1,1))</f>
        <v>205.99910063756408</v>
      </c>
      <c r="AO189" s="62">
        <f t="shared" si="144"/>
        <v>128.95330275493671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293.3333333333353</v>
      </c>
      <c r="BI189" s="62">
        <f ca="1">AVERAGE(OFFSET($BH$3,0,0,'Données projet'!$E$11+1,1))-AVERAGE(OFFSET($H$3,0,0,'Données projet'!$E$11+1,1))</f>
        <v>222.20580087523689</v>
      </c>
      <c r="BJ189" s="62">
        <f t="shared" si="146"/>
        <v>232.08940427392253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0.45564521031770067</v>
      </c>
      <c r="BQ189" s="23">
        <f>EXP(-LN(2)/25)*BQ188+(1-EXP(-LN(2)/25))/(LN(2)/25)*Calculateur!BL189*Calculateur!BN189*VLOOKUP('Données projet'!$B$11,Paramètres!$A$1:$I$89,3,0)*0.475*44/12</f>
        <v>0.21745527593288372</v>
      </c>
      <c r="BR189" s="23">
        <f>EXP(-LN(2)/2)*BR188+(1-EXP(-LN(2)/2))/(LN(2)/2)*BL189*BO189*VLOOKUP('Données projet'!$B$11,Paramètres!$A$1:$I$89,3,0)*0.475*44/12</f>
        <v>2.0977171115246231E-23</v>
      </c>
      <c r="BS189" s="24">
        <f t="shared" si="169"/>
        <v>0.67310048625058438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5.1159076974727213E-13</v>
      </c>
      <c r="BZ189" s="14">
        <f>BY189*VLOOKUP('Données projet'!$B$12,Paramètres!$A$1:$I$89,3,0)*VLOOKUP('Données projet'!$B$12,Paramètres!$A$1:$I$89,5,0)</f>
        <v>2.3942448024172334E-13</v>
      </c>
      <c r="CA189" s="14">
        <f t="shared" si="170"/>
        <v>3.2492669905861755E-12</v>
      </c>
      <c r="CB189" s="22">
        <f t="shared" si="171"/>
        <v>6.0761376450252565E-12</v>
      </c>
      <c r="CC189" s="62">
        <f t="shared" si="119"/>
        <v>293.3333333333394</v>
      </c>
      <c r="CD189" s="62">
        <f ca="1">AVERAGE(OFFSET($CC$3,0,0,'Données projet'!$E$12+1,1))-AVERAGE(OFFSET($H$3,0,0,'Données projet'!$E$12+1,1))</f>
        <v>179.14256291235466</v>
      </c>
      <c r="CE189" s="62">
        <f t="shared" si="148"/>
        <v>107.5256983607585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-2.8421709430404007E-13</v>
      </c>
      <c r="CU189" s="18">
        <f>CT189*VLOOKUP('Données projet'!$B$13,Paramètres!$A$1:$I$89,3,0)*VLOOKUP('Données projet'!$B$13,Paramètres!$A$1:$I$89,5,0)</f>
        <v>-1.69961822393816E-13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237.03649693529445</v>
      </c>
      <c r="CZ189" s="62">
        <f t="shared" si="150"/>
        <v>191.04289411674887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1.7413374061025819E-23</v>
      </c>
      <c r="DI189" s="24">
        <f t="shared" si="175"/>
        <v>1.7413374061025819E-23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1.3096723705530166E-13</v>
      </c>
      <c r="DQ189" s="14">
        <f t="shared" si="176"/>
        <v>1.9066764221344275E-12</v>
      </c>
      <c r="DR189" s="22">
        <f t="shared" si="177"/>
        <v>3.548896039755445E-12</v>
      </c>
      <c r="DS189" s="62">
        <f t="shared" si="125"/>
        <v>293.33333333333684</v>
      </c>
      <c r="DT189" s="62">
        <f ca="1">AVERAGE(OFFSET($DS$3,0,0,'Données projet'!$E$14+1,1))-AVERAGE(OFFSET($H$3,0,0,'Données projet'!$E$14+1,1))</f>
        <v>431.38469096974364</v>
      </c>
      <c r="DU189" s="62">
        <f t="shared" si="152"/>
        <v>295.48627059086647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1.2959518192334197E-2</v>
      </c>
      <c r="EC189" s="23">
        <f>EXP(-LN(2)/2)*EC188+(1-EXP(-LN(2)/2))/(LN(2)/2)*DW189*DZ189*VLOOKUP('Données projet'!$B$14,Paramètres!$A$1:$I$89,3,0)*0.475*44/12</f>
        <v>1.2700316721657489E-23</v>
      </c>
      <c r="ED189" s="24">
        <f t="shared" si="178"/>
        <v>1.2959518192334197E-2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6.4733285398688169E-14</v>
      </c>
      <c r="EL189" s="14">
        <f t="shared" si="179"/>
        <v>1.0229736701638572E-12</v>
      </c>
      <c r="EM189" s="22">
        <f t="shared" si="180"/>
        <v>1.8944229476047665E-12</v>
      </c>
      <c r="EN189" s="62">
        <f t="shared" si="128"/>
        <v>293.33333333333519</v>
      </c>
      <c r="EO189" s="62">
        <f ca="1">AVERAGE(OFFSET($EN$3,0,0,'Données projet'!$E$15+1,1))-AVERAGE(OFFSET($H$3,0,0,'Données projet'!$E$15+1,1))</f>
        <v>220.03635832253951</v>
      </c>
      <c r="EP189" s="62">
        <f t="shared" si="154"/>
        <v>136.30639155882233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490.00000000000091</v>
      </c>
      <c r="FF189" s="18">
        <f>FE189*VLOOKUP('Données projet'!$B$16,Paramètres!$A$1:$I$89,3,0)*VLOOKUP('Données projet'!$B$16,Paramètres!$A$1:$I$89,5,0)</f>
        <v>512.14800000000105</v>
      </c>
      <c r="FG189" s="14">
        <f t="shared" si="182"/>
        <v>114.17576021740676</v>
      </c>
      <c r="FH189" s="22">
        <f t="shared" si="183"/>
        <v>1090.8472157119852</v>
      </c>
      <c r="FI189" s="62">
        <f t="shared" si="131"/>
        <v>1384.1805490453185</v>
      </c>
      <c r="FJ189" s="62">
        <f ca="1">AVERAGE(OFFSET($FI$3,0,0,'Données projet'!$E$16+1,1))-AVERAGE(OFFSET($H$3,0,0,'Données projet'!$E$16+1,1))</f>
        <v>641.62708445664862</v>
      </c>
      <c r="FK189" s="62">
        <f t="shared" si="156"/>
        <v>379.46845863546929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7.1785497284252686E-23</v>
      </c>
      <c r="FT189" s="24">
        <f t="shared" si="184"/>
        <v>7.1785497284252686E-23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5.6843418860808015E-14</v>
      </c>
      <c r="GA189" s="18">
        <f>FZ189*VLOOKUP('Données projet'!$B$17,Paramètres!$A$1:$I$89,3,0)*VLOOKUP('Données projet'!$B$17,Paramètres!$A$1:$I$89,5,0)</f>
        <v>5.4978954722173515E-14</v>
      </c>
      <c r="GB189" s="14">
        <f t="shared" si="185"/>
        <v>8.8550225887742724E-13</v>
      </c>
      <c r="GC189" s="22">
        <f t="shared" si="186"/>
        <v>1.6380047803526383E-12</v>
      </c>
      <c r="GD189" s="62">
        <f t="shared" si="134"/>
        <v>293.33333333333496</v>
      </c>
      <c r="GE189" s="62">
        <f ca="1">AVERAGE(OFFSET($GD$3,0,0,'Données projet'!$E$17+1,1))-AVERAGE(OFFSET($H$3,0,0,'Données projet'!$E$17+1,1))</f>
        <v>181.39066880931728</v>
      </c>
      <c r="GF189" s="62">
        <f t="shared" si="158"/>
        <v>116.06078566855524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-1.7053025658242404E-13</v>
      </c>
      <c r="GV189" s="18">
        <f>GU189*VLOOKUP('Données projet'!$B$18,Paramètres!$A$1:$I$89,3,0)*VLOOKUP('Données projet'!$B$18,Paramètres!$A$1:$I$89,5,0)</f>
        <v>-1.4897523215040567E-13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152.84277478695606</v>
      </c>
      <c r="HA189" s="62">
        <f t="shared" si="160"/>
        <v>179.22995976651015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9">
        <f t="shared" si="110"/>
        <v>482.32424912132575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-9.7986685432260874E-13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383.26814640166805</v>
      </c>
      <c r="T190" s="62">
        <f t="shared" si="142"/>
        <v>233.71216103405249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6.1186256061773749E-14</v>
      </c>
      <c r="AK190" s="14">
        <f t="shared" si="164"/>
        <v>9.7328366192051127E-13</v>
      </c>
      <c r="AL190" s="22">
        <f t="shared" si="165"/>
        <v>1.8017017738191463E-12</v>
      </c>
      <c r="AM190" s="62">
        <f t="shared" si="113"/>
        <v>293.33333333333513</v>
      </c>
      <c r="AN190" s="62">
        <f ca="1">AVERAGE(OFFSET($AM$3,0,0,'Données projet'!$E$10+1,1))-AVERAGE(OFFSET($H$3,0,0,'Données projet'!$E$10+1,1))</f>
        <v>205.99910063756408</v>
      </c>
      <c r="AO190" s="62">
        <f t="shared" si="144"/>
        <v>128.95330275493671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293.3333333333353</v>
      </c>
      <c r="BI190" s="62">
        <f ca="1">AVERAGE(OFFSET($BH$3,0,0,'Données projet'!$E$11+1,1))-AVERAGE(OFFSET($H$3,0,0,'Données projet'!$E$11+1,1))</f>
        <v>222.20580087523689</v>
      </c>
      <c r="BJ190" s="62">
        <f t="shared" si="146"/>
        <v>232.08940427392253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0.44671028565950693</v>
      </c>
      <c r="BQ190" s="23">
        <f>EXP(-LN(2)/25)*BQ189+(1-EXP(-LN(2)/25))/(LN(2)/25)*Calculateur!BL190*Calculateur!BN190*VLOOKUP('Données projet'!$B$11,Paramètres!$A$1:$I$89,3,0)*0.475*44/12</f>
        <v>0.21150894997702305</v>
      </c>
      <c r="BR190" s="23">
        <f>EXP(-LN(2)/2)*BR189+(1-EXP(-LN(2)/2))/(LN(2)/2)*BL190*BO190*VLOOKUP('Données projet'!$B$11,Paramètres!$A$1:$I$89,3,0)*0.475*44/12</f>
        <v>1.4833099945701182E-23</v>
      </c>
      <c r="BS190" s="24">
        <f t="shared" si="169"/>
        <v>0.65821923563652995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5.1159076974727213E-13</v>
      </c>
      <c r="BZ190" s="14">
        <f>BY190*VLOOKUP('Données projet'!$B$12,Paramètres!$A$1:$I$89,3,0)*VLOOKUP('Données projet'!$B$12,Paramètres!$A$1:$I$89,5,0)</f>
        <v>2.3942448024172334E-13</v>
      </c>
      <c r="CA190" s="14">
        <f t="shared" si="170"/>
        <v>3.2492669905861755E-12</v>
      </c>
      <c r="CB190" s="22">
        <f t="shared" si="171"/>
        <v>6.0761376450252565E-12</v>
      </c>
      <c r="CC190" s="62">
        <f t="shared" si="119"/>
        <v>293.3333333333394</v>
      </c>
      <c r="CD190" s="62">
        <f ca="1">AVERAGE(OFFSET($CC$3,0,0,'Données projet'!$E$12+1,1))-AVERAGE(OFFSET($H$3,0,0,'Données projet'!$E$12+1,1))</f>
        <v>179.14256291235466</v>
      </c>
      <c r="CE190" s="62">
        <f t="shared" si="148"/>
        <v>107.5256983607585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-2.8421709430404007E-13</v>
      </c>
      <c r="CU190" s="18">
        <f>CT190*VLOOKUP('Données projet'!$B$13,Paramètres!$A$1:$I$89,3,0)*VLOOKUP('Données projet'!$B$13,Paramètres!$A$1:$I$89,5,0)</f>
        <v>-1.69961822393816E-13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237.03649693529445</v>
      </c>
      <c r="CZ190" s="62">
        <f t="shared" si="150"/>
        <v>191.04289411674887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1.2313114881889286E-23</v>
      </c>
      <c r="DI190" s="24">
        <f t="shared" si="175"/>
        <v>1.2313114881889286E-23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1.3096723705530166E-13</v>
      </c>
      <c r="DQ190" s="14">
        <f t="shared" si="176"/>
        <v>1.9066764221344275E-12</v>
      </c>
      <c r="DR190" s="22">
        <f t="shared" si="177"/>
        <v>3.548896039755445E-12</v>
      </c>
      <c r="DS190" s="62">
        <f t="shared" si="125"/>
        <v>293.33333333333684</v>
      </c>
      <c r="DT190" s="62">
        <f ca="1">AVERAGE(OFFSET($DS$3,0,0,'Données projet'!$E$14+1,1))-AVERAGE(OFFSET($H$3,0,0,'Données projet'!$E$14+1,1))</f>
        <v>431.38469096974364</v>
      </c>
      <c r="DU190" s="62">
        <f t="shared" si="152"/>
        <v>295.48627059086647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1.2605139485853376E-2</v>
      </c>
      <c r="EC190" s="23">
        <f>EXP(-LN(2)/2)*EC189+(1-EXP(-LN(2)/2))/(LN(2)/2)*DW190*DZ190*VLOOKUP('Données projet'!$B$14,Paramètres!$A$1:$I$89,3,0)*0.475*44/12</f>
        <v>8.9804800771009126E-24</v>
      </c>
      <c r="ED190" s="24">
        <f t="shared" si="178"/>
        <v>1.2605139485853376E-2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6.4733285398688169E-14</v>
      </c>
      <c r="EL190" s="14">
        <f t="shared" si="179"/>
        <v>1.0229736701638572E-12</v>
      </c>
      <c r="EM190" s="22">
        <f t="shared" si="180"/>
        <v>1.8944229476047665E-12</v>
      </c>
      <c r="EN190" s="62">
        <f t="shared" si="128"/>
        <v>293.33333333333519</v>
      </c>
      <c r="EO190" s="62">
        <f ca="1">AVERAGE(OFFSET($EN$3,0,0,'Données projet'!$E$15+1,1))-AVERAGE(OFFSET($H$3,0,0,'Données projet'!$E$15+1,1))</f>
        <v>220.03635832253951</v>
      </c>
      <c r="EP190" s="62">
        <f t="shared" si="154"/>
        <v>136.30639155882233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490.00000000000091</v>
      </c>
      <c r="FF190" s="18">
        <f>FE190*VLOOKUP('Données projet'!$B$16,Paramètres!$A$1:$I$89,3,0)*VLOOKUP('Données projet'!$B$16,Paramètres!$A$1:$I$89,5,0)</f>
        <v>512.14800000000105</v>
      </c>
      <c r="FG190" s="14">
        <f t="shared" si="182"/>
        <v>114.17576021740676</v>
      </c>
      <c r="FH190" s="22">
        <f t="shared" si="183"/>
        <v>1090.8472157119852</v>
      </c>
      <c r="FI190" s="62">
        <f t="shared" si="131"/>
        <v>1384.1805490453185</v>
      </c>
      <c r="FJ190" s="62">
        <f ca="1">AVERAGE(OFFSET($FI$3,0,0,'Données projet'!$E$16+1,1))-AVERAGE(OFFSET($H$3,0,0,'Données projet'!$E$16+1,1))</f>
        <v>641.62708445664862</v>
      </c>
      <c r="FK190" s="62">
        <f t="shared" si="156"/>
        <v>379.46845863546929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5.0760011920543566E-23</v>
      </c>
      <c r="FT190" s="24">
        <f t="shared" si="184"/>
        <v>5.0760011920543566E-23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5.6843418860808015E-14</v>
      </c>
      <c r="GA190" s="18">
        <f>FZ190*VLOOKUP('Données projet'!$B$17,Paramètres!$A$1:$I$89,3,0)*VLOOKUP('Données projet'!$B$17,Paramètres!$A$1:$I$89,5,0)</f>
        <v>5.4978954722173515E-14</v>
      </c>
      <c r="GB190" s="14">
        <f t="shared" si="185"/>
        <v>8.8550225887742724E-13</v>
      </c>
      <c r="GC190" s="22">
        <f t="shared" si="186"/>
        <v>1.6380047803526383E-12</v>
      </c>
      <c r="GD190" s="62">
        <f t="shared" si="134"/>
        <v>293.33333333333496</v>
      </c>
      <c r="GE190" s="62">
        <f ca="1">AVERAGE(OFFSET($GD$3,0,0,'Données projet'!$E$17+1,1))-AVERAGE(OFFSET($H$3,0,0,'Données projet'!$E$17+1,1))</f>
        <v>181.39066880931728</v>
      </c>
      <c r="GF190" s="62">
        <f t="shared" si="158"/>
        <v>116.06078566855524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-1.7053025658242404E-13</v>
      </c>
      <c r="GV190" s="18">
        <f>GU190*VLOOKUP('Données projet'!$B$18,Paramètres!$A$1:$I$89,3,0)*VLOOKUP('Données projet'!$B$18,Paramètres!$A$1:$I$89,5,0)</f>
        <v>-1.4897523215040567E-13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152.84277478695606</v>
      </c>
      <c r="HA190" s="62">
        <f t="shared" si="160"/>
        <v>179.22995976651015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9">
        <f t="shared" si="110"/>
        <v>483.50113174728358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-9.7986685432260874E-13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383.26814640166805</v>
      </c>
      <c r="T191" s="62">
        <f t="shared" si="142"/>
        <v>233.71216103405249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6.1186256061773749E-14</v>
      </c>
      <c r="AK191" s="14">
        <f t="shared" si="164"/>
        <v>9.7328366192051127E-13</v>
      </c>
      <c r="AL191" s="22">
        <f t="shared" si="165"/>
        <v>1.8017017738191463E-12</v>
      </c>
      <c r="AM191" s="62">
        <f t="shared" si="113"/>
        <v>293.33333333333513</v>
      </c>
      <c r="AN191" s="62">
        <f ca="1">AVERAGE(OFFSET($AM$3,0,0,'Données projet'!$E$10+1,1))-AVERAGE(OFFSET($H$3,0,0,'Données projet'!$E$10+1,1))</f>
        <v>205.99910063756408</v>
      </c>
      <c r="AO191" s="62">
        <f t="shared" si="144"/>
        <v>128.95330275493671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293.3333333333353</v>
      </c>
      <c r="BI191" s="62">
        <f ca="1">AVERAGE(OFFSET($BH$3,0,0,'Données projet'!$E$11+1,1))-AVERAGE(OFFSET($H$3,0,0,'Données projet'!$E$11+1,1))</f>
        <v>222.20580087523689</v>
      </c>
      <c r="BJ191" s="62">
        <f t="shared" si="146"/>
        <v>232.08940427392253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0.43795056942409444</v>
      </c>
      <c r="BQ191" s="23">
        <f>EXP(-LN(2)/25)*BQ190+(1-EXP(-LN(2)/25))/(LN(2)/25)*Calculateur!BL191*Calculateur!BN191*VLOOKUP('Données projet'!$B$11,Paramètres!$A$1:$I$89,3,0)*0.475*44/12</f>
        <v>0.20572522661712908</v>
      </c>
      <c r="BR191" s="23">
        <f>EXP(-LN(2)/2)*BR190+(1-EXP(-LN(2)/2))/(LN(2)/2)*BL191*BO191*VLOOKUP('Données projet'!$B$11,Paramètres!$A$1:$I$89,3,0)*0.475*44/12</f>
        <v>1.0488585557623116E-23</v>
      </c>
      <c r="BS191" s="24">
        <f t="shared" si="169"/>
        <v>0.64367579604122349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5.1159076974727213E-13</v>
      </c>
      <c r="BZ191" s="14">
        <f>BY191*VLOOKUP('Données projet'!$B$12,Paramètres!$A$1:$I$89,3,0)*VLOOKUP('Données projet'!$B$12,Paramètres!$A$1:$I$89,5,0)</f>
        <v>2.3942448024172334E-13</v>
      </c>
      <c r="CA191" s="14">
        <f t="shared" si="170"/>
        <v>3.2492669905861755E-12</v>
      </c>
      <c r="CB191" s="22">
        <f t="shared" si="171"/>
        <v>6.0761376450252565E-12</v>
      </c>
      <c r="CC191" s="62">
        <f t="shared" si="119"/>
        <v>293.3333333333394</v>
      </c>
      <c r="CD191" s="62">
        <f ca="1">AVERAGE(OFFSET($CC$3,0,0,'Données projet'!$E$12+1,1))-AVERAGE(OFFSET($H$3,0,0,'Données projet'!$E$12+1,1))</f>
        <v>179.14256291235466</v>
      </c>
      <c r="CE191" s="62">
        <f t="shared" si="148"/>
        <v>107.5256983607585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-2.8421709430404007E-13</v>
      </c>
      <c r="CU191" s="18">
        <f>CT191*VLOOKUP('Données projet'!$B$13,Paramètres!$A$1:$I$89,3,0)*VLOOKUP('Données projet'!$B$13,Paramètres!$A$1:$I$89,5,0)</f>
        <v>-1.69961822393816E-13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237.03649693529445</v>
      </c>
      <c r="CZ191" s="62">
        <f t="shared" si="150"/>
        <v>191.04289411674887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8.7066870305129095E-24</v>
      </c>
      <c r="DI191" s="24">
        <f t="shared" si="175"/>
        <v>8.7066870305129095E-24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1.3096723705530166E-13</v>
      </c>
      <c r="DQ191" s="14">
        <f t="shared" si="176"/>
        <v>1.9066764221344275E-12</v>
      </c>
      <c r="DR191" s="22">
        <f t="shared" si="177"/>
        <v>3.548896039755445E-12</v>
      </c>
      <c r="DS191" s="62">
        <f t="shared" si="125"/>
        <v>293.33333333333684</v>
      </c>
      <c r="DT191" s="62">
        <f ca="1">AVERAGE(OFFSET($DS$3,0,0,'Données projet'!$E$14+1,1))-AVERAGE(OFFSET($H$3,0,0,'Données projet'!$E$14+1,1))</f>
        <v>431.38469096974364</v>
      </c>
      <c r="DU191" s="62">
        <f t="shared" si="152"/>
        <v>295.48627059086647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1.2260451283737239E-2</v>
      </c>
      <c r="EC191" s="23">
        <f>EXP(-LN(2)/2)*EC190+(1-EXP(-LN(2)/2))/(LN(2)/2)*DW191*DZ191*VLOOKUP('Données projet'!$B$14,Paramètres!$A$1:$I$89,3,0)*0.475*44/12</f>
        <v>6.3501583608287446E-24</v>
      </c>
      <c r="ED191" s="24">
        <f t="shared" si="178"/>
        <v>1.2260451283737239E-2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6.4733285398688169E-14</v>
      </c>
      <c r="EL191" s="14">
        <f t="shared" si="179"/>
        <v>1.0229736701638572E-12</v>
      </c>
      <c r="EM191" s="22">
        <f t="shared" si="180"/>
        <v>1.8944229476047665E-12</v>
      </c>
      <c r="EN191" s="62">
        <f t="shared" si="128"/>
        <v>293.33333333333519</v>
      </c>
      <c r="EO191" s="62">
        <f ca="1">AVERAGE(OFFSET($EN$3,0,0,'Données projet'!$E$15+1,1))-AVERAGE(OFFSET($H$3,0,0,'Données projet'!$E$15+1,1))</f>
        <v>220.03635832253951</v>
      </c>
      <c r="EP191" s="62">
        <f t="shared" si="154"/>
        <v>136.30639155882233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490.00000000000091</v>
      </c>
      <c r="FF191" s="18">
        <f>FE191*VLOOKUP('Données projet'!$B$16,Paramètres!$A$1:$I$89,3,0)*VLOOKUP('Données projet'!$B$16,Paramètres!$A$1:$I$89,5,0)</f>
        <v>512.14800000000105</v>
      </c>
      <c r="FG191" s="14">
        <f t="shared" si="182"/>
        <v>114.17576021740676</v>
      </c>
      <c r="FH191" s="22">
        <f t="shared" si="183"/>
        <v>1090.8472157119852</v>
      </c>
      <c r="FI191" s="62">
        <f t="shared" si="131"/>
        <v>1384.1805490453185</v>
      </c>
      <c r="FJ191" s="62">
        <f ca="1">AVERAGE(OFFSET($FI$3,0,0,'Données projet'!$E$16+1,1))-AVERAGE(OFFSET($H$3,0,0,'Données projet'!$E$16+1,1))</f>
        <v>641.62708445664862</v>
      </c>
      <c r="FK191" s="62">
        <f t="shared" si="156"/>
        <v>379.46845863546929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3.5892748642126343E-23</v>
      </c>
      <c r="FT191" s="24">
        <f t="shared" si="184"/>
        <v>3.5892748642126343E-23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5.6843418860808015E-14</v>
      </c>
      <c r="GA191" s="18">
        <f>FZ191*VLOOKUP('Données projet'!$B$17,Paramètres!$A$1:$I$89,3,0)*VLOOKUP('Données projet'!$B$17,Paramètres!$A$1:$I$89,5,0)</f>
        <v>5.4978954722173515E-14</v>
      </c>
      <c r="GB191" s="14">
        <f t="shared" si="185"/>
        <v>8.8550225887742724E-13</v>
      </c>
      <c r="GC191" s="22">
        <f t="shared" si="186"/>
        <v>1.6380047803526383E-12</v>
      </c>
      <c r="GD191" s="62">
        <f t="shared" si="134"/>
        <v>293.33333333333496</v>
      </c>
      <c r="GE191" s="62">
        <f ca="1">AVERAGE(OFFSET($GD$3,0,0,'Données projet'!$E$17+1,1))-AVERAGE(OFFSET($H$3,0,0,'Données projet'!$E$17+1,1))</f>
        <v>181.39066880931728</v>
      </c>
      <c r="GF191" s="62">
        <f t="shared" si="158"/>
        <v>116.06078566855524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-1.7053025658242404E-13</v>
      </c>
      <c r="GV191" s="18">
        <f>GU191*VLOOKUP('Données projet'!$B$18,Paramètres!$A$1:$I$89,3,0)*VLOOKUP('Données projet'!$B$18,Paramètres!$A$1:$I$89,5,0)</f>
        <v>-1.4897523215040567E-13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152.84277478695606</v>
      </c>
      <c r="HA191" s="62">
        <f t="shared" si="160"/>
        <v>179.22995976651015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9">
        <f t="shared" si="110"/>
        <v>484.67787452989506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-9.7986685432260874E-13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383.26814640166805</v>
      </c>
      <c r="T192" s="62">
        <f t="shared" si="142"/>
        <v>233.71216103405249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6.1186256061773749E-14</v>
      </c>
      <c r="AK192" s="14">
        <f t="shared" si="164"/>
        <v>9.7328366192051127E-13</v>
      </c>
      <c r="AL192" s="22">
        <f t="shared" si="165"/>
        <v>1.8017017738191463E-12</v>
      </c>
      <c r="AM192" s="62">
        <f t="shared" si="113"/>
        <v>293.33333333333513</v>
      </c>
      <c r="AN192" s="62">
        <f ca="1">AVERAGE(OFFSET($AM$3,0,0,'Données projet'!$E$10+1,1))-AVERAGE(OFFSET($H$3,0,0,'Données projet'!$E$10+1,1))</f>
        <v>205.99910063756408</v>
      </c>
      <c r="AO192" s="62">
        <f t="shared" si="144"/>
        <v>128.95330275493671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293.3333333333353</v>
      </c>
      <c r="BI192" s="62">
        <f ca="1">AVERAGE(OFFSET($BH$3,0,0,'Données projet'!$E$11+1,1))-AVERAGE(OFFSET($H$3,0,0,'Données projet'!$E$11+1,1))</f>
        <v>222.20580087523689</v>
      </c>
      <c r="BJ192" s="62">
        <f t="shared" si="146"/>
        <v>232.08940427392253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0.42936262588115903</v>
      </c>
      <c r="BQ192" s="23">
        <f>EXP(-LN(2)/25)*BQ191+(1-EXP(-LN(2)/25))/(LN(2)/25)*Calculateur!BL192*Calculateur!BN192*VLOOKUP('Données projet'!$B$11,Paramètres!$A$1:$I$89,3,0)*0.475*44/12</f>
        <v>0.20009965947666422</v>
      </c>
      <c r="BR192" s="23">
        <f>EXP(-LN(2)/2)*BR191+(1-EXP(-LN(2)/2))/(LN(2)/2)*BL192*BO192*VLOOKUP('Données projet'!$B$11,Paramètres!$A$1:$I$89,3,0)*0.475*44/12</f>
        <v>7.416549972850591E-24</v>
      </c>
      <c r="BS192" s="24">
        <f t="shared" si="169"/>
        <v>0.62946228535782323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5.1159076974727213E-13</v>
      </c>
      <c r="BZ192" s="14">
        <f>BY192*VLOOKUP('Données projet'!$B$12,Paramètres!$A$1:$I$89,3,0)*VLOOKUP('Données projet'!$B$12,Paramètres!$A$1:$I$89,5,0)</f>
        <v>2.3942448024172334E-13</v>
      </c>
      <c r="CA192" s="14">
        <f t="shared" si="170"/>
        <v>3.2492669905861755E-12</v>
      </c>
      <c r="CB192" s="22">
        <f t="shared" si="171"/>
        <v>6.0761376450252565E-12</v>
      </c>
      <c r="CC192" s="62">
        <f t="shared" si="119"/>
        <v>293.3333333333394</v>
      </c>
      <c r="CD192" s="62">
        <f ca="1">AVERAGE(OFFSET($CC$3,0,0,'Données projet'!$E$12+1,1))-AVERAGE(OFFSET($H$3,0,0,'Données projet'!$E$12+1,1))</f>
        <v>179.14256291235466</v>
      </c>
      <c r="CE192" s="62">
        <f t="shared" si="148"/>
        <v>107.5256983607585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-2.8421709430404007E-13</v>
      </c>
      <c r="CU192" s="18">
        <f>CT192*VLOOKUP('Données projet'!$B$13,Paramètres!$A$1:$I$89,3,0)*VLOOKUP('Données projet'!$B$13,Paramètres!$A$1:$I$89,5,0)</f>
        <v>-1.69961822393816E-13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237.03649693529445</v>
      </c>
      <c r="CZ192" s="62">
        <f t="shared" si="150"/>
        <v>191.04289411674887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6.1565574409446432E-24</v>
      </c>
      <c r="DI192" s="24">
        <f t="shared" si="175"/>
        <v>6.1565574409446432E-24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1.3096723705530166E-13</v>
      </c>
      <c r="DQ192" s="14">
        <f t="shared" si="176"/>
        <v>1.9066764221344275E-12</v>
      </c>
      <c r="DR192" s="22">
        <f t="shared" si="177"/>
        <v>3.548896039755445E-12</v>
      </c>
      <c r="DS192" s="62">
        <f t="shared" si="125"/>
        <v>293.33333333333684</v>
      </c>
      <c r="DT192" s="62">
        <f ca="1">AVERAGE(OFFSET($DS$3,0,0,'Données projet'!$E$14+1,1))-AVERAGE(OFFSET($H$3,0,0,'Données projet'!$E$14+1,1))</f>
        <v>431.38469096974364</v>
      </c>
      <c r="DU192" s="62">
        <f t="shared" si="152"/>
        <v>295.48627059086647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1.1925188598634333E-2</v>
      </c>
      <c r="EC192" s="23">
        <f>EXP(-LN(2)/2)*EC191+(1-EXP(-LN(2)/2))/(LN(2)/2)*DW192*DZ192*VLOOKUP('Données projet'!$B$14,Paramètres!$A$1:$I$89,3,0)*0.475*44/12</f>
        <v>4.4902400385504563E-24</v>
      </c>
      <c r="ED192" s="24">
        <f t="shared" si="178"/>
        <v>1.1925188598634333E-2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6.4733285398688169E-14</v>
      </c>
      <c r="EL192" s="14">
        <f t="shared" si="179"/>
        <v>1.0229736701638572E-12</v>
      </c>
      <c r="EM192" s="22">
        <f t="shared" si="180"/>
        <v>1.8944229476047665E-12</v>
      </c>
      <c r="EN192" s="62">
        <f t="shared" si="128"/>
        <v>293.33333333333519</v>
      </c>
      <c r="EO192" s="62">
        <f ca="1">AVERAGE(OFFSET($EN$3,0,0,'Données projet'!$E$15+1,1))-AVERAGE(OFFSET($H$3,0,0,'Données projet'!$E$15+1,1))</f>
        <v>220.03635832253951</v>
      </c>
      <c r="EP192" s="62">
        <f t="shared" si="154"/>
        <v>136.30639155882233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490.00000000000091</v>
      </c>
      <c r="FF192" s="18">
        <f>FE192*VLOOKUP('Données projet'!$B$16,Paramètres!$A$1:$I$89,3,0)*VLOOKUP('Données projet'!$B$16,Paramètres!$A$1:$I$89,5,0)</f>
        <v>512.14800000000105</v>
      </c>
      <c r="FG192" s="14">
        <f t="shared" si="182"/>
        <v>114.17576021740676</v>
      </c>
      <c r="FH192" s="22">
        <f t="shared" si="183"/>
        <v>1090.8472157119852</v>
      </c>
      <c r="FI192" s="62">
        <f t="shared" si="131"/>
        <v>1384.1805490453185</v>
      </c>
      <c r="FJ192" s="62">
        <f ca="1">AVERAGE(OFFSET($FI$3,0,0,'Données projet'!$E$16+1,1))-AVERAGE(OFFSET($H$3,0,0,'Données projet'!$E$16+1,1))</f>
        <v>641.62708445664862</v>
      </c>
      <c r="FK192" s="62">
        <f t="shared" si="156"/>
        <v>379.46845863546929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2.5380005960271783E-23</v>
      </c>
      <c r="FT192" s="24">
        <f t="shared" si="184"/>
        <v>2.5380005960271783E-23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5.6843418860808015E-14</v>
      </c>
      <c r="GA192" s="18">
        <f>FZ192*VLOOKUP('Données projet'!$B$17,Paramètres!$A$1:$I$89,3,0)*VLOOKUP('Données projet'!$B$17,Paramètres!$A$1:$I$89,5,0)</f>
        <v>5.4978954722173515E-14</v>
      </c>
      <c r="GB192" s="14">
        <f t="shared" si="185"/>
        <v>8.8550225887742724E-13</v>
      </c>
      <c r="GC192" s="22">
        <f t="shared" si="186"/>
        <v>1.6380047803526383E-12</v>
      </c>
      <c r="GD192" s="62">
        <f t="shared" si="134"/>
        <v>293.33333333333496</v>
      </c>
      <c r="GE192" s="62">
        <f ca="1">AVERAGE(OFFSET($GD$3,0,0,'Données projet'!$E$17+1,1))-AVERAGE(OFFSET($H$3,0,0,'Données projet'!$E$17+1,1))</f>
        <v>181.39066880931728</v>
      </c>
      <c r="GF192" s="62">
        <f t="shared" si="158"/>
        <v>116.06078566855524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-1.7053025658242404E-13</v>
      </c>
      <c r="GV192" s="18">
        <f>GU192*VLOOKUP('Données projet'!$B$18,Paramètres!$A$1:$I$89,3,0)*VLOOKUP('Données projet'!$B$18,Paramètres!$A$1:$I$89,5,0)</f>
        <v>-1.4897523215040567E-13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152.84277478695606</v>
      </c>
      <c r="HA192" s="62">
        <f t="shared" si="160"/>
        <v>179.22995976651015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9">
        <f t="shared" si="110"/>
        <v>485.85447829495109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-9.7986685432260874E-13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383.26814640166805</v>
      </c>
      <c r="T193" s="62">
        <f t="shared" si="142"/>
        <v>233.71216103405249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6.1186256061773749E-14</v>
      </c>
      <c r="AK193" s="14">
        <f t="shared" si="164"/>
        <v>9.7328366192051127E-13</v>
      </c>
      <c r="AL193" s="22">
        <f t="shared" si="165"/>
        <v>1.8017017738191463E-12</v>
      </c>
      <c r="AM193" s="62">
        <f t="shared" si="113"/>
        <v>293.33333333333513</v>
      </c>
      <c r="AN193" s="62">
        <f ca="1">AVERAGE(OFFSET($AM$3,0,0,'Données projet'!$E$10+1,1))-AVERAGE(OFFSET($H$3,0,0,'Données projet'!$E$10+1,1))</f>
        <v>205.99910063756408</v>
      </c>
      <c r="AO193" s="62">
        <f t="shared" si="144"/>
        <v>128.95330275493671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293.3333333333353</v>
      </c>
      <c r="BI193" s="62">
        <f ca="1">AVERAGE(OFFSET($BH$3,0,0,'Données projet'!$E$11+1,1))-AVERAGE(OFFSET($H$3,0,0,'Données projet'!$E$11+1,1))</f>
        <v>222.20580087523689</v>
      </c>
      <c r="BJ193" s="62">
        <f t="shared" si="146"/>
        <v>232.08940427392253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0.42094308667297226</v>
      </c>
      <c r="BQ193" s="23">
        <f>EXP(-LN(2)/25)*BQ192+(1-EXP(-LN(2)/25))/(LN(2)/25)*Calculateur!BL193*Calculateur!BN193*VLOOKUP('Données projet'!$B$11,Paramètres!$A$1:$I$89,3,0)*0.475*44/12</f>
        <v>0.19462792376549107</v>
      </c>
      <c r="BR193" s="23">
        <f>EXP(-LN(2)/2)*BR192+(1-EXP(-LN(2)/2))/(LN(2)/2)*BL193*BO193*VLOOKUP('Données projet'!$B$11,Paramètres!$A$1:$I$89,3,0)*0.475*44/12</f>
        <v>5.2442927788115578E-24</v>
      </c>
      <c r="BS193" s="24">
        <f t="shared" si="169"/>
        <v>0.6155710104384633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5.1159076974727213E-13</v>
      </c>
      <c r="BZ193" s="14">
        <f>BY193*VLOOKUP('Données projet'!$B$12,Paramètres!$A$1:$I$89,3,0)*VLOOKUP('Données projet'!$B$12,Paramètres!$A$1:$I$89,5,0)</f>
        <v>2.3942448024172334E-13</v>
      </c>
      <c r="CA193" s="14">
        <f t="shared" si="170"/>
        <v>3.2492669905861755E-12</v>
      </c>
      <c r="CB193" s="22">
        <f t="shared" si="171"/>
        <v>6.0761376450252565E-12</v>
      </c>
      <c r="CC193" s="62">
        <f t="shared" si="119"/>
        <v>293.3333333333394</v>
      </c>
      <c r="CD193" s="62">
        <f ca="1">AVERAGE(OFFSET($CC$3,0,0,'Données projet'!$E$12+1,1))-AVERAGE(OFFSET($H$3,0,0,'Données projet'!$E$12+1,1))</f>
        <v>179.14256291235466</v>
      </c>
      <c r="CE193" s="62">
        <f t="shared" si="148"/>
        <v>107.5256983607585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-2.8421709430404007E-13</v>
      </c>
      <c r="CU193" s="18">
        <f>CT193*VLOOKUP('Données projet'!$B$13,Paramètres!$A$1:$I$89,3,0)*VLOOKUP('Données projet'!$B$13,Paramètres!$A$1:$I$89,5,0)</f>
        <v>-1.69961822393816E-13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237.03649693529445</v>
      </c>
      <c r="CZ193" s="62">
        <f t="shared" si="150"/>
        <v>191.04289411674887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4.3533435152564547E-24</v>
      </c>
      <c r="DI193" s="24">
        <f t="shared" si="175"/>
        <v>4.3533435152564547E-24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1.3096723705530166E-13</v>
      </c>
      <c r="DQ193" s="14">
        <f t="shared" si="176"/>
        <v>1.9066764221344275E-12</v>
      </c>
      <c r="DR193" s="22">
        <f t="shared" si="177"/>
        <v>3.548896039755445E-12</v>
      </c>
      <c r="DS193" s="62">
        <f t="shared" si="125"/>
        <v>293.33333333333684</v>
      </c>
      <c r="DT193" s="62">
        <f ca="1">AVERAGE(OFFSET($DS$3,0,0,'Données projet'!$E$14+1,1))-AVERAGE(OFFSET($H$3,0,0,'Données projet'!$E$14+1,1))</f>
        <v>431.38469096974364</v>
      </c>
      <c r="DU193" s="62">
        <f t="shared" si="152"/>
        <v>295.48627059086647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1.1599093689286265E-2</v>
      </c>
      <c r="EC193" s="23">
        <f>EXP(-LN(2)/2)*EC192+(1-EXP(-LN(2)/2))/(LN(2)/2)*DW193*DZ193*VLOOKUP('Données projet'!$B$14,Paramètres!$A$1:$I$89,3,0)*0.475*44/12</f>
        <v>3.1750791804143723E-24</v>
      </c>
      <c r="ED193" s="24">
        <f t="shared" si="178"/>
        <v>1.1599093689286265E-2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6.4733285398688169E-14</v>
      </c>
      <c r="EL193" s="14">
        <f t="shared" si="179"/>
        <v>1.0229736701638572E-12</v>
      </c>
      <c r="EM193" s="22">
        <f t="shared" si="180"/>
        <v>1.8944229476047665E-12</v>
      </c>
      <c r="EN193" s="62">
        <f t="shared" si="128"/>
        <v>293.33333333333519</v>
      </c>
      <c r="EO193" s="62">
        <f ca="1">AVERAGE(OFFSET($EN$3,0,0,'Données projet'!$E$15+1,1))-AVERAGE(OFFSET($H$3,0,0,'Données projet'!$E$15+1,1))</f>
        <v>220.03635832253951</v>
      </c>
      <c r="EP193" s="62">
        <f t="shared" si="154"/>
        <v>136.30639155882233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490.00000000000091</v>
      </c>
      <c r="FF193" s="18">
        <f>FE193*VLOOKUP('Données projet'!$B$16,Paramètres!$A$1:$I$89,3,0)*VLOOKUP('Données projet'!$B$16,Paramètres!$A$1:$I$89,5,0)</f>
        <v>512.14800000000105</v>
      </c>
      <c r="FG193" s="14">
        <f t="shared" si="182"/>
        <v>114.17576021740676</v>
      </c>
      <c r="FH193" s="22">
        <f t="shared" si="183"/>
        <v>1090.8472157119852</v>
      </c>
      <c r="FI193" s="62">
        <f t="shared" si="131"/>
        <v>1384.1805490453185</v>
      </c>
      <c r="FJ193" s="62">
        <f ca="1">AVERAGE(OFFSET($FI$3,0,0,'Données projet'!$E$16+1,1))-AVERAGE(OFFSET($H$3,0,0,'Données projet'!$E$16+1,1))</f>
        <v>641.62708445664862</v>
      </c>
      <c r="FK193" s="62">
        <f t="shared" si="156"/>
        <v>379.46845863546929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1.7946374321063171E-23</v>
      </c>
      <c r="FT193" s="24">
        <f t="shared" si="184"/>
        <v>1.7946374321063171E-23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5.6843418860808015E-14</v>
      </c>
      <c r="GA193" s="18">
        <f>FZ193*VLOOKUP('Données projet'!$B$17,Paramètres!$A$1:$I$89,3,0)*VLOOKUP('Données projet'!$B$17,Paramètres!$A$1:$I$89,5,0)</f>
        <v>5.4978954722173515E-14</v>
      </c>
      <c r="GB193" s="14">
        <f t="shared" si="185"/>
        <v>8.8550225887742724E-13</v>
      </c>
      <c r="GC193" s="22">
        <f t="shared" si="186"/>
        <v>1.6380047803526383E-12</v>
      </c>
      <c r="GD193" s="62">
        <f t="shared" si="134"/>
        <v>293.33333333333496</v>
      </c>
      <c r="GE193" s="62">
        <f ca="1">AVERAGE(OFFSET($GD$3,0,0,'Données projet'!$E$17+1,1))-AVERAGE(OFFSET($H$3,0,0,'Données projet'!$E$17+1,1))</f>
        <v>181.39066880931728</v>
      </c>
      <c r="GF193" s="62">
        <f t="shared" si="158"/>
        <v>116.06078566855524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-1.7053025658242404E-13</v>
      </c>
      <c r="GV193" s="18">
        <f>GU193*VLOOKUP('Données projet'!$B$18,Paramètres!$A$1:$I$89,3,0)*VLOOKUP('Données projet'!$B$18,Paramètres!$A$1:$I$89,5,0)</f>
        <v>-1.4897523215040567E-13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152.84277478695606</v>
      </c>
      <c r="HA193" s="62">
        <f t="shared" si="160"/>
        <v>179.22995976651015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9">
        <f t="shared" si="110"/>
        <v>487.03094385904706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-9.7986685432260874E-13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383.26814640166805</v>
      </c>
      <c r="T194" s="62">
        <f t="shared" si="142"/>
        <v>233.71216103405249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6.1186256061773749E-14</v>
      </c>
      <c r="AK194" s="14">
        <f t="shared" si="164"/>
        <v>9.7328366192051127E-13</v>
      </c>
      <c r="AL194" s="22">
        <f t="shared" si="165"/>
        <v>1.8017017738191463E-12</v>
      </c>
      <c r="AM194" s="62">
        <f t="shared" si="113"/>
        <v>293.33333333333513</v>
      </c>
      <c r="AN194" s="62">
        <f ca="1">AVERAGE(OFFSET($AM$3,0,0,'Données projet'!$E$10+1,1))-AVERAGE(OFFSET($H$3,0,0,'Données projet'!$E$10+1,1))</f>
        <v>205.99910063756408</v>
      </c>
      <c r="AO194" s="62">
        <f t="shared" si="144"/>
        <v>128.95330275493671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293.3333333333353</v>
      </c>
      <c r="BI194" s="62">
        <f ca="1">AVERAGE(OFFSET($BH$3,0,0,'Données projet'!$E$11+1,1))-AVERAGE(OFFSET($H$3,0,0,'Données projet'!$E$11+1,1))</f>
        <v>222.20580087523689</v>
      </c>
      <c r="BJ194" s="62">
        <f t="shared" si="146"/>
        <v>232.08940427392253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0.41268864949324618</v>
      </c>
      <c r="BQ194" s="23">
        <f>EXP(-LN(2)/25)*BQ193+(1-EXP(-LN(2)/25))/(LN(2)/25)*Calculateur!BL194*Calculateur!BN194*VLOOKUP('Données projet'!$B$11,Paramètres!$A$1:$I$89,3,0)*0.475*44/12</f>
        <v>0.18930581295508603</v>
      </c>
      <c r="BR194" s="23">
        <f>EXP(-LN(2)/2)*BR193+(1-EXP(-LN(2)/2))/(LN(2)/2)*BL194*BO194*VLOOKUP('Données projet'!$B$11,Paramètres!$A$1:$I$89,3,0)*0.475*44/12</f>
        <v>3.7082749864252955E-24</v>
      </c>
      <c r="BS194" s="24">
        <f t="shared" si="169"/>
        <v>0.60199446244833221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5.1159076974727213E-13</v>
      </c>
      <c r="BZ194" s="14">
        <f>BY194*VLOOKUP('Données projet'!$B$12,Paramètres!$A$1:$I$89,3,0)*VLOOKUP('Données projet'!$B$12,Paramètres!$A$1:$I$89,5,0)</f>
        <v>2.3942448024172334E-13</v>
      </c>
      <c r="CA194" s="14">
        <f t="shared" si="170"/>
        <v>3.2492669905861755E-12</v>
      </c>
      <c r="CB194" s="22">
        <f t="shared" si="171"/>
        <v>6.0761376450252565E-12</v>
      </c>
      <c r="CC194" s="62">
        <f t="shared" si="119"/>
        <v>293.3333333333394</v>
      </c>
      <c r="CD194" s="62">
        <f ca="1">AVERAGE(OFFSET($CC$3,0,0,'Données projet'!$E$12+1,1))-AVERAGE(OFFSET($H$3,0,0,'Données projet'!$E$12+1,1))</f>
        <v>179.14256291235466</v>
      </c>
      <c r="CE194" s="62">
        <f t="shared" si="148"/>
        <v>107.5256983607585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-2.8421709430404007E-13</v>
      </c>
      <c r="CU194" s="18">
        <f>CT194*VLOOKUP('Données projet'!$B$13,Paramètres!$A$1:$I$89,3,0)*VLOOKUP('Données projet'!$B$13,Paramètres!$A$1:$I$89,5,0)</f>
        <v>-1.69961822393816E-13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237.03649693529445</v>
      </c>
      <c r="CZ194" s="62">
        <f t="shared" si="150"/>
        <v>191.04289411674887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3.0782787204723216E-24</v>
      </c>
      <c r="DI194" s="24">
        <f t="shared" si="175"/>
        <v>3.0782787204723216E-24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1.3096723705530166E-13</v>
      </c>
      <c r="DQ194" s="14">
        <f t="shared" si="176"/>
        <v>1.9066764221344275E-12</v>
      </c>
      <c r="DR194" s="22">
        <f t="shared" si="177"/>
        <v>3.548896039755445E-12</v>
      </c>
      <c r="DS194" s="62">
        <f t="shared" si="125"/>
        <v>293.33333333333684</v>
      </c>
      <c r="DT194" s="62">
        <f ca="1">AVERAGE(OFFSET($DS$3,0,0,'Données projet'!$E$14+1,1))-AVERAGE(OFFSET($H$3,0,0,'Données projet'!$E$14+1,1))</f>
        <v>431.38469096974364</v>
      </c>
      <c r="DU194" s="62">
        <f t="shared" si="152"/>
        <v>295.48627059086647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1.1281915862382905E-2</v>
      </c>
      <c r="EC194" s="23">
        <f>EXP(-LN(2)/2)*EC193+(1-EXP(-LN(2)/2))/(LN(2)/2)*DW194*DZ194*VLOOKUP('Données projet'!$B$14,Paramètres!$A$1:$I$89,3,0)*0.475*44/12</f>
        <v>2.2451200192752282E-24</v>
      </c>
      <c r="ED194" s="24">
        <f t="shared" si="178"/>
        <v>1.1281915862382905E-2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6.4733285398688169E-14</v>
      </c>
      <c r="EL194" s="14">
        <f t="shared" si="179"/>
        <v>1.0229736701638572E-12</v>
      </c>
      <c r="EM194" s="22">
        <f t="shared" si="180"/>
        <v>1.8944229476047665E-12</v>
      </c>
      <c r="EN194" s="62">
        <f t="shared" si="128"/>
        <v>293.33333333333519</v>
      </c>
      <c r="EO194" s="62">
        <f ca="1">AVERAGE(OFFSET($EN$3,0,0,'Données projet'!$E$15+1,1))-AVERAGE(OFFSET($H$3,0,0,'Données projet'!$E$15+1,1))</f>
        <v>220.03635832253951</v>
      </c>
      <c r="EP194" s="62">
        <f t="shared" si="154"/>
        <v>136.30639155882233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490.00000000000091</v>
      </c>
      <c r="FF194" s="18">
        <f>FE194*VLOOKUP('Données projet'!$B$16,Paramètres!$A$1:$I$89,3,0)*VLOOKUP('Données projet'!$B$16,Paramètres!$A$1:$I$89,5,0)</f>
        <v>512.14800000000105</v>
      </c>
      <c r="FG194" s="14">
        <f t="shared" si="182"/>
        <v>114.17576021740676</v>
      </c>
      <c r="FH194" s="22">
        <f t="shared" si="183"/>
        <v>1090.8472157119852</v>
      </c>
      <c r="FI194" s="62">
        <f t="shared" si="131"/>
        <v>1384.1805490453185</v>
      </c>
      <c r="FJ194" s="62">
        <f ca="1">AVERAGE(OFFSET($FI$3,0,0,'Données projet'!$E$16+1,1))-AVERAGE(OFFSET($H$3,0,0,'Données projet'!$E$16+1,1))</f>
        <v>641.62708445664862</v>
      </c>
      <c r="FK194" s="62">
        <f t="shared" si="156"/>
        <v>379.46845863546929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1.2690002980135891E-23</v>
      </c>
      <c r="FT194" s="24">
        <f t="shared" si="184"/>
        <v>1.2690002980135891E-23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5.6843418860808015E-14</v>
      </c>
      <c r="GA194" s="18">
        <f>FZ194*VLOOKUP('Données projet'!$B$17,Paramètres!$A$1:$I$89,3,0)*VLOOKUP('Données projet'!$B$17,Paramètres!$A$1:$I$89,5,0)</f>
        <v>5.4978954722173515E-14</v>
      </c>
      <c r="GB194" s="14">
        <f t="shared" si="185"/>
        <v>8.8550225887742724E-13</v>
      </c>
      <c r="GC194" s="22">
        <f t="shared" si="186"/>
        <v>1.6380047803526383E-12</v>
      </c>
      <c r="GD194" s="62">
        <f t="shared" si="134"/>
        <v>293.33333333333496</v>
      </c>
      <c r="GE194" s="62">
        <f ca="1">AVERAGE(OFFSET($GD$3,0,0,'Données projet'!$E$17+1,1))-AVERAGE(OFFSET($H$3,0,0,'Données projet'!$E$17+1,1))</f>
        <v>181.39066880931728</v>
      </c>
      <c r="GF194" s="62">
        <f t="shared" si="158"/>
        <v>116.06078566855524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-1.7053025658242404E-13</v>
      </c>
      <c r="GV194" s="18">
        <f>GU194*VLOOKUP('Données projet'!$B$18,Paramètres!$A$1:$I$89,3,0)*VLOOKUP('Données projet'!$B$18,Paramètres!$A$1:$I$89,5,0)</f>
        <v>-1.4897523215040567E-13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152.84277478695606</v>
      </c>
      <c r="HA194" s="62">
        <f t="shared" si="160"/>
        <v>179.22995976651015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9">
        <f t="shared" si="110"/>
        <v>488.20727202973239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-9.7986685432260874E-13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383.26814640166805</v>
      </c>
      <c r="T195" s="62">
        <f t="shared" si="142"/>
        <v>233.71216103405249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6.1186256061773749E-14</v>
      </c>
      <c r="AK195" s="14">
        <f t="shared" si="164"/>
        <v>9.7328366192051127E-13</v>
      </c>
      <c r="AL195" s="22">
        <f t="shared" si="165"/>
        <v>1.8017017738191463E-12</v>
      </c>
      <c r="AM195" s="62">
        <f t="shared" si="113"/>
        <v>293.33333333333513</v>
      </c>
      <c r="AN195" s="62">
        <f ca="1">AVERAGE(OFFSET($AM$3,0,0,'Données projet'!$E$10+1,1))-AVERAGE(OFFSET($H$3,0,0,'Données projet'!$E$10+1,1))</f>
        <v>205.99910063756408</v>
      </c>
      <c r="AO195" s="62">
        <f t="shared" si="144"/>
        <v>128.95330275493671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293.3333333333353</v>
      </c>
      <c r="BI195" s="62">
        <f ca="1">AVERAGE(OFFSET($BH$3,0,0,'Données projet'!$E$11+1,1))-AVERAGE(OFFSET($H$3,0,0,'Données projet'!$E$11+1,1))</f>
        <v>222.20580087523689</v>
      </c>
      <c r="BJ195" s="62">
        <f t="shared" si="146"/>
        <v>232.08940427392253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0.40459607679190501</v>
      </c>
      <c r="BQ195" s="23">
        <f>EXP(-LN(2)/25)*BQ194+(1-EXP(-LN(2)/25))/(LN(2)/25)*Calculateur!BL195*Calculateur!BN195*VLOOKUP('Données projet'!$B$11,Paramètres!$A$1:$I$89,3,0)*0.475*44/12</f>
        <v>0.18412923554466917</v>
      </c>
      <c r="BR195" s="23">
        <f>EXP(-LN(2)/2)*BR194+(1-EXP(-LN(2)/2))/(LN(2)/2)*BL195*BO195*VLOOKUP('Données projet'!$B$11,Paramètres!$A$1:$I$89,3,0)*0.475*44/12</f>
        <v>2.6221463894057789E-24</v>
      </c>
      <c r="BS195" s="24">
        <f t="shared" si="169"/>
        <v>0.58872531233657421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5.1159076974727213E-13</v>
      </c>
      <c r="BZ195" s="14">
        <f>BY195*VLOOKUP('Données projet'!$B$12,Paramètres!$A$1:$I$89,3,0)*VLOOKUP('Données projet'!$B$12,Paramètres!$A$1:$I$89,5,0)</f>
        <v>2.3942448024172334E-13</v>
      </c>
      <c r="CA195" s="14">
        <f t="shared" si="170"/>
        <v>3.2492669905861755E-12</v>
      </c>
      <c r="CB195" s="22">
        <f t="shared" si="171"/>
        <v>6.0761376450252565E-12</v>
      </c>
      <c r="CC195" s="62">
        <f t="shared" si="119"/>
        <v>293.3333333333394</v>
      </c>
      <c r="CD195" s="62">
        <f ca="1">AVERAGE(OFFSET($CC$3,0,0,'Données projet'!$E$12+1,1))-AVERAGE(OFFSET($H$3,0,0,'Données projet'!$E$12+1,1))</f>
        <v>179.14256291235466</v>
      </c>
      <c r="CE195" s="62">
        <f t="shared" si="148"/>
        <v>107.5256983607585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-2.8421709430404007E-13</v>
      </c>
      <c r="CU195" s="18">
        <f>CT195*VLOOKUP('Données projet'!$B$13,Paramètres!$A$1:$I$89,3,0)*VLOOKUP('Données projet'!$B$13,Paramètres!$A$1:$I$89,5,0)</f>
        <v>-1.69961822393816E-13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237.03649693529445</v>
      </c>
      <c r="CZ195" s="62">
        <f t="shared" si="150"/>
        <v>191.04289411674887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2.1766717576282274E-24</v>
      </c>
      <c r="DI195" s="24">
        <f t="shared" si="175"/>
        <v>2.1766717576282274E-24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1.3096723705530166E-13</v>
      </c>
      <c r="DQ195" s="14">
        <f t="shared" si="176"/>
        <v>1.9066764221344275E-12</v>
      </c>
      <c r="DR195" s="22">
        <f t="shared" si="177"/>
        <v>3.548896039755445E-12</v>
      </c>
      <c r="DS195" s="62">
        <f t="shared" si="125"/>
        <v>293.33333333333684</v>
      </c>
      <c r="DT195" s="62">
        <f ca="1">AVERAGE(OFFSET($DS$3,0,0,'Données projet'!$E$14+1,1))-AVERAGE(OFFSET($H$3,0,0,'Données projet'!$E$14+1,1))</f>
        <v>431.38469096974364</v>
      </c>
      <c r="DU195" s="62">
        <f t="shared" si="152"/>
        <v>295.48627059086647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1.0973411279835874E-2</v>
      </c>
      <c r="EC195" s="23">
        <f>EXP(-LN(2)/2)*EC194+(1-EXP(-LN(2)/2))/(LN(2)/2)*DW195*DZ195*VLOOKUP('Données projet'!$B$14,Paramètres!$A$1:$I$89,3,0)*0.475*44/12</f>
        <v>1.5875395902071861E-24</v>
      </c>
      <c r="ED195" s="24">
        <f t="shared" si="178"/>
        <v>1.0973411279835874E-2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6.4733285398688169E-14</v>
      </c>
      <c r="EL195" s="14">
        <f t="shared" si="179"/>
        <v>1.0229736701638572E-12</v>
      </c>
      <c r="EM195" s="22">
        <f t="shared" si="180"/>
        <v>1.8944229476047665E-12</v>
      </c>
      <c r="EN195" s="62">
        <f t="shared" si="128"/>
        <v>293.33333333333519</v>
      </c>
      <c r="EO195" s="62">
        <f ca="1">AVERAGE(OFFSET($EN$3,0,0,'Données projet'!$E$15+1,1))-AVERAGE(OFFSET($H$3,0,0,'Données projet'!$E$15+1,1))</f>
        <v>220.03635832253951</v>
      </c>
      <c r="EP195" s="62">
        <f t="shared" si="154"/>
        <v>136.30639155882233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490.00000000000091</v>
      </c>
      <c r="FF195" s="18">
        <f>FE195*VLOOKUP('Données projet'!$B$16,Paramètres!$A$1:$I$89,3,0)*VLOOKUP('Données projet'!$B$16,Paramètres!$A$1:$I$89,5,0)</f>
        <v>512.14800000000105</v>
      </c>
      <c r="FG195" s="14">
        <f t="shared" si="182"/>
        <v>114.17576021740676</v>
      </c>
      <c r="FH195" s="22">
        <f t="shared" si="183"/>
        <v>1090.8472157119852</v>
      </c>
      <c r="FI195" s="62">
        <f t="shared" si="131"/>
        <v>1384.1805490453185</v>
      </c>
      <c r="FJ195" s="62">
        <f ca="1">AVERAGE(OFFSET($FI$3,0,0,'Données projet'!$E$16+1,1))-AVERAGE(OFFSET($H$3,0,0,'Données projet'!$E$16+1,1))</f>
        <v>641.62708445664862</v>
      </c>
      <c r="FK195" s="62">
        <f t="shared" si="156"/>
        <v>379.46845863546929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8.9731871605315857E-24</v>
      </c>
      <c r="FT195" s="24">
        <f t="shared" si="184"/>
        <v>8.9731871605315857E-24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5.6843418860808015E-14</v>
      </c>
      <c r="GA195" s="18">
        <f>FZ195*VLOOKUP('Données projet'!$B$17,Paramètres!$A$1:$I$89,3,0)*VLOOKUP('Données projet'!$B$17,Paramètres!$A$1:$I$89,5,0)</f>
        <v>5.4978954722173515E-14</v>
      </c>
      <c r="GB195" s="14">
        <f t="shared" si="185"/>
        <v>8.8550225887742724E-13</v>
      </c>
      <c r="GC195" s="22">
        <f t="shared" si="186"/>
        <v>1.6380047803526383E-12</v>
      </c>
      <c r="GD195" s="62">
        <f t="shared" si="134"/>
        <v>293.33333333333496</v>
      </c>
      <c r="GE195" s="62">
        <f ca="1">AVERAGE(OFFSET($GD$3,0,0,'Données projet'!$E$17+1,1))-AVERAGE(OFFSET($H$3,0,0,'Données projet'!$E$17+1,1))</f>
        <v>181.39066880931728</v>
      </c>
      <c r="GF195" s="62">
        <f t="shared" si="158"/>
        <v>116.06078566855524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-1.7053025658242404E-13</v>
      </c>
      <c r="GV195" s="18">
        <f>GU195*VLOOKUP('Données projet'!$B$18,Paramètres!$A$1:$I$89,3,0)*VLOOKUP('Données projet'!$B$18,Paramètres!$A$1:$I$89,5,0)</f>
        <v>-1.4897523215040567E-13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152.84277478695606</v>
      </c>
      <c r="HA195" s="62">
        <f t="shared" si="160"/>
        <v>179.22995976651015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9">
        <f t="shared" ref="H196:H203" si="192">(B196+E196+F196)*44/12+(C196+D196)*0.475*44/12</f>
        <v>489.38346360565777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-9.7986685432260874E-13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383.26814640166805</v>
      </c>
      <c r="T196" s="62">
        <f t="shared" si="142"/>
        <v>233.71216103405249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6.1186256061773749E-14</v>
      </c>
      <c r="AK196" s="14">
        <f t="shared" si="164"/>
        <v>9.7328366192051127E-13</v>
      </c>
      <c r="AL196" s="22">
        <f t="shared" si="165"/>
        <v>1.8017017738191463E-12</v>
      </c>
      <c r="AM196" s="62">
        <f t="shared" ref="AM196:AM203" si="193">AL196+(AD196+AE196)*44/12</f>
        <v>293.33333333333513</v>
      </c>
      <c r="AN196" s="62">
        <f ca="1">AVERAGE(OFFSET($AM$3,0,0,'Données projet'!$E$10+1,1))-AVERAGE(OFFSET($H$3,0,0,'Données projet'!$E$10+1,1))</f>
        <v>205.99910063756408</v>
      </c>
      <c r="AO196" s="62">
        <f t="shared" si="144"/>
        <v>128.95330275493671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293.3333333333353</v>
      </c>
      <c r="BI196" s="62">
        <f ca="1">AVERAGE(OFFSET($BH$3,0,0,'Données projet'!$E$11+1,1))-AVERAGE(OFFSET($H$3,0,0,'Données projet'!$E$11+1,1))</f>
        <v>222.20580087523689</v>
      </c>
      <c r="BJ196" s="62">
        <f t="shared" si="146"/>
        <v>232.08940427392253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0.39666219450525519</v>
      </c>
      <c r="BQ196" s="23">
        <f>EXP(-LN(2)/25)*BQ195+(1-EXP(-LN(2)/25))/(LN(2)/25)*Calculateur!BL196*Calculateur!BN196*VLOOKUP('Données projet'!$B$11,Paramètres!$A$1:$I$89,3,0)*0.475*44/12</f>
        <v>0.17909421191576452</v>
      </c>
      <c r="BR196" s="23">
        <f>EXP(-LN(2)/2)*BR195+(1-EXP(-LN(2)/2))/(LN(2)/2)*BL196*BO196*VLOOKUP('Données projet'!$B$11,Paramètres!$A$1:$I$89,3,0)*0.475*44/12</f>
        <v>1.8541374932126477E-24</v>
      </c>
      <c r="BS196" s="24">
        <f t="shared" si="169"/>
        <v>0.57575640642101966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5.1159076974727213E-13</v>
      </c>
      <c r="BZ196" s="14">
        <f>BY196*VLOOKUP('Données projet'!$B$12,Paramètres!$A$1:$I$89,3,0)*VLOOKUP('Données projet'!$B$12,Paramètres!$A$1:$I$89,5,0)</f>
        <v>2.3942448024172334E-13</v>
      </c>
      <c r="CA196" s="14">
        <f t="shared" si="170"/>
        <v>3.2492669905861755E-12</v>
      </c>
      <c r="CB196" s="22">
        <f t="shared" si="171"/>
        <v>6.0761376450252565E-12</v>
      </c>
      <c r="CC196" s="62">
        <f t="shared" ref="CC196:CC203" si="195">CB196+(BT196+BU196)*44/12</f>
        <v>293.3333333333394</v>
      </c>
      <c r="CD196" s="62">
        <f ca="1">AVERAGE(OFFSET($CC$3,0,0,'Données projet'!$E$12+1,1))-AVERAGE(OFFSET($H$3,0,0,'Données projet'!$E$12+1,1))</f>
        <v>179.14256291235466</v>
      </c>
      <c r="CE196" s="62">
        <f t="shared" si="148"/>
        <v>107.5256983607585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-2.8421709430404007E-13</v>
      </c>
      <c r="CU196" s="18">
        <f>CT196*VLOOKUP('Données projet'!$B$13,Paramètres!$A$1:$I$89,3,0)*VLOOKUP('Données projet'!$B$13,Paramètres!$A$1:$I$89,5,0)</f>
        <v>-1.69961822393816E-13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237.03649693529445</v>
      </c>
      <c r="CZ196" s="62">
        <f t="shared" si="150"/>
        <v>191.04289411674887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1.5391393602361608E-24</v>
      </c>
      <c r="DI196" s="24">
        <f t="shared" si="175"/>
        <v>1.5391393602361608E-24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1.3096723705530166E-13</v>
      </c>
      <c r="DQ196" s="14">
        <f t="shared" si="176"/>
        <v>1.9066764221344275E-12</v>
      </c>
      <c r="DR196" s="22">
        <f t="shared" si="177"/>
        <v>3.548896039755445E-12</v>
      </c>
      <c r="DS196" s="62">
        <f t="shared" ref="DS196:DS203" si="197">DR196+(DJ196+DK196)*44/12</f>
        <v>293.33333333333684</v>
      </c>
      <c r="DT196" s="62">
        <f ca="1">AVERAGE(OFFSET($DS$3,0,0,'Données projet'!$E$14+1,1))-AVERAGE(OFFSET($H$3,0,0,'Données projet'!$E$14+1,1))</f>
        <v>431.38469096974364</v>
      </c>
      <c r="DU196" s="62">
        <f t="shared" si="152"/>
        <v>295.48627059086647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1.0673342771322142E-2</v>
      </c>
      <c r="EC196" s="23">
        <f>EXP(-LN(2)/2)*EC195+(1-EXP(-LN(2)/2))/(LN(2)/2)*DW196*DZ196*VLOOKUP('Données projet'!$B$14,Paramètres!$A$1:$I$89,3,0)*0.475*44/12</f>
        <v>1.1225600096376141E-24</v>
      </c>
      <c r="ED196" s="24">
        <f t="shared" si="178"/>
        <v>1.0673342771322142E-2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6.4733285398688169E-14</v>
      </c>
      <c r="EL196" s="14">
        <f t="shared" si="179"/>
        <v>1.0229736701638572E-12</v>
      </c>
      <c r="EM196" s="22">
        <f t="shared" si="180"/>
        <v>1.8944229476047665E-12</v>
      </c>
      <c r="EN196" s="62">
        <f t="shared" ref="EN196:EN203" si="198">EM196+(EE196+EF196)*44/12</f>
        <v>293.33333333333519</v>
      </c>
      <c r="EO196" s="62">
        <f ca="1">AVERAGE(OFFSET($EN$3,0,0,'Données projet'!$E$15+1,1))-AVERAGE(OFFSET($H$3,0,0,'Données projet'!$E$15+1,1))</f>
        <v>220.03635832253951</v>
      </c>
      <c r="EP196" s="62">
        <f t="shared" si="154"/>
        <v>136.30639155882233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490.00000000000091</v>
      </c>
      <c r="FF196" s="18">
        <f>FE196*VLOOKUP('Données projet'!$B$16,Paramètres!$A$1:$I$89,3,0)*VLOOKUP('Données projet'!$B$16,Paramètres!$A$1:$I$89,5,0)</f>
        <v>512.14800000000105</v>
      </c>
      <c r="FG196" s="14">
        <f t="shared" si="182"/>
        <v>114.17576021740676</v>
      </c>
      <c r="FH196" s="22">
        <f t="shared" si="183"/>
        <v>1090.8472157119852</v>
      </c>
      <c r="FI196" s="62">
        <f t="shared" ref="FI196:FI203" si="199">FH196+(EZ196+FA196)*44/12</f>
        <v>1384.1805490453185</v>
      </c>
      <c r="FJ196" s="62">
        <f ca="1">AVERAGE(OFFSET($FI$3,0,0,'Données projet'!$E$16+1,1))-AVERAGE(OFFSET($H$3,0,0,'Données projet'!$E$16+1,1))</f>
        <v>641.62708445664862</v>
      </c>
      <c r="FK196" s="62">
        <f t="shared" si="156"/>
        <v>379.46845863546929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6.3450014900679457E-24</v>
      </c>
      <c r="FT196" s="24">
        <f t="shared" si="184"/>
        <v>6.3450014900679457E-24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5.6843418860808015E-14</v>
      </c>
      <c r="GA196" s="18">
        <f>FZ196*VLOOKUP('Données projet'!$B$17,Paramètres!$A$1:$I$89,3,0)*VLOOKUP('Données projet'!$B$17,Paramètres!$A$1:$I$89,5,0)</f>
        <v>5.4978954722173515E-14</v>
      </c>
      <c r="GB196" s="14">
        <f t="shared" si="185"/>
        <v>8.8550225887742724E-13</v>
      </c>
      <c r="GC196" s="22">
        <f t="shared" si="186"/>
        <v>1.6380047803526383E-12</v>
      </c>
      <c r="GD196" s="62">
        <f t="shared" ref="GD196:GD203" si="200">GC196+(FU196+FV196)*44/12</f>
        <v>293.33333333333496</v>
      </c>
      <c r="GE196" s="62">
        <f ca="1">AVERAGE(OFFSET($GD$3,0,0,'Données projet'!$E$17+1,1))-AVERAGE(OFFSET($H$3,0,0,'Données projet'!$E$17+1,1))</f>
        <v>181.39066880931728</v>
      </c>
      <c r="GF196" s="62">
        <f t="shared" si="158"/>
        <v>116.06078566855524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-1.7053025658242404E-13</v>
      </c>
      <c r="GV196" s="18">
        <f>GU196*VLOOKUP('Données projet'!$B$18,Paramètres!$A$1:$I$89,3,0)*VLOOKUP('Données projet'!$B$18,Paramètres!$A$1:$I$89,5,0)</f>
        <v>-1.4897523215040567E-13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152.84277478695606</v>
      </c>
      <c r="HA196" s="62">
        <f t="shared" si="160"/>
        <v>179.22995976651015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9">
        <f t="shared" si="192"/>
        <v>490.55951937671841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-9.7986685432260874E-13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383.26814640166805</v>
      </c>
      <c r="T197" s="62">
        <f t="shared" ref="T197:T203" si="204">$T$3</f>
        <v>233.71216103405249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6.1186256061773749E-14</v>
      </c>
      <c r="AK197" s="14">
        <f t="shared" si="164"/>
        <v>9.7328366192051127E-13</v>
      </c>
      <c r="AL197" s="22">
        <f t="shared" si="165"/>
        <v>1.8017017738191463E-12</v>
      </c>
      <c r="AM197" s="62">
        <f t="shared" si="193"/>
        <v>293.33333333333513</v>
      </c>
      <c r="AN197" s="62">
        <f ca="1">AVERAGE(OFFSET($AM$3,0,0,'Données projet'!$E$10+1,1))-AVERAGE(OFFSET($H$3,0,0,'Données projet'!$E$10+1,1))</f>
        <v>205.99910063756408</v>
      </c>
      <c r="AO197" s="62">
        <f t="shared" ref="AO197:AO203" si="205">$AO$3</f>
        <v>128.95330275493671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293.3333333333353</v>
      </c>
      <c r="BI197" s="62">
        <f ca="1">AVERAGE(OFFSET($BH$3,0,0,'Données projet'!$E$11+1,1))-AVERAGE(OFFSET($H$3,0,0,'Données projet'!$E$11+1,1))</f>
        <v>222.20580087523689</v>
      </c>
      <c r="BJ197" s="62">
        <f t="shared" ref="BJ197:BJ203" si="206">$BJ$3</f>
        <v>232.08940427392253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0.38888389081105618</v>
      </c>
      <c r="BQ197" s="23">
        <f>EXP(-LN(2)/25)*BQ196+(1-EXP(-LN(2)/25))/(LN(2)/25)*Calculateur!BL197*Calculateur!BN197*VLOOKUP('Données projet'!$B$11,Paramètres!$A$1:$I$89,3,0)*0.475*44/12</f>
        <v>0.17419687127277267</v>
      </c>
      <c r="BR197" s="23">
        <f>EXP(-LN(2)/2)*BR196+(1-EXP(-LN(2)/2))/(LN(2)/2)*BL197*BO197*VLOOKUP('Données projet'!$B$11,Paramètres!$A$1:$I$89,3,0)*0.475*44/12</f>
        <v>1.3110731947028895E-24</v>
      </c>
      <c r="BS197" s="24">
        <f t="shared" si="169"/>
        <v>0.56308076208382885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5.1159076974727213E-13</v>
      </c>
      <c r="BZ197" s="14">
        <f>BY197*VLOOKUP('Données projet'!$B$12,Paramètres!$A$1:$I$89,3,0)*VLOOKUP('Données projet'!$B$12,Paramètres!$A$1:$I$89,5,0)</f>
        <v>2.3942448024172334E-13</v>
      </c>
      <c r="CA197" s="14">
        <f t="shared" si="170"/>
        <v>3.2492669905861755E-12</v>
      </c>
      <c r="CB197" s="22">
        <f t="shared" si="171"/>
        <v>6.0761376450252565E-12</v>
      </c>
      <c r="CC197" s="62">
        <f t="shared" si="195"/>
        <v>293.3333333333394</v>
      </c>
      <c r="CD197" s="62">
        <f ca="1">AVERAGE(OFFSET($CC$3,0,0,'Données projet'!$E$12+1,1))-AVERAGE(OFFSET($H$3,0,0,'Données projet'!$E$12+1,1))</f>
        <v>179.14256291235466</v>
      </c>
      <c r="CE197" s="62">
        <f t="shared" ref="CE197:CE203" si="207">$CE$3</f>
        <v>107.5256983607585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-2.8421709430404007E-13</v>
      </c>
      <c r="CU197" s="18">
        <f>CT197*VLOOKUP('Données projet'!$B$13,Paramètres!$A$1:$I$89,3,0)*VLOOKUP('Données projet'!$B$13,Paramètres!$A$1:$I$89,5,0)</f>
        <v>-1.69961822393816E-13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237.03649693529445</v>
      </c>
      <c r="CZ197" s="62">
        <f t="shared" ref="CZ197:CZ203" si="208">$CZ$3</f>
        <v>191.04289411674887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1.0883358788141137E-24</v>
      </c>
      <c r="DI197" s="24">
        <f t="shared" si="175"/>
        <v>1.0883358788141137E-24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1.3096723705530166E-13</v>
      </c>
      <c r="DQ197" s="14">
        <f t="shared" si="176"/>
        <v>1.9066764221344275E-12</v>
      </c>
      <c r="DR197" s="22">
        <f t="shared" si="177"/>
        <v>3.548896039755445E-12</v>
      </c>
      <c r="DS197" s="62">
        <f t="shared" si="197"/>
        <v>293.33333333333684</v>
      </c>
      <c r="DT197" s="62">
        <f ca="1">AVERAGE(OFFSET($DS$3,0,0,'Données projet'!$E$14+1,1))-AVERAGE(OFFSET($H$3,0,0,'Données projet'!$E$14+1,1))</f>
        <v>431.38469096974364</v>
      </c>
      <c r="DU197" s="62">
        <f t="shared" ref="DU197:DU203" si="209">$DU$3</f>
        <v>295.48627059086647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1.0381479651953636E-2</v>
      </c>
      <c r="EC197" s="23">
        <f>EXP(-LN(2)/2)*EC196+(1-EXP(-LN(2)/2))/(LN(2)/2)*DW197*DZ197*VLOOKUP('Données projet'!$B$14,Paramètres!$A$1:$I$89,3,0)*0.475*44/12</f>
        <v>7.9376979510359307E-25</v>
      </c>
      <c r="ED197" s="24">
        <f t="shared" si="178"/>
        <v>1.0381479651953636E-2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6.4733285398688169E-14</v>
      </c>
      <c r="EL197" s="14">
        <f t="shared" si="179"/>
        <v>1.0229736701638572E-12</v>
      </c>
      <c r="EM197" s="22">
        <f t="shared" si="180"/>
        <v>1.8944229476047665E-12</v>
      </c>
      <c r="EN197" s="62">
        <f t="shared" si="198"/>
        <v>293.33333333333519</v>
      </c>
      <c r="EO197" s="62">
        <f ca="1">AVERAGE(OFFSET($EN$3,0,0,'Données projet'!$E$15+1,1))-AVERAGE(OFFSET($H$3,0,0,'Données projet'!$E$15+1,1))</f>
        <v>220.03635832253951</v>
      </c>
      <c r="EP197" s="62">
        <f t="shared" ref="EP197:EP203" si="210">$EP$3</f>
        <v>136.30639155882233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490.00000000000091</v>
      </c>
      <c r="FF197" s="18">
        <f>FE197*VLOOKUP('Données projet'!$B$16,Paramètres!$A$1:$I$89,3,0)*VLOOKUP('Données projet'!$B$16,Paramètres!$A$1:$I$89,5,0)</f>
        <v>512.14800000000105</v>
      </c>
      <c r="FG197" s="14">
        <f t="shared" si="182"/>
        <v>114.17576021740676</v>
      </c>
      <c r="FH197" s="22">
        <f t="shared" si="183"/>
        <v>1090.8472157119852</v>
      </c>
      <c r="FI197" s="62">
        <f t="shared" si="199"/>
        <v>1384.1805490453185</v>
      </c>
      <c r="FJ197" s="62">
        <f ca="1">AVERAGE(OFFSET($FI$3,0,0,'Données projet'!$E$16+1,1))-AVERAGE(OFFSET($H$3,0,0,'Données projet'!$E$16+1,1))</f>
        <v>641.62708445664862</v>
      </c>
      <c r="FK197" s="62">
        <f t="shared" ref="FK197:FK203" si="211">$FK$3</f>
        <v>379.46845863546929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4.4865935802657929E-24</v>
      </c>
      <c r="FT197" s="24">
        <f t="shared" si="184"/>
        <v>4.4865935802657929E-24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5.6843418860808015E-14</v>
      </c>
      <c r="GA197" s="18">
        <f>FZ197*VLOOKUP('Données projet'!$B$17,Paramètres!$A$1:$I$89,3,0)*VLOOKUP('Données projet'!$B$17,Paramètres!$A$1:$I$89,5,0)</f>
        <v>5.4978954722173515E-14</v>
      </c>
      <c r="GB197" s="14">
        <f t="shared" si="185"/>
        <v>8.8550225887742724E-13</v>
      </c>
      <c r="GC197" s="22">
        <f t="shared" si="186"/>
        <v>1.6380047803526383E-12</v>
      </c>
      <c r="GD197" s="62">
        <f t="shared" si="200"/>
        <v>293.33333333333496</v>
      </c>
      <c r="GE197" s="62">
        <f ca="1">AVERAGE(OFFSET($GD$3,0,0,'Données projet'!$E$17+1,1))-AVERAGE(OFFSET($H$3,0,0,'Données projet'!$E$17+1,1))</f>
        <v>181.39066880931728</v>
      </c>
      <c r="GF197" s="62">
        <f t="shared" ref="GF197:GF203" si="212">$GF$3</f>
        <v>116.06078566855524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-1.7053025658242404E-13</v>
      </c>
      <c r="GV197" s="18">
        <f>GU197*VLOOKUP('Données projet'!$B$18,Paramètres!$A$1:$I$89,3,0)*VLOOKUP('Données projet'!$B$18,Paramètres!$A$1:$I$89,5,0)</f>
        <v>-1.4897523215040567E-13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152.84277478695606</v>
      </c>
      <c r="HA197" s="62">
        <f t="shared" ref="HA197:HA203" si="213">$HA$3</f>
        <v>179.22995976651015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9">
        <f t="shared" si="192"/>
        <v>491.73544012419472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-9.7986685432260874E-13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383.26814640166805</v>
      </c>
      <c r="T198" s="62">
        <f t="shared" si="204"/>
        <v>233.71216103405249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6.1186256061773749E-14</v>
      </c>
      <c r="AK198" s="14">
        <f t="shared" si="164"/>
        <v>9.7328366192051127E-13</v>
      </c>
      <c r="AL198" s="22">
        <f t="shared" si="165"/>
        <v>1.8017017738191463E-12</v>
      </c>
      <c r="AM198" s="62">
        <f t="shared" si="193"/>
        <v>293.33333333333513</v>
      </c>
      <c r="AN198" s="62">
        <f ca="1">AVERAGE(OFFSET($AM$3,0,0,'Données projet'!$E$10+1,1))-AVERAGE(OFFSET($H$3,0,0,'Données projet'!$E$10+1,1))</f>
        <v>205.99910063756408</v>
      </c>
      <c r="AO198" s="62">
        <f t="shared" si="205"/>
        <v>128.95330275493671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293.3333333333353</v>
      </c>
      <c r="BI198" s="62">
        <f ca="1">AVERAGE(OFFSET($BH$3,0,0,'Données projet'!$E$11+1,1))-AVERAGE(OFFSET($H$3,0,0,'Données projet'!$E$11+1,1))</f>
        <v>222.20580087523689</v>
      </c>
      <c r="BJ198" s="62">
        <f t="shared" si="206"/>
        <v>232.08940427392253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0.3812581149080036</v>
      </c>
      <c r="BQ198" s="23">
        <f>EXP(-LN(2)/25)*BQ197+(1-EXP(-LN(2)/25))/(LN(2)/25)*Calculateur!BL198*Calculateur!BN198*VLOOKUP('Données projet'!$B$11,Paramètres!$A$1:$I$89,3,0)*0.475*44/12</f>
        <v>0.16943344866720336</v>
      </c>
      <c r="BR198" s="23">
        <f>EXP(-LN(2)/2)*BR197+(1-EXP(-LN(2)/2))/(LN(2)/2)*BL198*BO198*VLOOKUP('Données projet'!$B$11,Paramètres!$A$1:$I$89,3,0)*0.475*44/12</f>
        <v>9.2706874660632387E-25</v>
      </c>
      <c r="BS198" s="24">
        <f t="shared" si="169"/>
        <v>0.55069156357520699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5.1159076974727213E-13</v>
      </c>
      <c r="BZ198" s="14">
        <f>BY198*VLOOKUP('Données projet'!$B$12,Paramètres!$A$1:$I$89,3,0)*VLOOKUP('Données projet'!$B$12,Paramètres!$A$1:$I$89,5,0)</f>
        <v>2.3942448024172334E-13</v>
      </c>
      <c r="CA198" s="14">
        <f t="shared" si="170"/>
        <v>3.2492669905861755E-12</v>
      </c>
      <c r="CB198" s="22">
        <f t="shared" si="171"/>
        <v>6.0761376450252565E-12</v>
      </c>
      <c r="CC198" s="62">
        <f t="shared" si="195"/>
        <v>293.3333333333394</v>
      </c>
      <c r="CD198" s="62">
        <f ca="1">AVERAGE(OFFSET($CC$3,0,0,'Données projet'!$E$12+1,1))-AVERAGE(OFFSET($H$3,0,0,'Données projet'!$E$12+1,1))</f>
        <v>179.14256291235466</v>
      </c>
      <c r="CE198" s="62">
        <f t="shared" si="207"/>
        <v>107.5256983607585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-2.8421709430404007E-13</v>
      </c>
      <c r="CU198" s="18">
        <f>CT198*VLOOKUP('Données projet'!$B$13,Paramètres!$A$1:$I$89,3,0)*VLOOKUP('Données projet'!$B$13,Paramètres!$A$1:$I$89,5,0)</f>
        <v>-1.69961822393816E-13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237.03649693529445</v>
      </c>
      <c r="CZ198" s="62">
        <f t="shared" si="208"/>
        <v>191.04289411674887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7.695696801180804E-25</v>
      </c>
      <c r="DI198" s="24">
        <f t="shared" si="175"/>
        <v>7.695696801180804E-25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1.3096723705530166E-13</v>
      </c>
      <c r="DQ198" s="14">
        <f t="shared" si="176"/>
        <v>1.9066764221344275E-12</v>
      </c>
      <c r="DR198" s="22">
        <f t="shared" si="177"/>
        <v>3.548896039755445E-12</v>
      </c>
      <c r="DS198" s="62">
        <f t="shared" si="197"/>
        <v>293.33333333333684</v>
      </c>
      <c r="DT198" s="62">
        <f ca="1">AVERAGE(OFFSET($DS$3,0,0,'Données projet'!$E$14+1,1))-AVERAGE(OFFSET($H$3,0,0,'Données projet'!$E$14+1,1))</f>
        <v>431.38469096974364</v>
      </c>
      <c r="DU198" s="62">
        <f t="shared" si="209"/>
        <v>295.48627059086647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1.0097597544932675E-2</v>
      </c>
      <c r="EC198" s="23">
        <f>EXP(-LN(2)/2)*EC197+(1-EXP(-LN(2)/2))/(LN(2)/2)*DW198*DZ198*VLOOKUP('Données projet'!$B$14,Paramètres!$A$1:$I$89,3,0)*0.475*44/12</f>
        <v>5.6128000481880704E-25</v>
      </c>
      <c r="ED198" s="24">
        <f t="shared" si="178"/>
        <v>1.0097597544932675E-2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6.4733285398688169E-14</v>
      </c>
      <c r="EL198" s="14">
        <f t="shared" si="179"/>
        <v>1.0229736701638572E-12</v>
      </c>
      <c r="EM198" s="22">
        <f t="shared" si="180"/>
        <v>1.8944229476047665E-12</v>
      </c>
      <c r="EN198" s="62">
        <f t="shared" si="198"/>
        <v>293.33333333333519</v>
      </c>
      <c r="EO198" s="62">
        <f ca="1">AVERAGE(OFFSET($EN$3,0,0,'Données projet'!$E$15+1,1))-AVERAGE(OFFSET($H$3,0,0,'Données projet'!$E$15+1,1))</f>
        <v>220.03635832253951</v>
      </c>
      <c r="EP198" s="62">
        <f t="shared" si="210"/>
        <v>136.30639155882233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490.00000000000091</v>
      </c>
      <c r="FF198" s="18">
        <f>FE198*VLOOKUP('Données projet'!$B$16,Paramètres!$A$1:$I$89,3,0)*VLOOKUP('Données projet'!$B$16,Paramètres!$A$1:$I$89,5,0)</f>
        <v>512.14800000000105</v>
      </c>
      <c r="FG198" s="14">
        <f t="shared" si="182"/>
        <v>114.17576021740676</v>
      </c>
      <c r="FH198" s="22">
        <f t="shared" si="183"/>
        <v>1090.8472157119852</v>
      </c>
      <c r="FI198" s="62">
        <f t="shared" si="199"/>
        <v>1384.1805490453185</v>
      </c>
      <c r="FJ198" s="62">
        <f ca="1">AVERAGE(OFFSET($FI$3,0,0,'Données projet'!$E$16+1,1))-AVERAGE(OFFSET($H$3,0,0,'Données projet'!$E$16+1,1))</f>
        <v>641.62708445664862</v>
      </c>
      <c r="FK198" s="62">
        <f t="shared" si="211"/>
        <v>379.46845863546929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3.1725007450339729E-24</v>
      </c>
      <c r="FT198" s="24">
        <f t="shared" si="184"/>
        <v>3.1725007450339729E-24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5.6843418860808015E-14</v>
      </c>
      <c r="GA198" s="18">
        <f>FZ198*VLOOKUP('Données projet'!$B$17,Paramètres!$A$1:$I$89,3,0)*VLOOKUP('Données projet'!$B$17,Paramètres!$A$1:$I$89,5,0)</f>
        <v>5.4978954722173515E-14</v>
      </c>
      <c r="GB198" s="14">
        <f t="shared" si="185"/>
        <v>8.8550225887742724E-13</v>
      </c>
      <c r="GC198" s="22">
        <f t="shared" si="186"/>
        <v>1.6380047803526383E-12</v>
      </c>
      <c r="GD198" s="62">
        <f t="shared" si="200"/>
        <v>293.33333333333496</v>
      </c>
      <c r="GE198" s="62">
        <f ca="1">AVERAGE(OFFSET($GD$3,0,0,'Données projet'!$E$17+1,1))-AVERAGE(OFFSET($H$3,0,0,'Données projet'!$E$17+1,1))</f>
        <v>181.39066880931728</v>
      </c>
      <c r="GF198" s="62">
        <f t="shared" si="212"/>
        <v>116.06078566855524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-1.7053025658242404E-13</v>
      </c>
      <c r="GV198" s="18">
        <f>GU198*VLOOKUP('Données projet'!$B$18,Paramètres!$A$1:$I$89,3,0)*VLOOKUP('Données projet'!$B$18,Paramètres!$A$1:$I$89,5,0)</f>
        <v>-1.4897523215040567E-13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152.84277478695606</v>
      </c>
      <c r="HA198" s="62">
        <f t="shared" si="213"/>
        <v>179.22995976651015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9">
        <f t="shared" si="192"/>
        <v>492.91122662089026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-9.7986685432260874E-13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383.26814640166805</v>
      </c>
      <c r="T199" s="62">
        <f t="shared" si="204"/>
        <v>233.71216103405249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6.1186256061773749E-14</v>
      </c>
      <c r="AK199" s="14">
        <f t="shared" si="164"/>
        <v>9.7328366192051127E-13</v>
      </c>
      <c r="AL199" s="22">
        <f t="shared" si="165"/>
        <v>1.8017017738191463E-12</v>
      </c>
      <c r="AM199" s="62">
        <f t="shared" si="193"/>
        <v>293.33333333333513</v>
      </c>
      <c r="AN199" s="62">
        <f ca="1">AVERAGE(OFFSET($AM$3,0,0,'Données projet'!$E$10+1,1))-AVERAGE(OFFSET($H$3,0,0,'Données projet'!$E$10+1,1))</f>
        <v>205.99910063756408</v>
      </c>
      <c r="AO199" s="62">
        <f t="shared" si="205"/>
        <v>128.95330275493671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293.3333333333353</v>
      </c>
      <c r="BI199" s="62">
        <f ca="1">AVERAGE(OFFSET($BH$3,0,0,'Données projet'!$E$11+1,1))-AVERAGE(OFFSET($H$3,0,0,'Données projet'!$E$11+1,1))</f>
        <v>222.20580087523689</v>
      </c>
      <c r="BJ199" s="62">
        <f t="shared" si="206"/>
        <v>232.08940427392253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0.3737818758191459</v>
      </c>
      <c r="BQ199" s="23">
        <f>EXP(-LN(2)/25)*BQ198+(1-EXP(-LN(2)/25))/(LN(2)/25)*Calculateur!BL199*Calculateur!BN199*VLOOKUP('Données projet'!$B$11,Paramètres!$A$1:$I$89,3,0)*0.475*44/12</f>
        <v>0.16480028210328088</v>
      </c>
      <c r="BR199" s="23">
        <f>EXP(-LN(2)/2)*BR198+(1-EXP(-LN(2)/2))/(LN(2)/2)*BL199*BO199*VLOOKUP('Données projet'!$B$11,Paramètres!$A$1:$I$89,3,0)*0.475*44/12</f>
        <v>6.5553659735144473E-25</v>
      </c>
      <c r="BS199" s="24">
        <f t="shared" si="169"/>
        <v>0.53858215792242681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5.1159076974727213E-13</v>
      </c>
      <c r="BZ199" s="14">
        <f>BY199*VLOOKUP('Données projet'!$B$12,Paramètres!$A$1:$I$89,3,0)*VLOOKUP('Données projet'!$B$12,Paramètres!$A$1:$I$89,5,0)</f>
        <v>2.3942448024172334E-13</v>
      </c>
      <c r="CA199" s="14">
        <f t="shared" si="170"/>
        <v>3.2492669905861755E-12</v>
      </c>
      <c r="CB199" s="22">
        <f t="shared" si="171"/>
        <v>6.0761376450252565E-12</v>
      </c>
      <c r="CC199" s="62">
        <f t="shared" si="195"/>
        <v>293.3333333333394</v>
      </c>
      <c r="CD199" s="62">
        <f ca="1">AVERAGE(OFFSET($CC$3,0,0,'Données projet'!$E$12+1,1))-AVERAGE(OFFSET($H$3,0,0,'Données projet'!$E$12+1,1))</f>
        <v>179.14256291235466</v>
      </c>
      <c r="CE199" s="62">
        <f t="shared" si="207"/>
        <v>107.5256983607585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-2.8421709430404007E-13</v>
      </c>
      <c r="CU199" s="18">
        <f>CT199*VLOOKUP('Données projet'!$B$13,Paramètres!$A$1:$I$89,3,0)*VLOOKUP('Données projet'!$B$13,Paramètres!$A$1:$I$89,5,0)</f>
        <v>-1.69961822393816E-13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237.03649693529445</v>
      </c>
      <c r="CZ199" s="62">
        <f t="shared" si="208"/>
        <v>191.04289411674887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5.4416793940705684E-25</v>
      </c>
      <c r="DI199" s="24">
        <f t="shared" si="175"/>
        <v>5.4416793940705684E-25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1.3096723705530166E-13</v>
      </c>
      <c r="DQ199" s="14">
        <f t="shared" si="176"/>
        <v>1.9066764221344275E-12</v>
      </c>
      <c r="DR199" s="22">
        <f t="shared" si="177"/>
        <v>3.548896039755445E-12</v>
      </c>
      <c r="DS199" s="62">
        <f t="shared" si="197"/>
        <v>293.33333333333684</v>
      </c>
      <c r="DT199" s="62">
        <f ca="1">AVERAGE(OFFSET($DS$3,0,0,'Données projet'!$E$14+1,1))-AVERAGE(OFFSET($H$3,0,0,'Données projet'!$E$14+1,1))</f>
        <v>431.38469096974364</v>
      </c>
      <c r="DU199" s="62">
        <f t="shared" si="209"/>
        <v>295.48627059086647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9.8214782090569139E-3</v>
      </c>
      <c r="EC199" s="23">
        <f>EXP(-LN(2)/2)*EC198+(1-EXP(-LN(2)/2))/(LN(2)/2)*DW199*DZ199*VLOOKUP('Données projet'!$B$14,Paramètres!$A$1:$I$89,3,0)*0.475*44/12</f>
        <v>3.9688489755179653E-25</v>
      </c>
      <c r="ED199" s="24">
        <f t="shared" si="178"/>
        <v>9.8214782090569139E-3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6.4733285398688169E-14</v>
      </c>
      <c r="EL199" s="14">
        <f t="shared" si="179"/>
        <v>1.0229736701638572E-12</v>
      </c>
      <c r="EM199" s="22">
        <f t="shared" si="180"/>
        <v>1.8944229476047665E-12</v>
      </c>
      <c r="EN199" s="62">
        <f t="shared" si="198"/>
        <v>293.33333333333519</v>
      </c>
      <c r="EO199" s="62">
        <f ca="1">AVERAGE(OFFSET($EN$3,0,0,'Données projet'!$E$15+1,1))-AVERAGE(OFFSET($H$3,0,0,'Données projet'!$E$15+1,1))</f>
        <v>220.03635832253951</v>
      </c>
      <c r="EP199" s="62">
        <f t="shared" si="210"/>
        <v>136.30639155882233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490.00000000000091</v>
      </c>
      <c r="FF199" s="18">
        <f>FE199*VLOOKUP('Données projet'!$B$16,Paramètres!$A$1:$I$89,3,0)*VLOOKUP('Données projet'!$B$16,Paramètres!$A$1:$I$89,5,0)</f>
        <v>512.14800000000105</v>
      </c>
      <c r="FG199" s="14">
        <f t="shared" si="182"/>
        <v>114.17576021740676</v>
      </c>
      <c r="FH199" s="22">
        <f t="shared" si="183"/>
        <v>1090.8472157119852</v>
      </c>
      <c r="FI199" s="62">
        <f t="shared" si="199"/>
        <v>1384.1805490453185</v>
      </c>
      <c r="FJ199" s="62">
        <f ca="1">AVERAGE(OFFSET($FI$3,0,0,'Données projet'!$E$16+1,1))-AVERAGE(OFFSET($H$3,0,0,'Données projet'!$E$16+1,1))</f>
        <v>641.62708445664862</v>
      </c>
      <c r="FK199" s="62">
        <f t="shared" si="211"/>
        <v>379.46845863546929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2.2432967901328964E-24</v>
      </c>
      <c r="FT199" s="24">
        <f t="shared" si="184"/>
        <v>2.2432967901328964E-24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5.6843418860808015E-14</v>
      </c>
      <c r="GA199" s="18">
        <f>FZ199*VLOOKUP('Données projet'!$B$17,Paramètres!$A$1:$I$89,3,0)*VLOOKUP('Données projet'!$B$17,Paramètres!$A$1:$I$89,5,0)</f>
        <v>5.4978954722173515E-14</v>
      </c>
      <c r="GB199" s="14">
        <f t="shared" si="185"/>
        <v>8.8550225887742724E-13</v>
      </c>
      <c r="GC199" s="22">
        <f t="shared" si="186"/>
        <v>1.6380047803526383E-12</v>
      </c>
      <c r="GD199" s="62">
        <f t="shared" si="200"/>
        <v>293.33333333333496</v>
      </c>
      <c r="GE199" s="62">
        <f ca="1">AVERAGE(OFFSET($GD$3,0,0,'Données projet'!$E$17+1,1))-AVERAGE(OFFSET($H$3,0,0,'Données projet'!$E$17+1,1))</f>
        <v>181.39066880931728</v>
      </c>
      <c r="GF199" s="62">
        <f t="shared" si="212"/>
        <v>116.06078566855524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-1.7053025658242404E-13</v>
      </c>
      <c r="GV199" s="18">
        <f>GU199*VLOOKUP('Données projet'!$B$18,Paramètres!$A$1:$I$89,3,0)*VLOOKUP('Données projet'!$B$18,Paramètres!$A$1:$I$89,5,0)</f>
        <v>-1.4897523215040567E-13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152.84277478695606</v>
      </c>
      <c r="HA199" s="62">
        <f t="shared" si="213"/>
        <v>179.22995976651015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9">
        <f t="shared" si="192"/>
        <v>494.08687963126607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-9.7986685432260874E-13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383.26814640166805</v>
      </c>
      <c r="T200" s="62">
        <f t="shared" si="204"/>
        <v>233.71216103405249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6.1186256061773749E-14</v>
      </c>
      <c r="AK200" s="14">
        <f t="shared" si="164"/>
        <v>9.7328366192051127E-13</v>
      </c>
      <c r="AL200" s="22">
        <f t="shared" si="165"/>
        <v>1.8017017738191463E-12</v>
      </c>
      <c r="AM200" s="62">
        <f t="shared" si="193"/>
        <v>293.33333333333513</v>
      </c>
      <c r="AN200" s="62">
        <f ca="1">AVERAGE(OFFSET($AM$3,0,0,'Données projet'!$E$10+1,1))-AVERAGE(OFFSET($H$3,0,0,'Données projet'!$E$10+1,1))</f>
        <v>205.99910063756408</v>
      </c>
      <c r="AO200" s="62">
        <f t="shared" si="205"/>
        <v>128.95330275493671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293.3333333333353</v>
      </c>
      <c r="BI200" s="62">
        <f ca="1">AVERAGE(OFFSET($BH$3,0,0,'Données projet'!$E$11+1,1))-AVERAGE(OFFSET($H$3,0,0,'Données projet'!$E$11+1,1))</f>
        <v>222.20580087523689</v>
      </c>
      <c r="BJ200" s="62">
        <f t="shared" si="206"/>
        <v>232.08940427392253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0.36645224121876513</v>
      </c>
      <c r="BQ200" s="23">
        <f>EXP(-LN(2)/25)*BQ199+(1-EXP(-LN(2)/25))/(LN(2)/25)*Calculateur!BL200*Calculateur!BN200*VLOOKUP('Données projet'!$B$11,Paramètres!$A$1:$I$89,3,0)*0.475*44/12</f>
        <v>0.16029380972269647</v>
      </c>
      <c r="BR200" s="23">
        <f>EXP(-LN(2)/2)*BR199+(1-EXP(-LN(2)/2))/(LN(2)/2)*BL200*BO200*VLOOKUP('Données projet'!$B$11,Paramètres!$A$1:$I$89,3,0)*0.475*44/12</f>
        <v>4.6353437330316194E-25</v>
      </c>
      <c r="BS200" s="24">
        <f t="shared" si="169"/>
        <v>0.52674605094146165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5.1159076974727213E-13</v>
      </c>
      <c r="BZ200" s="14">
        <f>BY200*VLOOKUP('Données projet'!$B$12,Paramètres!$A$1:$I$89,3,0)*VLOOKUP('Données projet'!$B$12,Paramètres!$A$1:$I$89,5,0)</f>
        <v>2.3942448024172334E-13</v>
      </c>
      <c r="CA200" s="14">
        <f t="shared" si="170"/>
        <v>3.2492669905861755E-12</v>
      </c>
      <c r="CB200" s="22">
        <f t="shared" si="171"/>
        <v>6.0761376450252565E-12</v>
      </c>
      <c r="CC200" s="62">
        <f t="shared" si="195"/>
        <v>293.3333333333394</v>
      </c>
      <c r="CD200" s="62">
        <f ca="1">AVERAGE(OFFSET($CC$3,0,0,'Données projet'!$E$12+1,1))-AVERAGE(OFFSET($H$3,0,0,'Données projet'!$E$12+1,1))</f>
        <v>179.14256291235466</v>
      </c>
      <c r="CE200" s="62">
        <f t="shared" si="207"/>
        <v>107.5256983607585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-2.8421709430404007E-13</v>
      </c>
      <c r="CU200" s="18">
        <f>CT200*VLOOKUP('Données projet'!$B$13,Paramètres!$A$1:$I$89,3,0)*VLOOKUP('Données projet'!$B$13,Paramètres!$A$1:$I$89,5,0)</f>
        <v>-1.69961822393816E-13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237.03649693529445</v>
      </c>
      <c r="CZ200" s="62">
        <f t="shared" si="208"/>
        <v>191.04289411674887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3.847848400590402E-25</v>
      </c>
      <c r="DI200" s="24">
        <f t="shared" si="175"/>
        <v>3.847848400590402E-25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1.3096723705530166E-13</v>
      </c>
      <c r="DQ200" s="14">
        <f t="shared" si="176"/>
        <v>1.9066764221344275E-12</v>
      </c>
      <c r="DR200" s="22">
        <f t="shared" si="177"/>
        <v>3.548896039755445E-12</v>
      </c>
      <c r="DS200" s="62">
        <f t="shared" si="197"/>
        <v>293.33333333333684</v>
      </c>
      <c r="DT200" s="62">
        <f ca="1">AVERAGE(OFFSET($DS$3,0,0,'Données projet'!$E$14+1,1))-AVERAGE(OFFSET($H$3,0,0,'Données projet'!$E$14+1,1))</f>
        <v>431.38469096974364</v>
      </c>
      <c r="DU200" s="62">
        <f t="shared" si="209"/>
        <v>295.48627059086647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9.5529093709411615E-3</v>
      </c>
      <c r="EC200" s="23">
        <f>EXP(-LN(2)/2)*EC199+(1-EXP(-LN(2)/2))/(LN(2)/2)*DW200*DZ200*VLOOKUP('Données projet'!$B$14,Paramètres!$A$1:$I$89,3,0)*0.475*44/12</f>
        <v>2.8064000240940352E-25</v>
      </c>
      <c r="ED200" s="24">
        <f t="shared" si="178"/>
        <v>9.5529093709411615E-3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6.4733285398688169E-14</v>
      </c>
      <c r="EL200" s="14">
        <f t="shared" si="179"/>
        <v>1.0229736701638572E-12</v>
      </c>
      <c r="EM200" s="22">
        <f t="shared" si="180"/>
        <v>1.8944229476047665E-12</v>
      </c>
      <c r="EN200" s="62">
        <f t="shared" si="198"/>
        <v>293.33333333333519</v>
      </c>
      <c r="EO200" s="62">
        <f ca="1">AVERAGE(OFFSET($EN$3,0,0,'Données projet'!$E$15+1,1))-AVERAGE(OFFSET($H$3,0,0,'Données projet'!$E$15+1,1))</f>
        <v>220.03635832253951</v>
      </c>
      <c r="EP200" s="62">
        <f t="shared" si="210"/>
        <v>136.30639155882233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490.00000000000091</v>
      </c>
      <c r="FF200" s="18">
        <f>FE200*VLOOKUP('Données projet'!$B$16,Paramètres!$A$1:$I$89,3,0)*VLOOKUP('Données projet'!$B$16,Paramètres!$A$1:$I$89,5,0)</f>
        <v>512.14800000000105</v>
      </c>
      <c r="FG200" s="14">
        <f t="shared" si="182"/>
        <v>114.17576021740676</v>
      </c>
      <c r="FH200" s="22">
        <f t="shared" si="183"/>
        <v>1090.8472157119852</v>
      </c>
      <c r="FI200" s="62">
        <f t="shared" si="199"/>
        <v>1384.1805490453185</v>
      </c>
      <c r="FJ200" s="62">
        <f ca="1">AVERAGE(OFFSET($FI$3,0,0,'Données projet'!$E$16+1,1))-AVERAGE(OFFSET($H$3,0,0,'Données projet'!$E$16+1,1))</f>
        <v>641.62708445664862</v>
      </c>
      <c r="FK200" s="62">
        <f t="shared" si="211"/>
        <v>379.46845863546929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1.5862503725169864E-24</v>
      </c>
      <c r="FT200" s="24">
        <f t="shared" si="184"/>
        <v>1.5862503725169864E-24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5.6843418860808015E-14</v>
      </c>
      <c r="GA200" s="18">
        <f>FZ200*VLOOKUP('Données projet'!$B$17,Paramètres!$A$1:$I$89,3,0)*VLOOKUP('Données projet'!$B$17,Paramètres!$A$1:$I$89,5,0)</f>
        <v>5.4978954722173515E-14</v>
      </c>
      <c r="GB200" s="14">
        <f t="shared" si="185"/>
        <v>8.8550225887742724E-13</v>
      </c>
      <c r="GC200" s="22">
        <f t="shared" si="186"/>
        <v>1.6380047803526383E-12</v>
      </c>
      <c r="GD200" s="62">
        <f t="shared" si="200"/>
        <v>293.33333333333496</v>
      </c>
      <c r="GE200" s="62">
        <f ca="1">AVERAGE(OFFSET($GD$3,0,0,'Données projet'!$E$17+1,1))-AVERAGE(OFFSET($H$3,0,0,'Données projet'!$E$17+1,1))</f>
        <v>181.39066880931728</v>
      </c>
      <c r="GF200" s="62">
        <f t="shared" si="212"/>
        <v>116.06078566855524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-1.7053025658242404E-13</v>
      </c>
      <c r="GV200" s="18">
        <f>GU200*VLOOKUP('Données projet'!$B$18,Paramètres!$A$1:$I$89,3,0)*VLOOKUP('Données projet'!$B$18,Paramètres!$A$1:$I$89,5,0)</f>
        <v>-1.4897523215040567E-13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152.84277478695606</v>
      </c>
      <c r="HA200" s="62">
        <f t="shared" si="213"/>
        <v>179.22995976651015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9">
        <f t="shared" si="192"/>
        <v>495.26239991157297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-9.7986685432260874E-13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383.26814640166805</v>
      </c>
      <c r="T201" s="62">
        <f t="shared" si="204"/>
        <v>233.71216103405249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6.1186256061773749E-14</v>
      </c>
      <c r="AK201" s="14">
        <f t="shared" si="164"/>
        <v>9.7328366192051127E-13</v>
      </c>
      <c r="AL201" s="22">
        <f t="shared" si="165"/>
        <v>1.8017017738191463E-12</v>
      </c>
      <c r="AM201" s="62">
        <f t="shared" si="193"/>
        <v>293.33333333333513</v>
      </c>
      <c r="AN201" s="62">
        <f ca="1">AVERAGE(OFFSET($AM$3,0,0,'Données projet'!$E$10+1,1))-AVERAGE(OFFSET($H$3,0,0,'Données projet'!$E$10+1,1))</f>
        <v>205.99910063756408</v>
      </c>
      <c r="AO201" s="62">
        <f t="shared" si="205"/>
        <v>128.95330275493671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293.3333333333353</v>
      </c>
      <c r="BI201" s="62">
        <f ca="1">AVERAGE(OFFSET($BH$3,0,0,'Données projet'!$E$11+1,1))-AVERAGE(OFFSET($H$3,0,0,'Données projet'!$E$11+1,1))</f>
        <v>222.20580087523689</v>
      </c>
      <c r="BJ201" s="62">
        <f t="shared" si="206"/>
        <v>232.08940427392253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0.35926633628226212</v>
      </c>
      <c r="BQ201" s="23">
        <f>EXP(-LN(2)/25)*BQ200+(1-EXP(-LN(2)/25))/(LN(2)/25)*Calculateur!BL201*Calculateur!BN201*VLOOKUP('Données projet'!$B$11,Paramètres!$A$1:$I$89,3,0)*0.475*44/12</f>
        <v>0.15591056706634424</v>
      </c>
      <c r="BR201" s="23">
        <f>EXP(-LN(2)/2)*BR200+(1-EXP(-LN(2)/2))/(LN(2)/2)*BL201*BO201*VLOOKUP('Données projet'!$B$11,Paramètres!$A$1:$I$89,3,0)*0.475*44/12</f>
        <v>3.2776829867572236E-25</v>
      </c>
      <c r="BS201" s="24">
        <f t="shared" si="169"/>
        <v>0.51517690334860633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5.1159076974727213E-13</v>
      </c>
      <c r="BZ201" s="14">
        <f>BY201*VLOOKUP('Données projet'!$B$12,Paramètres!$A$1:$I$89,3,0)*VLOOKUP('Données projet'!$B$12,Paramètres!$A$1:$I$89,5,0)</f>
        <v>2.3942448024172334E-13</v>
      </c>
      <c r="CA201" s="14">
        <f t="shared" si="170"/>
        <v>3.2492669905861755E-12</v>
      </c>
      <c r="CB201" s="22">
        <f t="shared" si="171"/>
        <v>6.0761376450252565E-12</v>
      </c>
      <c r="CC201" s="62">
        <f t="shared" si="195"/>
        <v>293.3333333333394</v>
      </c>
      <c r="CD201" s="62">
        <f ca="1">AVERAGE(OFFSET($CC$3,0,0,'Données projet'!$E$12+1,1))-AVERAGE(OFFSET($H$3,0,0,'Données projet'!$E$12+1,1))</f>
        <v>179.14256291235466</v>
      </c>
      <c r="CE201" s="62">
        <f t="shared" si="207"/>
        <v>107.5256983607585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-2.8421709430404007E-13</v>
      </c>
      <c r="CU201" s="18">
        <f>CT201*VLOOKUP('Données projet'!$B$13,Paramètres!$A$1:$I$89,3,0)*VLOOKUP('Données projet'!$B$13,Paramètres!$A$1:$I$89,5,0)</f>
        <v>-1.69961822393816E-13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237.03649693529445</v>
      </c>
      <c r="CZ201" s="62">
        <f t="shared" si="208"/>
        <v>191.04289411674887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2.7208396970352842E-25</v>
      </c>
      <c r="DI201" s="24">
        <f t="shared" si="175"/>
        <v>2.7208396970352842E-25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1.3096723705530166E-13</v>
      </c>
      <c r="DQ201" s="14">
        <f t="shared" si="176"/>
        <v>1.9066764221344275E-12</v>
      </c>
      <c r="DR201" s="22">
        <f t="shared" si="177"/>
        <v>3.548896039755445E-12</v>
      </c>
      <c r="DS201" s="62">
        <f t="shared" si="197"/>
        <v>293.33333333333684</v>
      </c>
      <c r="DT201" s="62">
        <f ca="1">AVERAGE(OFFSET($DS$3,0,0,'Données projet'!$E$14+1,1))-AVERAGE(OFFSET($H$3,0,0,'Données projet'!$E$14+1,1))</f>
        <v>431.38469096974364</v>
      </c>
      <c r="DU201" s="62">
        <f t="shared" si="209"/>
        <v>295.48627059086647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9.2916845618271054E-3</v>
      </c>
      <c r="EC201" s="23">
        <f>EXP(-LN(2)/2)*EC200+(1-EXP(-LN(2)/2))/(LN(2)/2)*DW201*DZ201*VLOOKUP('Données projet'!$B$14,Paramètres!$A$1:$I$89,3,0)*0.475*44/12</f>
        <v>1.9844244877589827E-25</v>
      </c>
      <c r="ED201" s="24">
        <f t="shared" si="178"/>
        <v>9.2916845618271054E-3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6.4733285398688169E-14</v>
      </c>
      <c r="EL201" s="14">
        <f t="shared" si="179"/>
        <v>1.0229736701638572E-12</v>
      </c>
      <c r="EM201" s="22">
        <f t="shared" si="180"/>
        <v>1.8944229476047665E-12</v>
      </c>
      <c r="EN201" s="62">
        <f t="shared" si="198"/>
        <v>293.33333333333519</v>
      </c>
      <c r="EO201" s="62">
        <f ca="1">AVERAGE(OFFSET($EN$3,0,0,'Données projet'!$E$15+1,1))-AVERAGE(OFFSET($H$3,0,0,'Données projet'!$E$15+1,1))</f>
        <v>220.03635832253951</v>
      </c>
      <c r="EP201" s="62">
        <f t="shared" si="210"/>
        <v>136.30639155882233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490.00000000000091</v>
      </c>
      <c r="FF201" s="18">
        <f>FE201*VLOOKUP('Données projet'!$B$16,Paramètres!$A$1:$I$89,3,0)*VLOOKUP('Données projet'!$B$16,Paramètres!$A$1:$I$89,5,0)</f>
        <v>512.14800000000105</v>
      </c>
      <c r="FG201" s="14">
        <f t="shared" si="182"/>
        <v>114.17576021740676</v>
      </c>
      <c r="FH201" s="22">
        <f t="shared" si="183"/>
        <v>1090.8472157119852</v>
      </c>
      <c r="FI201" s="62">
        <f t="shared" si="199"/>
        <v>1384.1805490453185</v>
      </c>
      <c r="FJ201" s="62">
        <f ca="1">AVERAGE(OFFSET($FI$3,0,0,'Données projet'!$E$16+1,1))-AVERAGE(OFFSET($H$3,0,0,'Données projet'!$E$16+1,1))</f>
        <v>641.62708445664862</v>
      </c>
      <c r="FK201" s="62">
        <f t="shared" si="211"/>
        <v>379.46845863546929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1.1216483950664482E-24</v>
      </c>
      <c r="FT201" s="24">
        <f t="shared" si="184"/>
        <v>1.1216483950664482E-24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5.6843418860808015E-14</v>
      </c>
      <c r="GA201" s="18">
        <f>FZ201*VLOOKUP('Données projet'!$B$17,Paramètres!$A$1:$I$89,3,0)*VLOOKUP('Données projet'!$B$17,Paramètres!$A$1:$I$89,5,0)</f>
        <v>5.4978954722173515E-14</v>
      </c>
      <c r="GB201" s="14">
        <f t="shared" si="185"/>
        <v>8.8550225887742724E-13</v>
      </c>
      <c r="GC201" s="22">
        <f t="shared" si="186"/>
        <v>1.6380047803526383E-12</v>
      </c>
      <c r="GD201" s="62">
        <f t="shared" si="200"/>
        <v>293.33333333333496</v>
      </c>
      <c r="GE201" s="62">
        <f ca="1">AVERAGE(OFFSET($GD$3,0,0,'Données projet'!$E$17+1,1))-AVERAGE(OFFSET($H$3,0,0,'Données projet'!$E$17+1,1))</f>
        <v>181.39066880931728</v>
      </c>
      <c r="GF201" s="62">
        <f t="shared" si="212"/>
        <v>116.06078566855524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-1.7053025658242404E-13</v>
      </c>
      <c r="GV201" s="18">
        <f>GU201*VLOOKUP('Données projet'!$B$18,Paramètres!$A$1:$I$89,3,0)*VLOOKUP('Données projet'!$B$18,Paramètres!$A$1:$I$89,5,0)</f>
        <v>-1.4897523215040567E-13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152.84277478695606</v>
      </c>
      <c r="HA201" s="62">
        <f t="shared" si="213"/>
        <v>179.22995976651015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9">
        <f t="shared" si="192"/>
        <v>496.43778820998034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-9.7986685432260874E-13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383.26814640166805</v>
      </c>
      <c r="T202" s="62">
        <f t="shared" si="204"/>
        <v>233.71216103405249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6.1186256061773749E-14</v>
      </c>
      <c r="AK202" s="14">
        <f t="shared" si="164"/>
        <v>9.7328366192051127E-13</v>
      </c>
      <c r="AL202" s="22">
        <f t="shared" si="165"/>
        <v>1.8017017738191463E-12</v>
      </c>
      <c r="AM202" s="62">
        <f t="shared" si="193"/>
        <v>293.33333333333513</v>
      </c>
      <c r="AN202" s="62">
        <f ca="1">AVERAGE(OFFSET($AM$3,0,0,'Données projet'!$E$10+1,1))-AVERAGE(OFFSET($H$3,0,0,'Données projet'!$E$10+1,1))</f>
        <v>205.99910063756408</v>
      </c>
      <c r="AO202" s="62">
        <f t="shared" si="205"/>
        <v>128.95330275493671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293.3333333333353</v>
      </c>
      <c r="BI202" s="62">
        <f ca="1">AVERAGE(OFFSET($BH$3,0,0,'Données projet'!$E$11+1,1))-AVERAGE(OFFSET($H$3,0,0,'Données projet'!$E$11+1,1))</f>
        <v>222.20580087523689</v>
      </c>
      <c r="BJ202" s="62">
        <f t="shared" si="206"/>
        <v>232.08940427392253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0.35222134255859472</v>
      </c>
      <c r="BQ202" s="23">
        <f>EXP(-LN(2)/25)*BQ201+(1-EXP(-LN(2)/25))/(LN(2)/25)*Calculateur!BL202*Calculateur!BN202*VLOOKUP('Données projet'!$B$11,Paramètres!$A$1:$I$89,3,0)*0.475*44/12</f>
        <v>0.15164718441093467</v>
      </c>
      <c r="BR202" s="23">
        <f>EXP(-LN(2)/2)*BR201+(1-EXP(-LN(2)/2))/(LN(2)/2)*BL202*BO202*VLOOKUP('Données projet'!$B$11,Paramètres!$A$1:$I$89,3,0)*0.475*44/12</f>
        <v>2.3176718665158097E-25</v>
      </c>
      <c r="BS202" s="24">
        <f t="shared" si="169"/>
        <v>0.50386852696952933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5.1159076974727213E-13</v>
      </c>
      <c r="BZ202" s="14">
        <f>BY202*VLOOKUP('Données projet'!$B$12,Paramètres!$A$1:$I$89,3,0)*VLOOKUP('Données projet'!$B$12,Paramètres!$A$1:$I$89,5,0)</f>
        <v>2.3942448024172334E-13</v>
      </c>
      <c r="CA202" s="14">
        <f t="shared" si="170"/>
        <v>3.2492669905861755E-12</v>
      </c>
      <c r="CB202" s="22">
        <f t="shared" si="171"/>
        <v>6.0761376450252565E-12</v>
      </c>
      <c r="CC202" s="62">
        <f t="shared" si="195"/>
        <v>293.3333333333394</v>
      </c>
      <c r="CD202" s="62">
        <f ca="1">AVERAGE(OFFSET($CC$3,0,0,'Données projet'!$E$12+1,1))-AVERAGE(OFFSET($H$3,0,0,'Données projet'!$E$12+1,1))</f>
        <v>179.14256291235466</v>
      </c>
      <c r="CE202" s="62">
        <f t="shared" si="207"/>
        <v>107.5256983607585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-2.8421709430404007E-13</v>
      </c>
      <c r="CU202" s="18">
        <f>CT202*VLOOKUP('Données projet'!$B$13,Paramètres!$A$1:$I$89,3,0)*VLOOKUP('Données projet'!$B$13,Paramètres!$A$1:$I$89,5,0)</f>
        <v>-1.69961822393816E-13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237.03649693529445</v>
      </c>
      <c r="CZ202" s="62">
        <f t="shared" si="208"/>
        <v>191.04289411674887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1.923924200295201E-25</v>
      </c>
      <c r="DI202" s="24">
        <f t="shared" si="175"/>
        <v>1.923924200295201E-25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1.3096723705530166E-13</v>
      </c>
      <c r="DQ202" s="14">
        <f t="shared" si="176"/>
        <v>1.9066764221344275E-12</v>
      </c>
      <c r="DR202" s="22">
        <f t="shared" si="177"/>
        <v>3.548896039755445E-12</v>
      </c>
      <c r="DS202" s="62">
        <f t="shared" si="197"/>
        <v>293.33333333333684</v>
      </c>
      <c r="DT202" s="62">
        <f ca="1">AVERAGE(OFFSET($DS$3,0,0,'Données projet'!$E$14+1,1))-AVERAGE(OFFSET($H$3,0,0,'Données projet'!$E$14+1,1))</f>
        <v>431.38469096974364</v>
      </c>
      <c r="DU202" s="62">
        <f t="shared" si="209"/>
        <v>295.48627059086647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9.0376029588554885E-3</v>
      </c>
      <c r="EC202" s="23">
        <f>EXP(-LN(2)/2)*EC201+(1-EXP(-LN(2)/2))/(LN(2)/2)*DW202*DZ202*VLOOKUP('Données projet'!$B$14,Paramètres!$A$1:$I$89,3,0)*0.475*44/12</f>
        <v>1.4032000120470176E-25</v>
      </c>
      <c r="ED202" s="24">
        <f t="shared" si="178"/>
        <v>9.0376029588554885E-3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6.4733285398688169E-14</v>
      </c>
      <c r="EL202" s="14">
        <f t="shared" si="179"/>
        <v>1.0229736701638572E-12</v>
      </c>
      <c r="EM202" s="22">
        <f t="shared" si="180"/>
        <v>1.8944229476047665E-12</v>
      </c>
      <c r="EN202" s="62">
        <f t="shared" si="198"/>
        <v>293.33333333333519</v>
      </c>
      <c r="EO202" s="62">
        <f ca="1">AVERAGE(OFFSET($EN$3,0,0,'Données projet'!$E$15+1,1))-AVERAGE(OFFSET($H$3,0,0,'Données projet'!$E$15+1,1))</f>
        <v>220.03635832253951</v>
      </c>
      <c r="EP202" s="62">
        <f t="shared" si="210"/>
        <v>136.30639155882233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490.00000000000091</v>
      </c>
      <c r="FF202" s="18">
        <f>FE202*VLOOKUP('Données projet'!$B$16,Paramètres!$A$1:$I$89,3,0)*VLOOKUP('Données projet'!$B$16,Paramètres!$A$1:$I$89,5,0)</f>
        <v>512.14800000000105</v>
      </c>
      <c r="FG202" s="14">
        <f t="shared" si="182"/>
        <v>114.17576021740676</v>
      </c>
      <c r="FH202" s="22">
        <f t="shared" si="183"/>
        <v>1090.8472157119852</v>
      </c>
      <c r="FI202" s="62">
        <f t="shared" si="199"/>
        <v>1384.1805490453185</v>
      </c>
      <c r="FJ202" s="62">
        <f ca="1">AVERAGE(OFFSET($FI$3,0,0,'Données projet'!$E$16+1,1))-AVERAGE(OFFSET($H$3,0,0,'Données projet'!$E$16+1,1))</f>
        <v>641.62708445664862</v>
      </c>
      <c r="FK202" s="62">
        <f t="shared" si="211"/>
        <v>379.46845863546929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7.9312518625849322E-25</v>
      </c>
      <c r="FT202" s="24">
        <f t="shared" si="184"/>
        <v>7.9312518625849322E-25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5.6843418860808015E-14</v>
      </c>
      <c r="GA202" s="18">
        <f>FZ202*VLOOKUP('Données projet'!$B$17,Paramètres!$A$1:$I$89,3,0)*VLOOKUP('Données projet'!$B$17,Paramètres!$A$1:$I$89,5,0)</f>
        <v>5.4978954722173515E-14</v>
      </c>
      <c r="GB202" s="14">
        <f t="shared" si="185"/>
        <v>8.8550225887742724E-13</v>
      </c>
      <c r="GC202" s="22">
        <f t="shared" si="186"/>
        <v>1.6380047803526383E-12</v>
      </c>
      <c r="GD202" s="62">
        <f t="shared" si="200"/>
        <v>293.33333333333496</v>
      </c>
      <c r="GE202" s="62">
        <f ca="1">AVERAGE(OFFSET($GD$3,0,0,'Données projet'!$E$17+1,1))-AVERAGE(OFFSET($H$3,0,0,'Données projet'!$E$17+1,1))</f>
        <v>181.39066880931728</v>
      </c>
      <c r="GF202" s="62">
        <f t="shared" si="212"/>
        <v>116.06078566855524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-1.7053025658242404E-13</v>
      </c>
      <c r="GV202" s="18">
        <f>GU202*VLOOKUP('Données projet'!$B$18,Paramètres!$A$1:$I$89,3,0)*VLOOKUP('Données projet'!$B$18,Paramètres!$A$1:$I$89,5,0)</f>
        <v>-1.4897523215040567E-13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152.84277478695606</v>
      </c>
      <c r="HA202" s="62">
        <f t="shared" si="213"/>
        <v>179.22995976651015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9">
        <f t="shared" si="192"/>
        <v>497.61304526670318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-9.7986685432260874E-13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383.26814640166805</v>
      </c>
      <c r="T203" s="62">
        <f t="shared" si="204"/>
        <v>233.71216103405249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6.1186256061773749E-14</v>
      </c>
      <c r="AK203" s="14">
        <f t="shared" si="164"/>
        <v>9.7328366192051127E-13</v>
      </c>
      <c r="AL203" s="22">
        <f t="shared" si="165"/>
        <v>1.8017017738191463E-12</v>
      </c>
      <c r="AM203" s="62">
        <f t="shared" si="193"/>
        <v>293.33333333333513</v>
      </c>
      <c r="AN203" s="62">
        <f ca="1">AVERAGE(OFFSET($AM$3,0,0,'Données projet'!$E$10+1,1))-AVERAGE(OFFSET($H$3,0,0,'Données projet'!$E$10+1,1))</f>
        <v>205.99910063756408</v>
      </c>
      <c r="AO203" s="62">
        <f t="shared" si="205"/>
        <v>128.95330275493671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293.3333333333353</v>
      </c>
      <c r="BI203" s="62">
        <f ca="1">AVERAGE(OFFSET($BH$3,0,0,'Données projet'!$E$11+1,1))-AVERAGE(OFFSET($H$3,0,0,'Données projet'!$E$11+1,1))</f>
        <v>222.20580087523689</v>
      </c>
      <c r="BJ203" s="62">
        <f t="shared" si="206"/>
        <v>232.08940427392253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0.34531449686482657</v>
      </c>
      <c r="BQ203" s="23">
        <f>EXP(-LN(2)/25)*BQ202+(1-EXP(-LN(2)/25))/(LN(2)/25)*Calculateur!BL203*Calculateur!BN203*VLOOKUP('Données projet'!$B$11,Paramètres!$A$1:$I$89,3,0)*0.475*44/12</f>
        <v>0.14750038417843883</v>
      </c>
      <c r="BR203" s="23">
        <f>EXP(-LN(2)/2)*BR202+(1-EXP(-LN(2)/2))/(LN(2)/2)*BL203*BO203*VLOOKUP('Données projet'!$B$11,Paramètres!$A$1:$I$89,3,0)*0.475*44/12</f>
        <v>1.6388414933786118E-25</v>
      </c>
      <c r="BS203" s="24">
        <f t="shared" si="169"/>
        <v>0.49281488104326543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5.1159076974727213E-13</v>
      </c>
      <c r="BZ203" s="14">
        <f>BY203*VLOOKUP('Données projet'!$B$12,Paramètres!$A$1:$I$89,3,0)*VLOOKUP('Données projet'!$B$12,Paramètres!$A$1:$I$89,5,0)</f>
        <v>2.3942448024172334E-13</v>
      </c>
      <c r="CA203" s="14">
        <f t="shared" si="170"/>
        <v>3.2492669905861755E-12</v>
      </c>
      <c r="CB203" s="22">
        <f t="shared" si="171"/>
        <v>6.0761376450252565E-12</v>
      </c>
      <c r="CC203" s="62">
        <f t="shared" si="195"/>
        <v>293.3333333333394</v>
      </c>
      <c r="CD203" s="62">
        <f ca="1">AVERAGE(OFFSET($CC$3,0,0,'Données projet'!$E$12+1,1))-AVERAGE(OFFSET($H$3,0,0,'Données projet'!$E$12+1,1))</f>
        <v>179.14256291235466</v>
      </c>
      <c r="CE203" s="62">
        <f t="shared" si="207"/>
        <v>107.5256983607585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-2.8421709430404007E-13</v>
      </c>
      <c r="CU203" s="18">
        <f>CT203*VLOOKUP('Données projet'!$B$13,Paramètres!$A$1:$I$89,3,0)*VLOOKUP('Données projet'!$B$13,Paramètres!$A$1:$I$89,5,0)</f>
        <v>-1.69961822393816E-13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237.03649693529445</v>
      </c>
      <c r="CZ203" s="62">
        <f t="shared" si="208"/>
        <v>191.04289411674887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1.3604198485176421E-25</v>
      </c>
      <c r="DI203" s="24">
        <f t="shared" si="175"/>
        <v>1.3604198485176421E-25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1.3096723705530166E-13</v>
      </c>
      <c r="DQ203" s="14">
        <f t="shared" si="176"/>
        <v>1.9066764221344275E-12</v>
      </c>
      <c r="DR203" s="22">
        <f t="shared" si="177"/>
        <v>3.548896039755445E-12</v>
      </c>
      <c r="DS203" s="62">
        <f t="shared" si="197"/>
        <v>293.33333333333684</v>
      </c>
      <c r="DT203" s="62">
        <f ca="1">AVERAGE(OFFSET($DS$3,0,0,'Données projet'!$E$14+1,1))-AVERAGE(OFFSET($H$3,0,0,'Données projet'!$E$14+1,1))</f>
        <v>431.38469096974364</v>
      </c>
      <c r="DU203" s="62">
        <f t="shared" si="209"/>
        <v>295.48627059086647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8.7904692306787005E-3</v>
      </c>
      <c r="EC203" s="23">
        <f>EXP(-LN(2)/2)*EC202+(1-EXP(-LN(2)/2))/(LN(2)/2)*DW203*DZ203*VLOOKUP('Données projet'!$B$14,Paramètres!$A$1:$I$89,3,0)*0.475*44/12</f>
        <v>9.9221224387949134E-26</v>
      </c>
      <c r="ED203" s="24">
        <f t="shared" si="178"/>
        <v>8.7904692306787005E-3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6.4733285398688169E-14</v>
      </c>
      <c r="EL203" s="14">
        <f t="shared" si="179"/>
        <v>1.0229736701638572E-12</v>
      </c>
      <c r="EM203" s="22">
        <f t="shared" si="180"/>
        <v>1.8944229476047665E-12</v>
      </c>
      <c r="EN203" s="62">
        <f t="shared" si="198"/>
        <v>293.33333333333519</v>
      </c>
      <c r="EO203" s="62">
        <f ca="1">AVERAGE(OFFSET($EN$3,0,0,'Données projet'!$E$15+1,1))-AVERAGE(OFFSET($H$3,0,0,'Données projet'!$E$15+1,1))</f>
        <v>220.03635832253951</v>
      </c>
      <c r="EP203" s="62">
        <f t="shared" si="210"/>
        <v>136.30639155882233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490.00000000000091</v>
      </c>
      <c r="FF203" s="18">
        <f>FE203*VLOOKUP('Données projet'!$B$16,Paramètres!$A$1:$I$89,3,0)*VLOOKUP('Données projet'!$B$16,Paramètres!$A$1:$I$89,5,0)</f>
        <v>512.14800000000105</v>
      </c>
      <c r="FG203" s="14">
        <f t="shared" si="182"/>
        <v>114.17576021740676</v>
      </c>
      <c r="FH203" s="22">
        <f t="shared" si="183"/>
        <v>1090.8472157119852</v>
      </c>
      <c r="FI203" s="62">
        <f t="shared" si="199"/>
        <v>1384.1805490453185</v>
      </c>
      <c r="FJ203" s="62">
        <f ca="1">AVERAGE(OFFSET($FI$3,0,0,'Données projet'!$E$16+1,1))-AVERAGE(OFFSET($H$3,0,0,'Données projet'!$E$16+1,1))</f>
        <v>641.62708445664862</v>
      </c>
      <c r="FK203" s="62">
        <f t="shared" si="211"/>
        <v>379.46845863546929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5.6082419753322411E-25</v>
      </c>
      <c r="FT203" s="24">
        <f t="shared" si="184"/>
        <v>5.6082419753322411E-25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5.6843418860808015E-14</v>
      </c>
      <c r="GA203" s="18">
        <f>FZ203*VLOOKUP('Données projet'!$B$17,Paramètres!$A$1:$I$89,3,0)*VLOOKUP('Données projet'!$B$17,Paramètres!$A$1:$I$89,5,0)</f>
        <v>5.4978954722173515E-14</v>
      </c>
      <c r="GB203" s="14">
        <f t="shared" si="185"/>
        <v>8.8550225887742724E-13</v>
      </c>
      <c r="GC203" s="22">
        <f t="shared" si="186"/>
        <v>1.6380047803526383E-12</v>
      </c>
      <c r="GD203" s="62">
        <f t="shared" si="200"/>
        <v>293.33333333333496</v>
      </c>
      <c r="GE203" s="62">
        <f ca="1">AVERAGE(OFFSET($GD$3,0,0,'Données projet'!$E$17+1,1))-AVERAGE(OFFSET($H$3,0,0,'Données projet'!$E$17+1,1))</f>
        <v>181.39066880931728</v>
      </c>
      <c r="GF203" s="62">
        <f t="shared" si="212"/>
        <v>116.06078566855524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-1.7053025658242404E-13</v>
      </c>
      <c r="GV203" s="18">
        <f>GU203*VLOOKUP('Données projet'!$B$18,Paramètres!$A$1:$I$89,3,0)*VLOOKUP('Données projet'!$B$18,Paramètres!$A$1:$I$89,5,0)</f>
        <v>-1.4897523215040567E-13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152.84277478695606</v>
      </c>
      <c r="HA203" s="62">
        <f t="shared" si="213"/>
        <v>179.22995976651015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1.2054868146447177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1.1644235083052243</v>
      </c>
      <c r="BA205" s="87">
        <f>EXP(LN('Données projet'!B88)/'Données projet'!A88)</f>
        <v>1.3292852468636394</v>
      </c>
      <c r="BV205" s="87">
        <f>EXP(LN('Données projet'!B114)/'Données projet'!A114)</f>
        <v>1.1671681906248585</v>
      </c>
      <c r="CQ205" s="87">
        <f>EXP(LN('Données projet'!B140)/'Données projet'!A140)</f>
        <v>1.2476305424001204</v>
      </c>
      <c r="DL205" s="87">
        <f>EXP(LN('Données projet'!B166)/'Données projet'!A166)</f>
        <v>1.4341955756635465</v>
      </c>
      <c r="EG205" s="87">
        <f>EXP(LN('Données projet'!B192)/'Données projet'!A192)</f>
        <v>1.1644235083052243</v>
      </c>
      <c r="FB205" s="87">
        <f>EXP(LN('Données projet'!B218)/'Données projet'!A218)</f>
        <v>1.2926269030784696</v>
      </c>
      <c r="FW205" s="87">
        <f>EXP(LN('Données projet'!B244)/'Données projet'!A244)</f>
        <v>1.1644235083052243</v>
      </c>
      <c r="GR205" s="87">
        <f>EXP(LN('Données projet'!B270)/'Données projet'!A270)</f>
        <v>1.1554831727638066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M16" sqref="M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pubescent</v>
      </c>
      <c r="B6" s="153">
        <f>'Données projet'!D9</f>
        <v>5.3360000000000003</v>
      </c>
      <c r="C6" s="154">
        <f ca="1">IF(OR('Données projet'!B9="",'Données projet'!C9="",'Données projet'!C9=0%),0,Calculateur!S3)</f>
        <v>383.26814640166805</v>
      </c>
      <c r="D6" s="154">
        <f>IF(OR('Données projet'!B9="",'Données projet'!C9="",'Données projet'!C9=0%),0,Calculateur!T3)</f>
        <v>233.71216103405249</v>
      </c>
      <c r="E6" s="154">
        <f ca="1">MIN(C6,D6)</f>
        <v>233.71216103405249</v>
      </c>
      <c r="F6" s="154">
        <f ca="1">E6*B6</f>
        <v>1247.0880912777041</v>
      </c>
      <c r="G6" s="154">
        <f ca="1">F6*(100%-'Données projet'!$C$24)*(100%-'Données projet'!$C$25)*(100%-'Données projet'!$C$26)*(100%-'Données projet'!$C$27)</f>
        <v>954.02238982744359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38.686</v>
      </c>
      <c r="K6" s="158">
        <f>J6*(100%-'Données projet'!$C$24)*(100%-'Données projet'!$C$25)*(100%-'Données projet'!$C$26)*(100%-'Données projet'!$C$27)</f>
        <v>29.59479</v>
      </c>
      <c r="L6" s="159">
        <f ca="1">G6+I6+K6</f>
        <v>983.61717982744358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Cormier</v>
      </c>
      <c r="B7" s="161">
        <f>'Données projet'!D10</f>
        <v>0.69599999999999995</v>
      </c>
      <c r="C7" s="154">
        <f ca="1">IF(OR('Données projet'!B10="",'Données projet'!C10="",'Données projet'!C10=0%),0,Calculateur!AN3)</f>
        <v>205.99910063756408</v>
      </c>
      <c r="D7" s="154">
        <f>IF(OR('Données projet'!B10="",'Données projet'!C10="",'Données projet'!C10=0%),0,Calculateur!AO3)</f>
        <v>128.95330275493671</v>
      </c>
      <c r="E7" s="154">
        <f t="shared" ref="E7:E15" ca="1" si="0">MIN(C7,D7)</f>
        <v>128.95330275493671</v>
      </c>
      <c r="F7" s="154">
        <f t="shared" ref="F7:F15" ca="1" si="1">E7*B7</f>
        <v>89.75149871743595</v>
      </c>
      <c r="G7" s="154">
        <f ca="1">F7*(100%-'Données projet'!$C$24)*(100%-'Données projet'!$C$25)*(100%-'Données projet'!$C$26)*(100%-'Données projet'!$C$27)</f>
        <v>68.659896518838494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ca="1" si="2">G7+I7+K7</f>
        <v>68.659896518838494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Pin maritime</v>
      </c>
      <c r="B8" s="161">
        <f>'Données projet'!D11</f>
        <v>6.7279999999999998</v>
      </c>
      <c r="C8" s="154">
        <f ca="1">IF(OR('Données projet'!B11="",'Données projet'!C11="",'Données projet'!C11=0%),0,Calculateur!BI3)</f>
        <v>222.20580087523689</v>
      </c>
      <c r="D8" s="154">
        <f>IF(OR('Données projet'!B11="",'Données projet'!C11="",'Données projet'!C11=0%),0,Calculateur!BJ3)</f>
        <v>232.08940427392253</v>
      </c>
      <c r="E8" s="154">
        <f t="shared" ca="1" si="0"/>
        <v>222.20580087523689</v>
      </c>
      <c r="F8" s="154">
        <f t="shared" ca="1" si="1"/>
        <v>1495.0006282885938</v>
      </c>
      <c r="G8" s="154">
        <f ca="1">F8*(100%-'Données projet'!$C$24)*(100%-'Données projet'!$C$25)*(100%-'Données projet'!$C$26)*(100%-'Données projet'!$C$27)</f>
        <v>1143.6754806407741</v>
      </c>
      <c r="H8" s="162">
        <f>IF(OR('Données projet'!B11="",'Données projet'!C11="",'Données projet'!C11=0%),0,AVERAGE(Calculateur!$BS$3:$BS$33)*B8)</f>
        <v>65.717262162432476</v>
      </c>
      <c r="I8" s="156">
        <f>H8*(100%-'Données projet'!$C$24)*(100%-'Données projet'!$C$25)*(100%-'Données projet'!$C$26)*(100%-'Données projet'!$C$27)</f>
        <v>50.273705554260843</v>
      </c>
      <c r="J8" s="157">
        <f>IF(OR('Données projet'!B11="",'Données projet'!C11="",'Données projet'!C11=0%),0,SUM(Calculateur!$BL$3:$BL$33)*VLOOKUP('Données projet'!$B$11,Paramètres!$A$1:$I$89,9,0)*B8)</f>
        <v>571.00018461538457</v>
      </c>
      <c r="K8" s="158">
        <f>J8*(100%-'Données projet'!$C$24)*(100%-'Données projet'!$C$25)*(100%-'Données projet'!$C$26)*(100%-'Données projet'!$C$27)</f>
        <v>436.8151412307692</v>
      </c>
      <c r="L8" s="159">
        <f t="shared" ca="1" si="2"/>
        <v>1630.7643274258044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Cèdre de l'Atlas</v>
      </c>
      <c r="B9" s="161">
        <f>'Données projet'!D12</f>
        <v>2.552</v>
      </c>
      <c r="C9" s="154">
        <f ca="1">IF(OR('Données projet'!B12="",'Données projet'!C12="",'Données projet'!C12=0%),0,Calculateur!CD3)</f>
        <v>179.14256291235466</v>
      </c>
      <c r="D9" s="154">
        <f>IF(OR('Données projet'!B12="",'Données projet'!C12="",'Données projet'!C12=0%),0,Calculateur!CE3)</f>
        <v>107.5256983607585</v>
      </c>
      <c r="E9" s="154">
        <f t="shared" ca="1" si="0"/>
        <v>107.5256983607585</v>
      </c>
      <c r="F9" s="154">
        <f t="shared" ca="1" si="1"/>
        <v>274.40558221665572</v>
      </c>
      <c r="G9" s="154">
        <f ca="1">F9*(100%-'Données projet'!$C$24)*(100%-'Données projet'!$C$25)*(100%-'Données projet'!$C$26)*(100%-'Données projet'!$C$27)</f>
        <v>209.92027039574162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ca="1" si="2"/>
        <v>209.92027039574162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Pin laricio</v>
      </c>
      <c r="B10" s="161">
        <f>'Données projet'!D13</f>
        <v>2.0880000000000001</v>
      </c>
      <c r="C10" s="154">
        <f ca="1">IF(OR('Données projet'!B13="",'Données projet'!C13="",'Données projet'!C13=0%),0,Calculateur!CY3)</f>
        <v>237.03649693529445</v>
      </c>
      <c r="D10" s="154">
        <f>IF(OR('Données projet'!B13="",'Données projet'!C13="",'Données projet'!C13=0%),0,Calculateur!CZ3)</f>
        <v>191.04289411674887</v>
      </c>
      <c r="E10" s="154">
        <f t="shared" ca="1" si="0"/>
        <v>191.04289411674887</v>
      </c>
      <c r="F10" s="154">
        <f t="shared" ca="1" si="1"/>
        <v>398.89756291577163</v>
      </c>
      <c r="G10" s="154">
        <f ca="1">F10*(100%-'Données projet'!$C$24)*(100%-'Données projet'!$C$25)*(100%-'Données projet'!$C$26)*(100%-'Données projet'!$C$27)</f>
        <v>305.15663563056529</v>
      </c>
      <c r="H10" s="162">
        <f>IF(OR('Données projet'!B13="",'Données projet'!C13="",'Données projet'!C13=0%),0,AVERAGE(Calculateur!$DI$3:$DI$33)*B10)</f>
        <v>5.9478203812402253</v>
      </c>
      <c r="I10" s="156">
        <f>H10*(100%-'Données projet'!$C$24)*(100%-'Données projet'!$C$25)*(100%-'Données projet'!$C$26)*(100%-'Données projet'!$C$27)</f>
        <v>4.5500825916487724</v>
      </c>
      <c r="J10" s="157">
        <f>IF(OR('Données projet'!B13="",'Données projet'!C13="",'Données projet'!C13=0%),0,SUM(Calculateur!$DB$3:$DB$33)*VLOOKUP('Données projet'!$B$13,Paramètres!$A$1:$I$89,9,0)*B10)</f>
        <v>78.464309538461521</v>
      </c>
      <c r="K10" s="158">
        <f>J10*(100%-'Données projet'!$C$24)*(100%-'Données projet'!$C$25)*(100%-'Données projet'!$C$26)*(100%-'Données projet'!$C$27)</f>
        <v>60.025196796923062</v>
      </c>
      <c r="L10" s="159">
        <f t="shared" ca="1" si="2"/>
        <v>369.73191501913715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Pin pignon</v>
      </c>
      <c r="B11" s="161">
        <f>'Données projet'!D14</f>
        <v>0.46399999999999997</v>
      </c>
      <c r="C11" s="154">
        <f ca="1">IF(OR('Données projet'!B14="",'Données projet'!C14="",'Données projet'!C14=0%),0,Calculateur!DT3)</f>
        <v>431.38469096974364</v>
      </c>
      <c r="D11" s="154">
        <f>IF(OR('Données projet'!B14="",'Données projet'!C14="",'Données projet'!C14=0%),0,Calculateur!DU3)</f>
        <v>295.48627059086647</v>
      </c>
      <c r="E11" s="154">
        <f t="shared" ca="1" si="0"/>
        <v>295.48627059086647</v>
      </c>
      <c r="F11" s="154">
        <f t="shared" ca="1" si="1"/>
        <v>137.10562955416202</v>
      </c>
      <c r="G11" s="154">
        <f ca="1">F11*(100%-'Données projet'!$C$24)*(100%-'Données projet'!$C$25)*(100%-'Données projet'!$C$26)*(100%-'Données projet'!$C$27)</f>
        <v>104.88580660893395</v>
      </c>
      <c r="H11" s="162">
        <f>IF(OR('Données projet'!B14="",'Données projet'!C14="",'Données projet'!C14=0%),0,AVERAGE(Calculateur!$ED$3:$ED$33)*B11)</f>
        <v>0.40417403400718538</v>
      </c>
      <c r="I11" s="156">
        <f>H11*(100%-'Données projet'!$C$24)*(100%-'Données projet'!$C$25)*(100%-'Données projet'!$C$26)*(100%-'Données projet'!$C$27)</f>
        <v>0.30919313601549681</v>
      </c>
      <c r="J11" s="157">
        <f>IF(OR('Données projet'!B14="",'Données projet'!C14="",'Données projet'!C14=0%),0,SUM(Calculateur!$DW$3:$DW$33)*VLOOKUP('Données projet'!$B$14,Paramètres!$A$1:$I$89,9,0)*B11)</f>
        <v>5.4468959999999988</v>
      </c>
      <c r="K11" s="158">
        <f>J11*(100%-'Données projet'!$C$24)*(100%-'Données projet'!$C$25)*(100%-'Données projet'!$C$26)*(100%-'Données projet'!$C$27)</f>
        <v>4.1668754399999992</v>
      </c>
      <c r="L11" s="159">
        <f t="shared" ca="1" si="2"/>
        <v>109.36187518494944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Chêne vert</v>
      </c>
      <c r="B12" s="161">
        <f>'Données projet'!D15</f>
        <v>1.3919999999999999</v>
      </c>
      <c r="C12" s="154">
        <f ca="1">IF(OR('Données projet'!B15="",'Données projet'!C15="",'Données projet'!C15=0%),0,Calculateur!EO3)</f>
        <v>220.03635832253951</v>
      </c>
      <c r="D12" s="154">
        <f>IF(OR('Données projet'!B15="",'Données projet'!C15="",'Données projet'!C15=0%),0,Calculateur!EP3)</f>
        <v>136.30639155882233</v>
      </c>
      <c r="E12" s="154">
        <f t="shared" ca="1" si="0"/>
        <v>136.30639155882233</v>
      </c>
      <c r="F12" s="154">
        <f t="shared" ca="1" si="1"/>
        <v>189.73849704988066</v>
      </c>
      <c r="G12" s="154">
        <f ca="1">F12*(100%-'Données projet'!$C$24)*(100%-'Données projet'!$C$25)*(100%-'Données projet'!$C$26)*(100%-'Données projet'!$C$27)</f>
        <v>145.14995024315871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ca="1" si="2"/>
        <v>145.14995024315871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Chêne chevelu</v>
      </c>
      <c r="B13" s="161">
        <f>'Données projet'!D16</f>
        <v>1.8559999999999999</v>
      </c>
      <c r="C13" s="154">
        <f ca="1">IF(OR('Données projet'!B16="",'Données projet'!C16="",'Données projet'!C16=0%),0,Calculateur!FJ3)</f>
        <v>641.62708445664862</v>
      </c>
      <c r="D13" s="154">
        <f>IF(OR('Données projet'!B16="",'Données projet'!C16="",'Données projet'!C16=0%),0,Calculateur!FK3)</f>
        <v>379.46845863546929</v>
      </c>
      <c r="E13" s="154">
        <f t="shared" ca="1" si="0"/>
        <v>379.46845863546929</v>
      </c>
      <c r="F13" s="154">
        <f t="shared" ca="1" si="1"/>
        <v>704.29345922743096</v>
      </c>
      <c r="G13" s="154">
        <f ca="1">F13*(100%-'Données projet'!$C$24)*(100%-'Données projet'!$C$25)*(100%-'Données projet'!$C$26)*(100%-'Données projet'!$C$27)</f>
        <v>538.78449630898467</v>
      </c>
      <c r="H13" s="162">
        <f>IF(OR('Données projet'!B16="",'Données projet'!C16="",'Données projet'!C16=0%),0,AVERAGE(Calculateur!$FT$3:$FT$33)*B13)</f>
        <v>1.2989506544946829</v>
      </c>
      <c r="I13" s="156">
        <f>H13*(100%-'Données projet'!$C$24)*(100%-'Données projet'!$C$25)*(100%-'Données projet'!$C$26)*(100%-'Données projet'!$C$27)</f>
        <v>0.99369725068843251</v>
      </c>
      <c r="J13" s="157">
        <f>IF(OR('Données projet'!C16="",'Données projet'!C16=0%),0,SUM(Calculateur!$FM$3:$FM$33)*VLOOKUP('Données projet'!$B$16,Paramètres!$A$1:$I$89,9,0)*B13)</f>
        <v>20.415999999999997</v>
      </c>
      <c r="K13" s="158">
        <f>J13*(100%-'Données projet'!$C$24)*(100%-'Données projet'!$C$25)*(100%-'Données projet'!$C$26)*(100%-'Données projet'!$C$27)</f>
        <v>15.618239999999998</v>
      </c>
      <c r="L13" s="159">
        <f t="shared" ca="1" si="2"/>
        <v>555.39643355967314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>Alisier torminal</v>
      </c>
      <c r="B14" s="161">
        <f>'Données projet'!D17</f>
        <v>0.46399999999999997</v>
      </c>
      <c r="C14" s="154">
        <f ca="1">IF(OR('Données projet'!B17="",'Données projet'!C17="",'Données projet'!C17=0%),0,Calculateur!GE3)</f>
        <v>181.39066880931728</v>
      </c>
      <c r="D14" s="154">
        <f>IF(OR('Données projet'!B17="",'Données projet'!C17="",'Données projet'!C17=0%),0,Calculateur!GF3)</f>
        <v>116.06078566855524</v>
      </c>
      <c r="E14" s="154">
        <f t="shared" ca="1" si="0"/>
        <v>116.06078566855524</v>
      </c>
      <c r="F14" s="154">
        <f t="shared" ca="1" si="1"/>
        <v>53.852204550209628</v>
      </c>
      <c r="G14" s="154">
        <f ca="1">F14*(100%-'Données projet'!$C$24)*(100%-'Données projet'!$C$25)*(100%-'Données projet'!$C$26)*(100%-'Données projet'!$C$27)</f>
        <v>41.196936480910367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ca="1" si="2"/>
        <v>41.196936480910367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>Erable champêtre</v>
      </c>
      <c r="B15" s="164">
        <f>'Données projet'!D18</f>
        <v>0.69599999999999995</v>
      </c>
      <c r="C15" s="165">
        <f ca="1">IF(OR('Données projet'!B18="",'Données projet'!C18="",'Données projet'!C18=0%),0,Calculateur!GZ3)</f>
        <v>152.84277478695606</v>
      </c>
      <c r="D15" s="165">
        <f>IF(OR('Données projet'!B18="",'Données projet'!C18="",'Données projet'!C18=0%),0,Calculateur!HA3)</f>
        <v>179.22995976651015</v>
      </c>
      <c r="E15" s="165">
        <f t="shared" ca="1" si="0"/>
        <v>152.84277478695606</v>
      </c>
      <c r="F15" s="166">
        <f t="shared" ca="1" si="1"/>
        <v>106.37857125172141</v>
      </c>
      <c r="G15" s="166">
        <f ca="1">F15*(100%-'Données projet'!$C$24)*(100%-'Données projet'!$C$25)*(100%-'Données projet'!$C$26)*(100%-'Données projet'!$C$27)</f>
        <v>81.379607007566889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5.3939999999999992</v>
      </c>
      <c r="K15" s="170">
        <f>J15*(100%-'Données projet'!$C$24)*(100%-'Données projet'!$C$25)*(100%-'Données projet'!$C$26)*(100%-'Données projet'!$C$27)</f>
        <v>4.1264099999999999</v>
      </c>
      <c r="L15" s="171">
        <f t="shared" ca="1" si="2"/>
        <v>85.506017007566896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4696.511725049565</v>
      </c>
      <c r="G16" s="173">
        <f t="shared" ca="1" si="3"/>
        <v>3592.8314696629177</v>
      </c>
      <c r="H16" s="174">
        <f t="shared" si="3"/>
        <v>73.368207232174569</v>
      </c>
      <c r="I16" s="174">
        <f t="shared" si="3"/>
        <v>56.126678532613546</v>
      </c>
      <c r="J16" s="175">
        <f t="shared" si="3"/>
        <v>719.40739015384611</v>
      </c>
      <c r="K16" s="175">
        <f t="shared" si="3"/>
        <v>550.34665346769225</v>
      </c>
      <c r="L16" s="176">
        <f t="shared" ca="1" si="3"/>
        <v>4199.3048016632238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pubescent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Cormier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Pin maritime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Cèdre de l'Atlas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Pin laricio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Pin pignon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Chêne vert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Chêne chevelu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>Alisier torminal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>Erable champêtre</v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J1" zoomScale="85" zoomScaleNormal="120" workbookViewId="0">
      <selection activeCell="O20" sqref="O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5" t="s">
        <v>315</v>
      </c>
      <c r="I4" s="325"/>
      <c r="K4" s="322" t="s">
        <v>253</v>
      </c>
      <c r="L4" s="323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3" t="s">
        <v>310</v>
      </c>
      <c r="S7" s="334"/>
      <c r="T7" s="334"/>
      <c r="U7" s="334"/>
      <c r="V7" s="335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pubescent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882.72446393746498</v>
      </c>
      <c r="U10" s="188">
        <f>'Données projet'!D9</f>
        <v>5.3360000000000003</v>
      </c>
      <c r="V10" s="187">
        <f>U10*T10</f>
        <v>4710.2177395703138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Cormier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716.11878965298706</v>
      </c>
      <c r="U11" s="188">
        <f>'Données projet'!D10</f>
        <v>0.69599999999999995</v>
      </c>
      <c r="V11" s="187">
        <f t="shared" ref="V11" si="0">U11*T11</f>
        <v>498.41867759847895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Pin maritime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2814.1229640592469</v>
      </c>
      <c r="U12" s="188">
        <f>'Données projet'!D11</f>
        <v>6.7279999999999998</v>
      </c>
      <c r="V12" s="187">
        <f t="shared" ref="V12:V19" si="1">U12*T12</f>
        <v>18933.419302190614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Cèdre de l'Atlas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661.43883996591558</v>
      </c>
      <c r="U13" s="188">
        <f>'Données projet'!D12</f>
        <v>2.552</v>
      </c>
      <c r="V13" s="187">
        <f t="shared" si="1"/>
        <v>1687.9919195930165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pubescent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Pin laricio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1926.1635654337247</v>
      </c>
      <c r="U14" s="188">
        <f>'Données projet'!D13</f>
        <v>2.0880000000000001</v>
      </c>
      <c r="V14" s="187">
        <f t="shared" si="1"/>
        <v>4021.8295246256171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26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Pin pignon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431.38311370726808</v>
      </c>
      <c r="U15" s="188">
        <f>'Données projet'!D14</f>
        <v>0.46399999999999997</v>
      </c>
      <c r="V15" s="187">
        <f t="shared" si="1"/>
        <v>200.16176476017239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6"/>
      <c r="H16" s="201"/>
      <c r="I16" s="202"/>
      <c r="J16" s="214"/>
      <c r="K16" s="223"/>
      <c r="L16" s="322" t="s">
        <v>254</v>
      </c>
      <c r="M16" s="323"/>
      <c r="N16" s="2">
        <v>80</v>
      </c>
      <c r="O16" s="25"/>
      <c r="P16" s="25"/>
      <c r="Q16" s="263"/>
      <c r="R16" s="25"/>
      <c r="S16" s="183" t="str">
        <f>B200</f>
        <v>Chêne vert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388.90057784658489</v>
      </c>
      <c r="U16" s="188">
        <f>'Données projet'!D15</f>
        <v>1.3919999999999999</v>
      </c>
      <c r="V16" s="187">
        <f t="shared" si="1"/>
        <v>541.34960436244614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6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79.999999999999929</v>
      </c>
      <c r="O17" s="25"/>
      <c r="P17" s="25"/>
      <c r="Q17" s="263"/>
      <c r="R17" s="25"/>
      <c r="S17" s="183" t="str">
        <f>B231</f>
        <v>Chêne chevelu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803.03246250344239</v>
      </c>
      <c r="U17" s="188">
        <f>'Données projet'!D16</f>
        <v>1.8559999999999999</v>
      </c>
      <c r="V17" s="187">
        <f t="shared" si="1"/>
        <v>1490.428250406389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6"/>
      <c r="J18" s="214"/>
      <c r="K18" s="223"/>
      <c r="L18" s="293" t="s">
        <v>255</v>
      </c>
      <c r="M18" s="295"/>
      <c r="N18" s="203">
        <v>40</v>
      </c>
      <c r="O18" s="25"/>
      <c r="P18" s="25"/>
      <c r="Q18" s="263"/>
      <c r="R18" s="25"/>
      <c r="S18" s="183" t="str">
        <f>B262</f>
        <v>Alisier torminal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716.11878965298706</v>
      </c>
      <c r="U18" s="188">
        <f>'Données projet'!D17</f>
        <v>0.46399999999999997</v>
      </c>
      <c r="V18" s="187">
        <f t="shared" si="1"/>
        <v>332.27911839898599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6"/>
      <c r="H19" s="230" t="s">
        <v>178</v>
      </c>
      <c r="I19" s="230" t="s">
        <v>287</v>
      </c>
      <c r="J19" s="258"/>
      <c r="K19" s="181"/>
      <c r="L19" s="322" t="s">
        <v>288</v>
      </c>
      <c r="M19" s="323"/>
      <c r="N19" s="189">
        <f>N17*N18</f>
        <v>3199.9999999999973</v>
      </c>
      <c r="O19" s="25"/>
      <c r="P19" s="5"/>
      <c r="Q19" s="264"/>
      <c r="R19" s="5"/>
      <c r="S19" s="183" t="str">
        <f>B293</f>
        <v>Erable champêtre</v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907.29484878713288</v>
      </c>
      <c r="U19" s="188">
        <f>'Données projet'!D18</f>
        <v>0.69599999999999995</v>
      </c>
      <c r="V19" s="187">
        <f t="shared" si="1"/>
        <v>631.47721475584444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6"/>
      <c r="H20" s="201">
        <v>0</v>
      </c>
      <c r="I20" s="202">
        <v>5000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>
        <v>0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>
        <v>0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4">
        <v>0</v>
      </c>
      <c r="D23" s="192">
        <f>B23*C23</f>
        <v>0</v>
      </c>
      <c r="E23" s="204"/>
      <c r="F23" s="259"/>
      <c r="H23" s="201"/>
      <c r="I23" s="202"/>
      <c r="K23" s="223"/>
      <c r="L23" s="324" t="s">
        <v>260</v>
      </c>
      <c r="M23" s="324"/>
      <c r="N23" s="324"/>
      <c r="O23" s="25"/>
      <c r="P23" s="25"/>
      <c r="Q23" s="263"/>
      <c r="R23" s="25"/>
      <c r="S23" s="183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-82952.426883738124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0</v>
      </c>
      <c r="C24" s="204">
        <v>0</v>
      </c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2194.4956658445194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29</v>
      </c>
      <c r="C25" s="204">
        <v>10</v>
      </c>
      <c r="D25" s="192">
        <f t="shared" si="2"/>
        <v>290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40">
        <f ca="1">T23-T24</f>
        <v>-85146.922549582639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0</v>
      </c>
      <c r="C26" s="204">
        <v>0</v>
      </c>
      <c r="D26" s="192">
        <f t="shared" si="2"/>
        <v>0</v>
      </c>
      <c r="E26" s="204"/>
      <c r="F26" s="262"/>
      <c r="G26" s="257"/>
      <c r="H26" s="201"/>
      <c r="I26" s="202"/>
      <c r="K26" s="223"/>
      <c r="L26" s="327" t="s">
        <v>258</v>
      </c>
      <c r="M26" s="328"/>
      <c r="N26" s="328"/>
      <c r="O26" s="328"/>
      <c r="P26" s="329"/>
      <c r="Q26" s="263"/>
      <c r="R26" s="25"/>
      <c r="S26" s="196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42</v>
      </c>
      <c r="C27" s="204">
        <v>10</v>
      </c>
      <c r="D27" s="192">
        <f t="shared" si="2"/>
        <v>420</v>
      </c>
      <c r="E27" s="204"/>
      <c r="F27" s="262"/>
      <c r="G27" s="257"/>
      <c r="H27" s="201"/>
      <c r="I27" s="202"/>
      <c r="K27" s="223"/>
      <c r="L27" s="330"/>
      <c r="M27" s="331"/>
      <c r="N27" s="331"/>
      <c r="O27" s="331"/>
      <c r="P27" s="332"/>
      <c r="Q27" s="263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0</v>
      </c>
      <c r="C28" s="204">
        <v>0</v>
      </c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42</v>
      </c>
      <c r="C29" s="204">
        <v>20</v>
      </c>
      <c r="D29" s="192">
        <f t="shared" si="2"/>
        <v>840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0</v>
      </c>
      <c r="C30" s="204">
        <v>0</v>
      </c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42</v>
      </c>
      <c r="C31" s="204">
        <v>40</v>
      </c>
      <c r="D31" s="192">
        <f t="shared" si="2"/>
        <v>1680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0</v>
      </c>
      <c r="C32" s="204">
        <v>0</v>
      </c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42</v>
      </c>
      <c r="C33" s="204">
        <v>60</v>
      </c>
      <c r="D33" s="192">
        <f t="shared" si="2"/>
        <v>2520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0</v>
      </c>
      <c r="C34" s="204">
        <v>0</v>
      </c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42</v>
      </c>
      <c r="C35" s="204">
        <v>80</v>
      </c>
      <c r="D35" s="192">
        <f t="shared" si="2"/>
        <v>3360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90</v>
      </c>
      <c r="B36" s="191">
        <f>'Données projet'!D49</f>
        <v>42</v>
      </c>
      <c r="C36" s="204">
        <v>100</v>
      </c>
      <c r="D36" s="192">
        <f t="shared" si="2"/>
        <v>4200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100</v>
      </c>
      <c r="B37" s="191">
        <f>'Données projet'!D50</f>
        <v>42</v>
      </c>
      <c r="C37" s="204">
        <v>110</v>
      </c>
      <c r="D37" s="192">
        <f t="shared" si="2"/>
        <v>4620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110</v>
      </c>
      <c r="B38" s="191">
        <f>'Données projet'!D51</f>
        <v>39</v>
      </c>
      <c r="C38" s="204">
        <v>130</v>
      </c>
      <c r="D38" s="192">
        <f t="shared" si="2"/>
        <v>5070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120</v>
      </c>
      <c r="B39" s="191">
        <f>'Données projet'!D52</f>
        <v>35</v>
      </c>
      <c r="C39" s="204">
        <v>140</v>
      </c>
      <c r="D39" s="192">
        <f t="shared" si="2"/>
        <v>4900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130</v>
      </c>
      <c r="B40" s="191">
        <f>'Données projet'!D53</f>
        <v>31</v>
      </c>
      <c r="C40" s="204">
        <v>150</v>
      </c>
      <c r="D40" s="192">
        <f t="shared" si="2"/>
        <v>4650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140</v>
      </c>
      <c r="B41" s="191">
        <f>'Données projet'!D54</f>
        <v>27</v>
      </c>
      <c r="C41" s="204">
        <v>160</v>
      </c>
      <c r="D41" s="192">
        <f t="shared" si="2"/>
        <v>4320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293</v>
      </c>
      <c r="C42" s="204">
        <v>200</v>
      </c>
      <c r="D42" s="192">
        <f t="shared" si="2"/>
        <v>58600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Cormier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4">
        <v>0</v>
      </c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4">
        <v>0</v>
      </c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0</v>
      </c>
      <c r="C56" s="204">
        <v>0</v>
      </c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17</v>
      </c>
      <c r="C57" s="204">
        <v>10</v>
      </c>
      <c r="D57" s="189">
        <f t="shared" si="4"/>
        <v>170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0</v>
      </c>
      <c r="C58" s="204">
        <v>0</v>
      </c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18</v>
      </c>
      <c r="C59" s="204">
        <v>30</v>
      </c>
      <c r="D59" s="189">
        <f t="shared" si="4"/>
        <v>540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0</v>
      </c>
      <c r="C60" s="204">
        <v>0</v>
      </c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19</v>
      </c>
      <c r="C61" s="204">
        <v>50</v>
      </c>
      <c r="D61" s="189">
        <f t="shared" si="4"/>
        <v>950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0</v>
      </c>
      <c r="C62" s="204">
        <v>0</v>
      </c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20</v>
      </c>
      <c r="C63" s="204">
        <v>90</v>
      </c>
      <c r="D63" s="189">
        <f t="shared" si="4"/>
        <v>1800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0</v>
      </c>
      <c r="C64" s="204">
        <v>0</v>
      </c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20</v>
      </c>
      <c r="C65" s="204">
        <v>110</v>
      </c>
      <c r="D65" s="189">
        <f t="shared" si="4"/>
        <v>2200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0</v>
      </c>
      <c r="C66" s="204">
        <v>0</v>
      </c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85</v>
      </c>
      <c r="B67" s="191">
        <f>'Données projet'!D75</f>
        <v>18</v>
      </c>
      <c r="C67" s="204">
        <v>130</v>
      </c>
      <c r="D67" s="189">
        <f t="shared" si="4"/>
        <v>2340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90</v>
      </c>
      <c r="B68" s="191">
        <f>'Données projet'!D76</f>
        <v>0</v>
      </c>
      <c r="C68" s="204">
        <v>0</v>
      </c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95</v>
      </c>
      <c r="B69" s="191">
        <f>'Données projet'!D77</f>
        <v>18</v>
      </c>
      <c r="C69" s="204">
        <v>140</v>
      </c>
      <c r="D69" s="189">
        <f t="shared" si="4"/>
        <v>2520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100</v>
      </c>
      <c r="B70" s="191">
        <f>'Données projet'!D78</f>
        <v>0</v>
      </c>
      <c r="C70" s="204">
        <v>0</v>
      </c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105</v>
      </c>
      <c r="B71" s="191">
        <f>'Données projet'!D79</f>
        <v>18</v>
      </c>
      <c r="C71" s="204">
        <v>160</v>
      </c>
      <c r="D71" s="189">
        <f t="shared" si="4"/>
        <v>2880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110</v>
      </c>
      <c r="B72" s="191">
        <f>'Données projet'!D80</f>
        <v>0</v>
      </c>
      <c r="C72" s="204">
        <v>0</v>
      </c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120</v>
      </c>
      <c r="B73" s="191">
        <f>'Données projet'!D81</f>
        <v>211</v>
      </c>
      <c r="C73" s="204">
        <v>200</v>
      </c>
      <c r="D73" s="189">
        <f t="shared" si="4"/>
        <v>42200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Pin maritime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>
        <v>0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>
        <v>0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17</v>
      </c>
      <c r="B85" s="191">
        <f>'Données projet'!D88</f>
        <v>42.084615384615375</v>
      </c>
      <c r="C85" s="202">
        <v>10</v>
      </c>
      <c r="D85" s="189">
        <f>B85*C85</f>
        <v>420.84615384615375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23</v>
      </c>
      <c r="B86" s="191">
        <f>'Données projet'!D89</f>
        <v>54.099999999999987</v>
      </c>
      <c r="C86" s="202">
        <v>15</v>
      </c>
      <c r="D86" s="189">
        <f t="shared" ref="D86:D104" si="6">B86*C86</f>
        <v>811.49999999999977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29</v>
      </c>
      <c r="B87" s="191">
        <f>'Données projet'!D90</f>
        <v>47.661538461538463</v>
      </c>
      <c r="C87" s="202">
        <v>20</v>
      </c>
      <c r="D87" s="189">
        <f t="shared" si="6"/>
        <v>953.23076923076928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36</v>
      </c>
      <c r="B88" s="191">
        <f>'Données projet'!D91</f>
        <v>64.553846153846166</v>
      </c>
      <c r="C88" s="202">
        <v>20</v>
      </c>
      <c r="D88" s="189">
        <f t="shared" si="6"/>
        <v>1291.0769230769233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44</v>
      </c>
      <c r="B89" s="191">
        <f>'Données projet'!D92</f>
        <v>64.476923076923114</v>
      </c>
      <c r="C89" s="202">
        <v>30</v>
      </c>
      <c r="D89" s="189">
        <f t="shared" si="6"/>
        <v>1934.3076923076935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52</v>
      </c>
      <c r="B90" s="191">
        <f>'Données projet'!D93</f>
        <v>61.784615384615378</v>
      </c>
      <c r="C90" s="202">
        <v>40</v>
      </c>
      <c r="D90" s="189">
        <f t="shared" si="6"/>
        <v>2471.3846153846152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60</v>
      </c>
      <c r="B91" s="191">
        <f>'Données projet'!D94</f>
        <v>353.5</v>
      </c>
      <c r="C91" s="202">
        <v>50</v>
      </c>
      <c r="D91" s="189">
        <f t="shared" si="6"/>
        <v>17675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0</v>
      </c>
      <c r="B92" s="191">
        <f>'Données projet'!D95</f>
        <v>0</v>
      </c>
      <c r="C92" s="202">
        <v>0</v>
      </c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0</v>
      </c>
      <c r="B93" s="191">
        <f>'Données projet'!D96</f>
        <v>0</v>
      </c>
      <c r="C93" s="202">
        <v>0</v>
      </c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0</v>
      </c>
      <c r="B94" s="191">
        <f>'Données projet'!D97</f>
        <v>0</v>
      </c>
      <c r="C94" s="202">
        <v>0</v>
      </c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str">
        <f>IF(O93+1&lt;=MIN('Données projet'!$E$9:$E$18),O93+1,"STOP")</f>
        <v>STOP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0</v>
      </c>
      <c r="B95" s="191">
        <f>'Données projet'!D98</f>
        <v>0</v>
      </c>
      <c r="C95" s="202">
        <v>0</v>
      </c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0</v>
      </c>
      <c r="B96" s="191">
        <f>'Données projet'!D99</f>
        <v>0</v>
      </c>
      <c r="C96" s="202">
        <v>0</v>
      </c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2">
        <v>0</v>
      </c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2">
        <v>0</v>
      </c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>
        <v>0</v>
      </c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>
        <v>0</v>
      </c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>
        <v>0</v>
      </c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>
        <v>0</v>
      </c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>
        <v>0</v>
      </c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>
        <v>0</v>
      </c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Cèdre de l'Atlas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30</v>
      </c>
      <c r="B116" s="191">
        <f>'Données projet'!D114</f>
        <v>0</v>
      </c>
      <c r="C116" s="202">
        <v>0</v>
      </c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51</v>
      </c>
      <c r="B117" s="191">
        <f>'Données projet'!D115</f>
        <v>100.30769230769231</v>
      </c>
      <c r="C117" s="202">
        <v>10</v>
      </c>
      <c r="D117" s="189">
        <f t="shared" ref="D117:D135" si="8">B117*C117</f>
        <v>1003.0769230769231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63</v>
      </c>
      <c r="B118" s="191">
        <f>'Données projet'!D116</f>
        <v>108.08461538461538</v>
      </c>
      <c r="C118" s="202">
        <v>20</v>
      </c>
      <c r="D118" s="189">
        <f t="shared" si="8"/>
        <v>2161.6923076923076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75</v>
      </c>
      <c r="B119" s="191">
        <f>'Données projet'!D117</f>
        <v>85.361538461538458</v>
      </c>
      <c r="C119" s="202">
        <v>30</v>
      </c>
      <c r="D119" s="189">
        <f t="shared" si="8"/>
        <v>2560.8461538461538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87</v>
      </c>
      <c r="B120" s="191">
        <f>'Données projet'!D118</f>
        <v>82.938461538461524</v>
      </c>
      <c r="C120" s="202">
        <v>40</v>
      </c>
      <c r="D120" s="189">
        <f t="shared" si="8"/>
        <v>3317.538461538461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99</v>
      </c>
      <c r="B121" s="191">
        <f>'Données projet'!D119</f>
        <v>198.32307692307691</v>
      </c>
      <c r="C121" s="202">
        <v>50</v>
      </c>
      <c r="D121" s="189">
        <f t="shared" si="8"/>
        <v>9916.1538461538457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109</v>
      </c>
      <c r="B122" s="191">
        <f>'Données projet'!D120</f>
        <v>256.09230769230771</v>
      </c>
      <c r="C122" s="202">
        <v>60</v>
      </c>
      <c r="D122" s="189">
        <f t="shared" si="8"/>
        <v>15365.538461538463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0</v>
      </c>
      <c r="B123" s="191">
        <f>'Données projet'!D121</f>
        <v>0</v>
      </c>
      <c r="C123" s="202">
        <v>0</v>
      </c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0</v>
      </c>
      <c r="B124" s="191">
        <f>'Données projet'!D122</f>
        <v>0</v>
      </c>
      <c r="C124" s="202">
        <v>0</v>
      </c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>
        <v>0</v>
      </c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>
        <v>0</v>
      </c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>
        <v>0</v>
      </c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>
        <v>0</v>
      </c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>
        <v>0</v>
      </c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>
        <v>0</v>
      </c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>
        <v>0</v>
      </c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>
        <v>0</v>
      </c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>
        <v>0</v>
      </c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>
        <v>0</v>
      </c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>
        <v>0</v>
      </c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Pin laricio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>
        <v>0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>
        <v>0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22</v>
      </c>
      <c r="B147" s="185">
        <f>'Données projet'!D140</f>
        <v>52.746153846153838</v>
      </c>
      <c r="C147" s="202">
        <v>10</v>
      </c>
      <c r="D147" s="192">
        <f>B147*C147</f>
        <v>527.46153846153834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27</v>
      </c>
      <c r="B148" s="185">
        <f>'Données projet'!D141</f>
        <v>34.646153846153844</v>
      </c>
      <c r="C148" s="202">
        <v>15</v>
      </c>
      <c r="D148" s="192">
        <f t="shared" ref="D148:D166" si="10">B148*C148</f>
        <v>519.69230769230762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33</v>
      </c>
      <c r="B149" s="185">
        <f>'Données projet'!D142</f>
        <v>43.007692307692302</v>
      </c>
      <c r="C149" s="202">
        <v>20</v>
      </c>
      <c r="D149" s="192">
        <f t="shared" si="10"/>
        <v>860.15384615384608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41</v>
      </c>
      <c r="B150" s="185">
        <f>'Données projet'!D143</f>
        <v>58.484615384615381</v>
      </c>
      <c r="C150" s="202">
        <v>20</v>
      </c>
      <c r="D150" s="192">
        <f t="shared" si="10"/>
        <v>1169.6923076923076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50</v>
      </c>
      <c r="B151" s="185">
        <f>'Données projet'!D144</f>
        <v>55.292307692307688</v>
      </c>
      <c r="C151" s="202">
        <v>30</v>
      </c>
      <c r="D151" s="192">
        <f t="shared" si="10"/>
        <v>1658.7692307692307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60</v>
      </c>
      <c r="B152" s="185">
        <f>'Données projet'!D145</f>
        <v>54.261538461538464</v>
      </c>
      <c r="C152" s="202">
        <v>40</v>
      </c>
      <c r="D152" s="192">
        <f t="shared" si="10"/>
        <v>2170.4615384615386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70</v>
      </c>
      <c r="B153" s="185">
        <f>'Données projet'!D146</f>
        <v>52.669230769230765</v>
      </c>
      <c r="C153" s="202">
        <v>50</v>
      </c>
      <c r="D153" s="192">
        <f t="shared" si="10"/>
        <v>2633.4615384615381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80</v>
      </c>
      <c r="B154" s="185">
        <f>'Données projet'!D147</f>
        <v>402.90769230769229</v>
      </c>
      <c r="C154" s="202">
        <v>60</v>
      </c>
      <c r="D154" s="192">
        <f t="shared" si="10"/>
        <v>24174.461538461539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5">
        <f>'Données projet'!D148</f>
        <v>0</v>
      </c>
      <c r="C155" s="202">
        <v>0</v>
      </c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5">
        <f>'Données projet'!D149</f>
        <v>0</v>
      </c>
      <c r="C156" s="202">
        <v>0</v>
      </c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5">
        <f>'Données projet'!D150</f>
        <v>0</v>
      </c>
      <c r="C157" s="202">
        <v>0</v>
      </c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5">
        <f>'Données projet'!D151</f>
        <v>0</v>
      </c>
      <c r="C158" s="202">
        <v>0</v>
      </c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5">
        <f>'Données projet'!D152</f>
        <v>0</v>
      </c>
      <c r="C159" s="202">
        <v>0</v>
      </c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5">
        <f>'Données projet'!D153</f>
        <v>0</v>
      </c>
      <c r="C160" s="202">
        <v>0</v>
      </c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5">
        <f>'Données projet'!D154</f>
        <v>0</v>
      </c>
      <c r="C161" s="202">
        <v>0</v>
      </c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5">
        <f>'Données projet'!D155</f>
        <v>0</v>
      </c>
      <c r="C162" s="202">
        <v>0</v>
      </c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5">
        <f>'Données projet'!D156</f>
        <v>0</v>
      </c>
      <c r="C163" s="202">
        <v>0</v>
      </c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5">
        <f>'Données projet'!D157</f>
        <v>0</v>
      </c>
      <c r="C164" s="202">
        <v>0</v>
      </c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5">
        <f>'Données projet'!D158</f>
        <v>0</v>
      </c>
      <c r="C165" s="202">
        <v>0</v>
      </c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5">
        <f>'Données projet'!D159</f>
        <v>0</v>
      </c>
      <c r="C166" s="202">
        <v>0</v>
      </c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Pin pignon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10</v>
      </c>
      <c r="B178" s="191">
        <f>'Données projet'!D166</f>
        <v>4.5999999999999996</v>
      </c>
      <c r="C178" s="204">
        <v>10</v>
      </c>
      <c r="D178" s="189">
        <f>B178*C178</f>
        <v>46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20</v>
      </c>
      <c r="B179" s="191">
        <f>'Données projet'!D167</f>
        <v>9.5</v>
      </c>
      <c r="C179" s="204">
        <v>10</v>
      </c>
      <c r="D179" s="189">
        <f t="shared" ref="D179:D197" si="11">B179*C179</f>
        <v>95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30</v>
      </c>
      <c r="B180" s="191">
        <f>'Données projet'!D168</f>
        <v>13.2</v>
      </c>
      <c r="C180" s="204">
        <v>20</v>
      </c>
      <c r="D180" s="189">
        <f t="shared" si="11"/>
        <v>264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40</v>
      </c>
      <c r="B181" s="191">
        <f>'Données projet'!D169</f>
        <v>16.8</v>
      </c>
      <c r="C181" s="204">
        <v>20</v>
      </c>
      <c r="D181" s="189">
        <f t="shared" si="11"/>
        <v>336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50</v>
      </c>
      <c r="B182" s="191">
        <f>'Données projet'!D170</f>
        <v>18.600000000000001</v>
      </c>
      <c r="C182" s="204">
        <v>25</v>
      </c>
      <c r="D182" s="189">
        <f t="shared" si="11"/>
        <v>465.00000000000006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60</v>
      </c>
      <c r="B183" s="191">
        <f>'Données projet'!D171</f>
        <v>19.8</v>
      </c>
      <c r="C183" s="204">
        <v>30</v>
      </c>
      <c r="D183" s="189">
        <f t="shared" si="11"/>
        <v>594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70</v>
      </c>
      <c r="B184" s="191">
        <f>'Données projet'!D172</f>
        <v>20.399999999999999</v>
      </c>
      <c r="C184" s="204">
        <v>30</v>
      </c>
      <c r="D184" s="189">
        <f t="shared" si="11"/>
        <v>612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80</v>
      </c>
      <c r="B185" s="191">
        <f>'Données projet'!D173</f>
        <v>22</v>
      </c>
      <c r="C185" s="204">
        <v>35</v>
      </c>
      <c r="D185" s="189">
        <f t="shared" si="11"/>
        <v>770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90</v>
      </c>
      <c r="B186" s="191">
        <f>'Données projet'!D174</f>
        <v>22</v>
      </c>
      <c r="C186" s="204">
        <v>40</v>
      </c>
      <c r="D186" s="189">
        <f t="shared" si="11"/>
        <v>880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100</v>
      </c>
      <c r="B187" s="191">
        <f>'Données projet'!D175</f>
        <v>21.9</v>
      </c>
      <c r="C187" s="204">
        <v>50</v>
      </c>
      <c r="D187" s="189">
        <f t="shared" si="11"/>
        <v>1095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110</v>
      </c>
      <c r="B188" s="191">
        <f>'Données projet'!D176</f>
        <v>21.7</v>
      </c>
      <c r="C188" s="204">
        <v>60</v>
      </c>
      <c r="D188" s="189">
        <f t="shared" si="11"/>
        <v>1302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120</v>
      </c>
      <c r="B189" s="191">
        <f>'Données projet'!D177</f>
        <v>21.3</v>
      </c>
      <c r="C189" s="204">
        <v>65</v>
      </c>
      <c r="D189" s="189">
        <f t="shared" si="11"/>
        <v>1384.5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130</v>
      </c>
      <c r="B190" s="191">
        <f>'Données projet'!D178</f>
        <v>20.9</v>
      </c>
      <c r="C190" s="204">
        <v>70</v>
      </c>
      <c r="D190" s="189">
        <f t="shared" si="11"/>
        <v>1463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140</v>
      </c>
      <c r="B191" s="191">
        <f>'Données projet'!D179</f>
        <v>20.5</v>
      </c>
      <c r="C191" s="204">
        <v>75</v>
      </c>
      <c r="D191" s="189">
        <f t="shared" si="11"/>
        <v>1537.5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150</v>
      </c>
      <c r="B192" s="191">
        <f>'Données projet'!D180</f>
        <v>312.51</v>
      </c>
      <c r="C192" s="204">
        <v>80</v>
      </c>
      <c r="D192" s="189">
        <f t="shared" si="11"/>
        <v>25000.799999999999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>
        <v>0</v>
      </c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>
        <v>0</v>
      </c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>
        <v>0</v>
      </c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>
        <v>0</v>
      </c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>
        <v>0</v>
      </c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Chêne vert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20</v>
      </c>
      <c r="B209" s="191">
        <f>'Données projet'!D192</f>
        <v>0</v>
      </c>
      <c r="C209" s="204">
        <v>0</v>
      </c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25</v>
      </c>
      <c r="B210" s="191">
        <f>'Données projet'!D193</f>
        <v>0</v>
      </c>
      <c r="C210" s="204">
        <v>0</v>
      </c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30</v>
      </c>
      <c r="B211" s="191">
        <f>'Données projet'!D194</f>
        <v>0</v>
      </c>
      <c r="C211" s="202">
        <v>0</v>
      </c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35</v>
      </c>
      <c r="B212" s="191">
        <f>'Données projet'!D195</f>
        <v>17</v>
      </c>
      <c r="C212" s="202">
        <v>20</v>
      </c>
      <c r="D212" s="189">
        <f t="shared" si="12"/>
        <v>340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40</v>
      </c>
      <c r="B213" s="191">
        <f>'Données projet'!D196</f>
        <v>0</v>
      </c>
      <c r="C213" s="202">
        <v>0</v>
      </c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45</v>
      </c>
      <c r="B214" s="191">
        <f>'Données projet'!D197</f>
        <v>18</v>
      </c>
      <c r="C214" s="202">
        <v>25</v>
      </c>
      <c r="D214" s="189">
        <f t="shared" si="12"/>
        <v>450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50</v>
      </c>
      <c r="B215" s="191">
        <f>'Données projet'!D198</f>
        <v>0</v>
      </c>
      <c r="C215" s="202">
        <v>0</v>
      </c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55</v>
      </c>
      <c r="B216" s="191">
        <f>'Données projet'!D199</f>
        <v>19</v>
      </c>
      <c r="C216" s="202">
        <v>30</v>
      </c>
      <c r="D216" s="189">
        <f t="shared" si="12"/>
        <v>570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60</v>
      </c>
      <c r="B217" s="191">
        <f>'Données projet'!D200</f>
        <v>0</v>
      </c>
      <c r="C217" s="202">
        <v>0</v>
      </c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65</v>
      </c>
      <c r="B218" s="191">
        <f>'Données projet'!D201</f>
        <v>20</v>
      </c>
      <c r="C218" s="202">
        <v>40</v>
      </c>
      <c r="D218" s="189">
        <f t="shared" si="12"/>
        <v>800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70</v>
      </c>
      <c r="B219" s="191">
        <f>'Données projet'!D202</f>
        <v>0</v>
      </c>
      <c r="C219" s="202">
        <v>0</v>
      </c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75</v>
      </c>
      <c r="B220" s="191">
        <f>'Données projet'!D203</f>
        <v>20</v>
      </c>
      <c r="C220" s="202">
        <v>45</v>
      </c>
      <c r="D220" s="189">
        <f t="shared" si="12"/>
        <v>900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80</v>
      </c>
      <c r="B221" s="191">
        <f>'Données projet'!D204</f>
        <v>0</v>
      </c>
      <c r="C221" s="202">
        <v>0</v>
      </c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85</v>
      </c>
      <c r="B222" s="191">
        <f>'Données projet'!D205</f>
        <v>18</v>
      </c>
      <c r="C222" s="202">
        <v>50</v>
      </c>
      <c r="D222" s="189">
        <f t="shared" si="12"/>
        <v>900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90</v>
      </c>
      <c r="B223" s="191">
        <f>'Données projet'!D206</f>
        <v>0</v>
      </c>
      <c r="C223" s="202">
        <v>0</v>
      </c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95</v>
      </c>
      <c r="B224" s="191">
        <f>'Données projet'!D207</f>
        <v>18</v>
      </c>
      <c r="C224" s="202">
        <v>60</v>
      </c>
      <c r="D224" s="189">
        <f t="shared" si="12"/>
        <v>1080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100</v>
      </c>
      <c r="B225" s="191">
        <f>'Données projet'!D208</f>
        <v>0</v>
      </c>
      <c r="C225" s="202">
        <v>0</v>
      </c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105</v>
      </c>
      <c r="B226" s="191">
        <f>'Données projet'!D209</f>
        <v>18</v>
      </c>
      <c r="C226" s="202">
        <v>65</v>
      </c>
      <c r="D226" s="189">
        <f t="shared" si="12"/>
        <v>1170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110</v>
      </c>
      <c r="B227" s="191">
        <f>'Données projet'!D210</f>
        <v>0</v>
      </c>
      <c r="C227" s="202">
        <v>0</v>
      </c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120</v>
      </c>
      <c r="B228" s="191">
        <f>'Données projet'!D211</f>
        <v>211</v>
      </c>
      <c r="C228" s="204">
        <v>70</v>
      </c>
      <c r="D228" s="189">
        <f t="shared" si="12"/>
        <v>14770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Chêne chevelu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15</v>
      </c>
      <c r="B240" s="191">
        <f>'Données projet'!D218</f>
        <v>0</v>
      </c>
      <c r="C240" s="204">
        <v>0</v>
      </c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20</v>
      </c>
      <c r="B241" s="191">
        <f>'Données projet'!D219</f>
        <v>0</v>
      </c>
      <c r="C241" s="204">
        <v>0</v>
      </c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25</v>
      </c>
      <c r="B242" s="191">
        <f>'Données projet'!D220</f>
        <v>0</v>
      </c>
      <c r="C242" s="202">
        <v>0</v>
      </c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30</v>
      </c>
      <c r="B243" s="191">
        <f>'Données projet'!D221</f>
        <v>44</v>
      </c>
      <c r="C243" s="202">
        <v>20</v>
      </c>
      <c r="D243" s="189">
        <f t="shared" si="13"/>
        <v>880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35</v>
      </c>
      <c r="B244" s="191">
        <f>'Données projet'!D222</f>
        <v>0</v>
      </c>
      <c r="C244" s="202">
        <v>0</v>
      </c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40</v>
      </c>
      <c r="B245" s="191">
        <f>'Données projet'!D223</f>
        <v>35</v>
      </c>
      <c r="C245" s="202">
        <v>25</v>
      </c>
      <c r="D245" s="189">
        <f t="shared" si="13"/>
        <v>875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45</v>
      </c>
      <c r="B246" s="191">
        <f>'Données projet'!D224</f>
        <v>0</v>
      </c>
      <c r="C246" s="202">
        <v>0</v>
      </c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50</v>
      </c>
      <c r="B247" s="191">
        <f>'Données projet'!D225</f>
        <v>38</v>
      </c>
      <c r="C247" s="202">
        <v>30</v>
      </c>
      <c r="D247" s="189">
        <f t="shared" si="13"/>
        <v>1140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55</v>
      </c>
      <c r="B248" s="191">
        <f>'Données projet'!D226</f>
        <v>0</v>
      </c>
      <c r="C248" s="202">
        <v>0</v>
      </c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60</v>
      </c>
      <c r="B249" s="191">
        <f>'Données projet'!D227</f>
        <v>38</v>
      </c>
      <c r="C249" s="202">
        <v>35</v>
      </c>
      <c r="D249" s="189">
        <f t="shared" si="13"/>
        <v>1330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65</v>
      </c>
      <c r="B250" s="191">
        <f>'Données projet'!D228</f>
        <v>0</v>
      </c>
      <c r="C250" s="202">
        <v>0</v>
      </c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70</v>
      </c>
      <c r="B251" s="191">
        <f>'Données projet'!D229</f>
        <v>36</v>
      </c>
      <c r="C251" s="202">
        <v>40</v>
      </c>
      <c r="D251" s="189">
        <f t="shared" si="13"/>
        <v>1440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75</v>
      </c>
      <c r="B252" s="191">
        <f>'Données projet'!D230</f>
        <v>0</v>
      </c>
      <c r="C252" s="202">
        <v>0</v>
      </c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80</v>
      </c>
      <c r="B253" s="191">
        <f>'Données projet'!D231</f>
        <v>35</v>
      </c>
      <c r="C253" s="202">
        <v>45</v>
      </c>
      <c r="D253" s="189">
        <f t="shared" si="13"/>
        <v>1575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85</v>
      </c>
      <c r="B254" s="191">
        <f>'Données projet'!D232</f>
        <v>0</v>
      </c>
      <c r="C254" s="202">
        <v>0</v>
      </c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90</v>
      </c>
      <c r="B255" s="191">
        <f>'Données projet'!D233</f>
        <v>33</v>
      </c>
      <c r="C255" s="202">
        <v>50</v>
      </c>
      <c r="D255" s="189">
        <f t="shared" si="13"/>
        <v>1650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100</v>
      </c>
      <c r="B256" s="191">
        <f>'Données projet'!D234</f>
        <v>32</v>
      </c>
      <c r="C256" s="202">
        <v>55</v>
      </c>
      <c r="D256" s="189">
        <f t="shared" si="13"/>
        <v>1760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110</v>
      </c>
      <c r="B257" s="191">
        <f>'Données projet'!D235</f>
        <v>30</v>
      </c>
      <c r="C257" s="202">
        <v>60</v>
      </c>
      <c r="D257" s="189">
        <f t="shared" si="13"/>
        <v>1800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120</v>
      </c>
      <c r="B258" s="191">
        <f>'Données projet'!D236</f>
        <v>28</v>
      </c>
      <c r="C258" s="202">
        <v>70</v>
      </c>
      <c r="D258" s="189">
        <f t="shared" si="13"/>
        <v>1960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130</v>
      </c>
      <c r="B259" s="191">
        <f>'Données projet'!D237</f>
        <v>26</v>
      </c>
      <c r="C259" s="204">
        <v>80</v>
      </c>
      <c r="D259" s="189">
        <f t="shared" si="13"/>
        <v>2080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>Alisier torminal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20</v>
      </c>
      <c r="B271" s="191">
        <f>'Données projet'!D244</f>
        <v>0</v>
      </c>
      <c r="C271" s="204">
        <v>0</v>
      </c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25</v>
      </c>
      <c r="B272" s="191">
        <f>'Données projet'!D245</f>
        <v>0</v>
      </c>
      <c r="C272" s="204">
        <v>0</v>
      </c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30</v>
      </c>
      <c r="B273" s="191">
        <f>'Données projet'!D246</f>
        <v>0</v>
      </c>
      <c r="C273" s="204">
        <v>0</v>
      </c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35</v>
      </c>
      <c r="B274" s="191">
        <f>'Données projet'!D247</f>
        <v>17</v>
      </c>
      <c r="C274" s="204">
        <v>10</v>
      </c>
      <c r="D274" s="189">
        <f t="shared" si="14"/>
        <v>170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40</v>
      </c>
      <c r="B275" s="191">
        <f>'Données projet'!D248</f>
        <v>0</v>
      </c>
      <c r="C275" s="204">
        <v>0</v>
      </c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45</v>
      </c>
      <c r="B276" s="191">
        <f>'Données projet'!D249</f>
        <v>18</v>
      </c>
      <c r="C276" s="204">
        <v>30</v>
      </c>
      <c r="D276" s="189">
        <f t="shared" si="14"/>
        <v>540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50</v>
      </c>
      <c r="B277" s="191">
        <f>'Données projet'!D250</f>
        <v>0</v>
      </c>
      <c r="C277" s="204">
        <v>0</v>
      </c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55</v>
      </c>
      <c r="B278" s="191">
        <f>'Données projet'!D251</f>
        <v>19</v>
      </c>
      <c r="C278" s="204">
        <v>50</v>
      </c>
      <c r="D278" s="189">
        <f t="shared" si="14"/>
        <v>950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60</v>
      </c>
      <c r="B279" s="191">
        <f>'Données projet'!D252</f>
        <v>0</v>
      </c>
      <c r="C279" s="204">
        <v>0</v>
      </c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65</v>
      </c>
      <c r="B280" s="191">
        <f>'Données projet'!D253</f>
        <v>20</v>
      </c>
      <c r="C280" s="204">
        <v>90</v>
      </c>
      <c r="D280" s="189">
        <f t="shared" si="14"/>
        <v>1800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70</v>
      </c>
      <c r="B281" s="191">
        <f>'Données projet'!D254</f>
        <v>0</v>
      </c>
      <c r="C281" s="204">
        <v>0</v>
      </c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75</v>
      </c>
      <c r="B282" s="191">
        <f>'Données projet'!D255</f>
        <v>20</v>
      </c>
      <c r="C282" s="204">
        <v>110</v>
      </c>
      <c r="D282" s="189">
        <f t="shared" si="14"/>
        <v>2200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80</v>
      </c>
      <c r="B283" s="191">
        <f>'Données projet'!D256</f>
        <v>0</v>
      </c>
      <c r="C283" s="204">
        <v>0</v>
      </c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85</v>
      </c>
      <c r="B284" s="191">
        <f>'Données projet'!D257</f>
        <v>18</v>
      </c>
      <c r="C284" s="204">
        <v>130</v>
      </c>
      <c r="D284" s="189">
        <f t="shared" si="14"/>
        <v>2340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90</v>
      </c>
      <c r="B285" s="191">
        <f>'Données projet'!D258</f>
        <v>0</v>
      </c>
      <c r="C285" s="204">
        <v>0</v>
      </c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95</v>
      </c>
      <c r="B286" s="191">
        <f>'Données projet'!D259</f>
        <v>18</v>
      </c>
      <c r="C286" s="204">
        <v>140</v>
      </c>
      <c r="D286" s="189">
        <f t="shared" si="14"/>
        <v>2520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100</v>
      </c>
      <c r="B287" s="191">
        <f>'Données projet'!D260</f>
        <v>0</v>
      </c>
      <c r="C287" s="204">
        <v>0</v>
      </c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105</v>
      </c>
      <c r="B288" s="191">
        <f>'Données projet'!D261</f>
        <v>18</v>
      </c>
      <c r="C288" s="204">
        <v>160</v>
      </c>
      <c r="D288" s="189">
        <f t="shared" si="14"/>
        <v>2880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110</v>
      </c>
      <c r="B289" s="191">
        <f>'Données projet'!D262</f>
        <v>0</v>
      </c>
      <c r="C289" s="204">
        <v>0</v>
      </c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120</v>
      </c>
      <c r="B290" s="191">
        <f>'Données projet'!D263</f>
        <v>211</v>
      </c>
      <c r="C290" s="204">
        <v>200</v>
      </c>
      <c r="D290" s="189">
        <f t="shared" si="14"/>
        <v>42200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>Erable champêtre</v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20</v>
      </c>
      <c r="B302" s="191">
        <f>'Données projet'!D270</f>
        <v>0</v>
      </c>
      <c r="C302" s="202">
        <v>0</v>
      </c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25</v>
      </c>
      <c r="B303" s="191">
        <f>'Données projet'!D271</f>
        <v>0</v>
      </c>
      <c r="C303" s="202">
        <v>0</v>
      </c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30</v>
      </c>
      <c r="B304" s="191">
        <f>'Données projet'!D272</f>
        <v>31</v>
      </c>
      <c r="C304" s="202">
        <v>20</v>
      </c>
      <c r="D304" s="192">
        <f t="shared" si="15"/>
        <v>620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35</v>
      </c>
      <c r="B305" s="191">
        <f>'Données projet'!D273</f>
        <v>0</v>
      </c>
      <c r="C305" s="202">
        <v>0</v>
      </c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40</v>
      </c>
      <c r="B306" s="191">
        <f>'Données projet'!D274</f>
        <v>28</v>
      </c>
      <c r="C306" s="202">
        <v>30</v>
      </c>
      <c r="D306" s="192">
        <f t="shared" si="15"/>
        <v>840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45</v>
      </c>
      <c r="B307" s="191">
        <f>'Données projet'!D275</f>
        <v>0</v>
      </c>
      <c r="C307" s="202">
        <v>0</v>
      </c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50</v>
      </c>
      <c r="B308" s="191">
        <f>'Données projet'!D276</f>
        <v>25</v>
      </c>
      <c r="C308" s="202">
        <v>40</v>
      </c>
      <c r="D308" s="192">
        <f t="shared" si="15"/>
        <v>1000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55</v>
      </c>
      <c r="B309" s="191">
        <f>'Données projet'!D277</f>
        <v>0</v>
      </c>
      <c r="C309" s="202">
        <v>0</v>
      </c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60</v>
      </c>
      <c r="B310" s="191">
        <f>'Données projet'!D278</f>
        <v>16</v>
      </c>
      <c r="C310" s="202">
        <v>50</v>
      </c>
      <c r="D310" s="192">
        <f t="shared" si="15"/>
        <v>800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65</v>
      </c>
      <c r="B311" s="191">
        <f>'Données projet'!D279</f>
        <v>0</v>
      </c>
      <c r="C311" s="202">
        <v>0</v>
      </c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70</v>
      </c>
      <c r="B312" s="191">
        <f>'Données projet'!D280</f>
        <v>13</v>
      </c>
      <c r="C312" s="202">
        <v>70</v>
      </c>
      <c r="D312" s="192">
        <f t="shared" si="15"/>
        <v>910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75</v>
      </c>
      <c r="B313" s="191">
        <f>'Données projet'!D281</f>
        <v>0</v>
      </c>
      <c r="C313" s="202">
        <v>0</v>
      </c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80</v>
      </c>
      <c r="B314" s="191">
        <f>'Données projet'!D282</f>
        <v>164</v>
      </c>
      <c r="C314" s="202">
        <v>80</v>
      </c>
      <c r="D314" s="192">
        <f t="shared" si="15"/>
        <v>13120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>
        <v>0</v>
      </c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>
        <v>0</v>
      </c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>
        <v>0</v>
      </c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>
        <v>0</v>
      </c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>
        <v>0</v>
      </c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>
        <v>0</v>
      </c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>
        <v>0</v>
      </c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2025-09-05T15:26:02Z</dcterms:modified>
</cp:coreProperties>
</file>