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04_PROJETS/PASTAUD Maxime/33_Baurech_2_DeLambert_Pastaud/2.Dossier_LBC_déposé/"/>
    </mc:Choice>
  </mc:AlternateContent>
  <xr:revisionPtr revIDLastSave="0" documentId="8_{50B72094-5C9C-4456-A303-07FFED508E04}" xr6:coauthVersionLast="47" xr6:coauthVersionMax="47" xr10:uidLastSave="{00000000-0000-0000-0000-000000000000}"/>
  <bookViews>
    <workbookView xWindow="-110" yWindow="-110" windowWidth="19420" windowHeight="115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A4" i="2"/>
  <c r="FQ4" i="2"/>
  <c r="FR4" i="2"/>
  <c r="BQ4" i="2"/>
  <c r="EC4" i="2"/>
  <c r="B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W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V28" i="2"/>
  <c r="EB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HG38" i="2"/>
  <c r="HI38" i="2"/>
  <c r="EA38" i="2"/>
  <c r="FS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C50" i="2"/>
  <c r="HI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EV78" i="2" s="1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X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HH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X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G130" i="2"/>
  <c r="EB130" i="2"/>
  <c r="EX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V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FR140" i="2" s="1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H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X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FS156" i="2"/>
  <c r="HI156" i="2"/>
  <c r="DH156" i="2"/>
  <c r="EX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HH159" i="2"/>
  <c r="EA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HH161" i="2"/>
  <c r="EB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DH164" i="2"/>
  <c r="EA164" i="2"/>
  <c r="HH164" i="2"/>
  <c r="HG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B167" i="2"/>
  <c r="FR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HH168" i="2"/>
  <c r="EV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X169" i="2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I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A175" i="2" l="1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HI179" i="2" l="1"/>
  <c r="EV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DG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EB185" i="2"/>
  <c r="EW185" i="2"/>
  <c r="HI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B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HH189" i="2" l="1"/>
  <c r="AA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HH190" i="2"/>
  <c r="EB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EW192" i="2"/>
  <c r="EC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HI193" i="2" l="1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EA194" i="2"/>
  <c r="FQ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HI195" i="2" l="1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HH199" i="2"/>
  <c r="EB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HH201" i="2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EW202" i="2"/>
  <c r="FR202" i="2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18" i="2" a="1"/>
  <c r="FY18" i="2" s="1"/>
  <c r="FY186" i="2" a="1"/>
  <c r="FY186" i="2" s="1"/>
  <c r="FY55" i="2" a="1"/>
  <c r="FY55" i="2" s="1"/>
  <c r="AH92" i="2" a="1"/>
  <c r="AH92" i="2" s="1"/>
  <c r="FY104" i="2" a="1"/>
  <c r="FY104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182" i="2" a="1"/>
  <c r="FY1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Y115" i="2" l="1" a="1"/>
  <c r="FY115" i="2" s="1"/>
  <c r="FY34" i="2" a="1"/>
  <c r="FY34" i="2" s="1"/>
  <c r="FY126" i="2" a="1"/>
  <c r="FY126" i="2" s="1"/>
  <c r="FY173" i="2" a="1"/>
  <c r="FY173" i="2" s="1"/>
  <c r="FY133" i="2" a="1"/>
  <c r="FY133" i="2" s="1"/>
  <c r="FY109" i="2" a="1"/>
  <c r="FY109" i="2" s="1"/>
  <c r="FY86" i="2" a="1"/>
  <c r="FY86" i="2" s="1"/>
  <c r="FY164" i="2" a="1"/>
  <c r="FY164" i="2" s="1"/>
  <c r="FY188" i="2" a="1"/>
  <c r="FY188" i="2" s="1"/>
  <c r="FY159" i="2" a="1"/>
  <c r="FY159" i="2" s="1"/>
  <c r="FY140" i="2" a="1"/>
  <c r="FY140" i="2" s="1"/>
  <c r="FY79" i="2" a="1"/>
  <c r="FY79" i="2" s="1"/>
  <c r="FY58" i="2" a="1"/>
  <c r="FY58" i="2" s="1"/>
  <c r="FY149" i="2" a="1"/>
  <c r="FY149" i="2" s="1"/>
  <c r="FY28" i="2" a="1"/>
  <c r="FY28" i="2" s="1"/>
  <c r="FY143" i="2" a="1"/>
  <c r="FY143" i="2" s="1"/>
  <c r="FY29" i="2" a="1"/>
  <c r="FY29" i="2" s="1"/>
  <c r="FY47" i="2" a="1"/>
  <c r="FY47" i="2" s="1"/>
  <c r="BP203" i="2"/>
  <c r="FY121" i="2" a="1"/>
  <c r="FY121" i="2" s="1"/>
  <c r="FY24" i="2" a="1"/>
  <c r="FY24" i="2" s="1"/>
  <c r="FY78" i="2" a="1"/>
  <c r="FY78" i="2" s="1"/>
  <c r="FY191" i="2" a="1"/>
  <c r="FY191" i="2" s="1"/>
  <c r="FY35" i="2" a="1"/>
  <c r="FY35" i="2" s="1"/>
  <c r="FY167" i="2" a="1"/>
  <c r="FY167" i="2" s="1"/>
  <c r="FY124" i="2" a="1"/>
  <c r="FY124" i="2" s="1"/>
  <c r="FY174" i="2" a="1"/>
  <c r="FY174" i="2" s="1"/>
  <c r="FY110" i="2" a="1"/>
  <c r="FY110" i="2" s="1"/>
  <c r="FY165" i="2" a="1"/>
  <c r="FY165" i="2" s="1"/>
  <c r="FY142" i="2" a="1"/>
  <c r="FY142" i="2" s="1"/>
  <c r="FY169" i="2" a="1"/>
  <c r="FY169" i="2" s="1"/>
  <c r="FY99" i="2" a="1"/>
  <c r="FY99" i="2" s="1"/>
  <c r="FY153" i="2" a="1"/>
  <c r="FY153" i="2" s="1"/>
  <c r="FY146" i="2" a="1"/>
  <c r="FY146" i="2" s="1"/>
  <c r="FY80" i="2" a="1"/>
  <c r="FY80" i="2" s="1"/>
  <c r="FY62" i="2" a="1"/>
  <c r="FY62" i="2" s="1"/>
  <c r="FY116" i="2" a="1"/>
  <c r="FY116" i="2" s="1"/>
  <c r="FY102" i="2" a="1"/>
  <c r="FY102" i="2" s="1"/>
  <c r="FY32" i="2" a="1"/>
  <c r="FY32" i="2" s="1"/>
  <c r="FS203" i="2"/>
  <c r="FY30" i="2" a="1"/>
  <c r="FY30" i="2" s="1"/>
  <c r="FY190" i="2" a="1"/>
  <c r="FY190" i="2" s="1"/>
  <c r="FY92" i="2" a="1"/>
  <c r="FY92" i="2" s="1"/>
  <c r="FY69" i="2" a="1"/>
  <c r="FY69" i="2" s="1"/>
  <c r="FY22" i="2" a="1"/>
  <c r="FY22" i="2" s="1"/>
  <c r="FY42" i="2" a="1"/>
  <c r="FY42" i="2" s="1"/>
  <c r="FY72" i="2" a="1"/>
  <c r="FY72" i="2" s="1"/>
  <c r="FY111" i="2" a="1"/>
  <c r="FY111" i="2" s="1"/>
  <c r="FY66" i="2" a="1"/>
  <c r="FY66" i="2" s="1"/>
  <c r="FY90" i="2" a="1"/>
  <c r="FY90" i="2" s="1"/>
  <c r="FY196" i="2" a="1"/>
  <c r="FY196" i="2" s="1"/>
  <c r="FY73" i="2" a="1"/>
  <c r="FY73" i="2" s="1"/>
  <c r="FY120" i="2" a="1"/>
  <c r="FY120" i="2" s="1"/>
  <c r="FY57" i="2" a="1"/>
  <c r="FY57" i="2" s="1"/>
  <c r="FY82" i="2" a="1"/>
  <c r="FY82" i="2" s="1"/>
  <c r="FY172" i="2" a="1"/>
  <c r="FY172" i="2" s="1"/>
  <c r="FY178" i="2" a="1"/>
  <c r="FY178" i="2" s="1"/>
  <c r="FY152" i="2" a="1"/>
  <c r="FY152" i="2" s="1"/>
  <c r="FY71" i="2" a="1"/>
  <c r="FY71" i="2" s="1"/>
  <c r="FY54" i="2" a="1"/>
  <c r="FY54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<sst xmlns="http://schemas.openxmlformats.org/spreadsheetml/2006/main" count="1171" uniqueCount="325">
  <si>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</si>
  <si>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</si>
  <si>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</si>
  <si>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</si>
  <si>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</si>
  <si>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</si>
  <si>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</si>
  <si>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</si>
  <si>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</si>
  <si>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</si>
  <si>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</si>
  <si>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</si>
  <si>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</si>
  <si>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</si>
  <si>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</si>
  <si>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</si>
  <si>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Peuplier Koster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</si>
  <si>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</si>
  <si>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</si>
  <si>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</si>
  <si>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</si>
  <si>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</si>
  <si>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</si>
  <si>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</si>
  <si>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</si>
  <si>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</si>
  <si>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</si>
  <si>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</si>
  <si>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</si>
  <si>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</si>
  <si>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</si>
  <si>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</si>
  <si>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</si>
  <si>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</si>
  <si>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</si>
  <si>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</si>
  <si>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</si>
  <si>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</si>
  <si>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</si>
  <si>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</si>
  <si>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</si>
  <si>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</si>
  <si>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</si>
  <si>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</si>
  <si>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</si>
  <si>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</si>
  <si>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</si>
  <si>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</si>
  <si>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</si>
  <si>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</si>
  <si>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</si>
  <si>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</si>
  <si>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</si>
  <si>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</si>
  <si>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CR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</si>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</sst>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1.7202304100925723</c:v>
                </c:pt>
                <c:pt idx="2">
                  <c:v>2.2298741320266284</c:v>
                </c:pt>
                <c:pt idx="3">
                  <c:v>2.8911257088074844</c:v>
                </c:pt>
                <c:pt idx="4">
                  <c:v>3.7492588904152253</c:v>
                </c:pt>
                <c:pt idx="5">
                  <c:v>9.4527708386346081</c:v>
                </c:pt>
                <c:pt idx="6">
                  <c:v>16.799486671896954</c:v>
                </c:pt>
                <c:pt idx="7">
                  <c:v>25.664243314453273</c:v>
                </c:pt>
                <c:pt idx="8">
                  <c:v>35.922764560948956</c:v>
                </c:pt>
                <c:pt idx="9">
                  <c:v>47.453531707676156</c:v>
                </c:pt>
                <c:pt idx="10">
                  <c:v>60.137455844870459</c:v>
                </c:pt>
                <c:pt idx="11">
                  <c:v>73.857406838666478</c:v>
                </c:pt>
                <c:pt idx="12">
                  <c:v>88.497823262041379</c:v>
                </c:pt>
                <c:pt idx="13">
                  <c:v>103.94441176932362</c:v>
                </c:pt>
                <c:pt idx="14">
                  <c:v>120.08391644444065</c:v>
                </c:pt>
                <c:pt idx="15">
                  <c:v>136.80393960137704</c:v>
                </c:pt>
                <c:pt idx="16">
                  <c:v>153.99280012767676</c:v>
                </c:pt>
                <c:pt idx="17">
                  <c:v>171.53941943248637</c:v>
                </c:pt>
                <c:pt idx="18">
                  <c:v>189.3332279334883</c:v>
                </c:pt>
                <c:pt idx="19">
                  <c:v>207.26408700923182</c:v>
                </c:pt>
                <c:pt idx="20">
                  <c:v>225.22222271584272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8" sqref="B8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1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5" zoomScale="70" zoomScaleNormal="70" workbookViewId="0">
      <selection activeCell="I24" sqref="I24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2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4</v>
      </c>
      <c r="C3" s="264"/>
      <c r="D3" s="264"/>
      <c r="E3" s="264"/>
      <c r="F3" s="265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7</v>
      </c>
      <c r="B5" s="268"/>
      <c r="C5" s="24">
        <v>2</v>
      </c>
      <c r="D5" s="269" t="s">
        <v>8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9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1</v>
      </c>
      <c r="D9" s="33">
        <f t="shared" ref="D9:D18" si="0">C9*$C$5</f>
        <v>2</v>
      </c>
      <c r="E9" s="34">
        <v>20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19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20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21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22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23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24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25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26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27</v>
      </c>
      <c r="C19" s="37">
        <f>SUM(C9:C18)</f>
        <v>1</v>
      </c>
      <c r="D19" s="38">
        <f>SUM(D9:D18)</f>
        <v>2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28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29</v>
      </c>
      <c r="B24" s="42" t="s">
        <v>30</v>
      </c>
      <c r="C24" s="43">
        <v>0</v>
      </c>
      <c r="D24" s="44" t="s">
        <v>31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32</v>
      </c>
      <c r="B25" s="42" t="s">
        <v>33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34</v>
      </c>
      <c r="B26" s="42" t="s">
        <v>35</v>
      </c>
      <c r="C26" s="43">
        <v>0.15</v>
      </c>
      <c r="D26" s="44" t="s">
        <v>36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37</v>
      </c>
      <c r="B27" s="42" t="s">
        <v>38</v>
      </c>
      <c r="C27" s="43">
        <v>0</v>
      </c>
      <c r="D27" s="44" t="s">
        <v>39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40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Peuplier Koster</v>
      </c>
      <c r="D32" s="229" t="s">
        <v>41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42</v>
      </c>
      <c r="C34" s="258" t="s">
        <v>43</v>
      </c>
      <c r="D34" s="258"/>
      <c r="E34" s="259" t="s">
        <v>44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45</v>
      </c>
      <c r="B35" s="36" t="s">
        <v>46</v>
      </c>
      <c r="C35" s="48" t="s">
        <v>47</v>
      </c>
      <c r="D35" s="48" t="s">
        <v>48</v>
      </c>
      <c r="E35" s="36" t="s">
        <v>49</v>
      </c>
      <c r="F35" s="36" t="s">
        <v>50</v>
      </c>
      <c r="G35" s="36" t="s">
        <v>51</v>
      </c>
      <c r="H35" s="36" t="s">
        <v>52</v>
      </c>
      <c r="I35" s="48" t="s">
        <v>53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4</v>
      </c>
      <c r="B36" s="60">
        <v>2.94</v>
      </c>
      <c r="C36" s="60"/>
      <c r="D36" s="60"/>
      <c r="E36" s="51"/>
      <c r="F36" s="51"/>
      <c r="G36" s="51"/>
      <c r="H36" s="51"/>
      <c r="I36" s="49">
        <f>IFERROR(B36/A36,"")</f>
        <v>0.73499999999999999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5</v>
      </c>
      <c r="B37" s="60">
        <v>7.6591666666666711</v>
      </c>
      <c r="C37" s="60"/>
      <c r="D37" s="60"/>
      <c r="E37" s="51"/>
      <c r="F37" s="51"/>
      <c r="G37" s="51"/>
      <c r="H37" s="51"/>
      <c r="I37" s="53">
        <f t="shared" ref="I37:I55" si="1">IF(A37&lt;&gt;0,(B37-(B36-D36))/(A37-A36),"")</f>
        <v>4.7191666666666716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6</v>
      </c>
      <c r="B38" s="60">
        <v>13.873589743589744</v>
      </c>
      <c r="C38" s="60"/>
      <c r="D38" s="60"/>
      <c r="E38" s="51"/>
      <c r="F38" s="51"/>
      <c r="G38" s="51"/>
      <c r="H38" s="51"/>
      <c r="I38" s="53">
        <f t="shared" si="1"/>
        <v>6.2144230769230724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7</v>
      </c>
      <c r="B39" s="60">
        <v>21.480576923076921</v>
      </c>
      <c r="C39" s="60"/>
      <c r="D39" s="60"/>
      <c r="E39" s="51"/>
      <c r="F39" s="51"/>
      <c r="G39" s="51"/>
      <c r="H39" s="51"/>
      <c r="I39" s="49">
        <f t="shared" si="1"/>
        <v>7.6069871794871773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8</v>
      </c>
      <c r="B40" s="60">
        <v>30.377435897435895</v>
      </c>
      <c r="C40" s="60"/>
      <c r="D40" s="60"/>
      <c r="E40" s="51"/>
      <c r="F40" s="51"/>
      <c r="G40" s="51"/>
      <c r="H40" s="51"/>
      <c r="I40" s="49">
        <f t="shared" si="1"/>
        <v>8.8968589743589739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9</v>
      </c>
      <c r="B41" s="60">
        <v>40.46147435897435</v>
      </c>
      <c r="C41" s="60"/>
      <c r="D41" s="60"/>
      <c r="E41" s="51"/>
      <c r="F41" s="51"/>
      <c r="G41" s="51"/>
      <c r="H41" s="51"/>
      <c r="I41" s="53">
        <f t="shared" si="1"/>
        <v>10.084038461538455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10</v>
      </c>
      <c r="B42" s="60">
        <v>51.630000000000017</v>
      </c>
      <c r="C42" s="60"/>
      <c r="D42" s="60"/>
      <c r="E42" s="51"/>
      <c r="F42" s="51"/>
      <c r="G42" s="51"/>
      <c r="H42" s="51"/>
      <c r="I42" s="53">
        <f t="shared" si="1"/>
        <v>11.168525641025667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11</v>
      </c>
      <c r="B43" s="60">
        <v>63.780320512820509</v>
      </c>
      <c r="C43" s="60"/>
      <c r="D43" s="60"/>
      <c r="E43" s="51"/>
      <c r="F43" s="51"/>
      <c r="G43" s="51"/>
      <c r="H43" s="51"/>
      <c r="I43" s="49">
        <f t="shared" si="1"/>
        <v>12.150320512820493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12</v>
      </c>
      <c r="B44" s="60">
        <v>76.80974358974359</v>
      </c>
      <c r="C44" s="60"/>
      <c r="D44" s="60"/>
      <c r="E44" s="51"/>
      <c r="F44" s="51"/>
      <c r="G44" s="51"/>
      <c r="H44" s="51"/>
      <c r="I44" s="49">
        <f t="shared" si="1"/>
        <v>13.029423076923081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>
        <v>13</v>
      </c>
      <c r="B45" s="60">
        <v>90.615576923076929</v>
      </c>
      <c r="C45" s="60"/>
      <c r="D45" s="60"/>
      <c r="E45" s="51"/>
      <c r="F45" s="51"/>
      <c r="G45" s="51"/>
      <c r="H45" s="51"/>
      <c r="I45" s="49">
        <f t="shared" si="1"/>
        <v>13.805833333333339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>
        <v>14</v>
      </c>
      <c r="B46" s="60">
        <v>105.09512820512822</v>
      </c>
      <c r="C46" s="60"/>
      <c r="D46" s="60"/>
      <c r="E46" s="51"/>
      <c r="F46" s="51"/>
      <c r="G46" s="51"/>
      <c r="H46" s="51"/>
      <c r="I46" s="49">
        <f t="shared" si="1"/>
        <v>14.47955128205129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>
        <v>15</v>
      </c>
      <c r="B47" s="60">
        <v>120.14570512820511</v>
      </c>
      <c r="C47" s="60"/>
      <c r="D47" s="60"/>
      <c r="E47" s="51"/>
      <c r="F47" s="51"/>
      <c r="G47" s="51"/>
      <c r="H47" s="51"/>
      <c r="I47" s="49">
        <f t="shared" si="1"/>
        <v>15.050576923076889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>
        <v>16</v>
      </c>
      <c r="B48" s="60">
        <v>135.66461538461539</v>
      </c>
      <c r="C48" s="60"/>
      <c r="D48" s="60"/>
      <c r="E48" s="51"/>
      <c r="F48" s="51"/>
      <c r="G48" s="51"/>
      <c r="H48" s="51"/>
      <c r="I48" s="49">
        <f t="shared" si="1"/>
        <v>15.51891025641028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>
        <v>17</v>
      </c>
      <c r="B49" s="60">
        <v>151.54916666666668</v>
      </c>
      <c r="C49" s="60"/>
      <c r="D49" s="60"/>
      <c r="E49" s="51"/>
      <c r="F49" s="51"/>
      <c r="G49" s="51"/>
      <c r="H49" s="51"/>
      <c r="I49" s="49">
        <f t="shared" si="1"/>
        <v>15.884551282051291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>
        <v>18</v>
      </c>
      <c r="B50" s="50">
        <v>167.69666666666663</v>
      </c>
      <c r="C50" s="50"/>
      <c r="D50" s="50"/>
      <c r="E50" s="51"/>
      <c r="F50" s="51"/>
      <c r="G50" s="51"/>
      <c r="H50" s="51"/>
      <c r="I50" s="49">
        <f t="shared" si="1"/>
        <v>16.147499999999951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>
        <v>19</v>
      </c>
      <c r="B51" s="50">
        <v>184.00442307692299</v>
      </c>
      <c r="C51" s="50"/>
      <c r="D51" s="50"/>
      <c r="E51" s="51"/>
      <c r="F51" s="51"/>
      <c r="G51" s="51"/>
      <c r="H51" s="51"/>
      <c r="I51" s="49">
        <f t="shared" si="1"/>
        <v>16.30775641025636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>
        <v>20</v>
      </c>
      <c r="B52" s="50">
        <v>200.36974358974356</v>
      </c>
      <c r="C52" s="50" t="s">
        <v>54</v>
      </c>
      <c r="D52" s="50">
        <v>200.36974358974356</v>
      </c>
      <c r="E52" s="51">
        <v>0.7</v>
      </c>
      <c r="F52" s="51">
        <v>0.15</v>
      </c>
      <c r="G52" s="51">
        <v>0.15</v>
      </c>
      <c r="H52" s="51">
        <v>0</v>
      </c>
      <c r="I52" s="49">
        <f t="shared" si="1"/>
        <v>16.365320512820574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/>
      </c>
      <c r="D58" s="229" t="s">
        <v>41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42</v>
      </c>
      <c r="C60" s="258" t="s">
        <v>43</v>
      </c>
      <c r="D60" s="258"/>
      <c r="E60" s="259" t="s">
        <v>44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45</v>
      </c>
      <c r="B61" s="36" t="s">
        <v>46</v>
      </c>
      <c r="C61" s="48" t="s">
        <v>47</v>
      </c>
      <c r="D61" s="48" t="s">
        <v>48</v>
      </c>
      <c r="E61" s="36" t="s">
        <v>49</v>
      </c>
      <c r="F61" s="36" t="s">
        <v>50</v>
      </c>
      <c r="G61" s="36" t="s">
        <v>51</v>
      </c>
      <c r="H61" s="36" t="s">
        <v>52</v>
      </c>
      <c r="I61" s="48" t="s">
        <v>53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19</v>
      </c>
      <c r="B84" s="52" t="str">
        <f>IF(B11="","",B11)</f>
        <v/>
      </c>
      <c r="D84" s="229" t="s">
        <v>41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42</v>
      </c>
      <c r="C86" s="258" t="s">
        <v>43</v>
      </c>
      <c r="D86" s="258"/>
      <c r="E86" s="259" t="s">
        <v>44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45</v>
      </c>
      <c r="B87" s="36" t="s">
        <v>46</v>
      </c>
      <c r="C87" s="48" t="s">
        <v>47</v>
      </c>
      <c r="D87" s="48" t="s">
        <v>48</v>
      </c>
      <c r="E87" s="36" t="s">
        <v>49</v>
      </c>
      <c r="F87" s="36" t="s">
        <v>50</v>
      </c>
      <c r="G87" s="36" t="s">
        <v>51</v>
      </c>
      <c r="H87" s="36" t="s">
        <v>52</v>
      </c>
      <c r="I87" s="48" t="s">
        <v>53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20</v>
      </c>
      <c r="B110" s="52" t="str">
        <f>IF(B12="","",B12)</f>
        <v/>
      </c>
      <c r="D110" s="229" t="s">
        <v>41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42</v>
      </c>
      <c r="C112" s="258" t="s">
        <v>43</v>
      </c>
      <c r="D112" s="258"/>
      <c r="E112" s="259" t="s">
        <v>44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45</v>
      </c>
      <c r="B113" s="36" t="s">
        <v>46</v>
      </c>
      <c r="C113" s="48" t="s">
        <v>47</v>
      </c>
      <c r="D113" s="48" t="s">
        <v>48</v>
      </c>
      <c r="E113" s="36" t="s">
        <v>49</v>
      </c>
      <c r="F113" s="36" t="s">
        <v>50</v>
      </c>
      <c r="G113" s="36" t="s">
        <v>51</v>
      </c>
      <c r="H113" s="36" t="s">
        <v>52</v>
      </c>
      <c r="I113" s="48" t="s">
        <v>53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21</v>
      </c>
      <c r="B136" s="52" t="str">
        <f>IF(B13="","",B13)</f>
        <v/>
      </c>
      <c r="D136" s="229" t="s">
        <v>41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42</v>
      </c>
      <c r="C138" s="258" t="s">
        <v>43</v>
      </c>
      <c r="D138" s="258"/>
      <c r="E138" s="259" t="s">
        <v>44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45</v>
      </c>
      <c r="B139" s="36" t="s">
        <v>46</v>
      </c>
      <c r="C139" s="48" t="s">
        <v>47</v>
      </c>
      <c r="D139" s="48" t="s">
        <v>48</v>
      </c>
      <c r="E139" s="36" t="s">
        <v>49</v>
      </c>
      <c r="F139" s="36" t="s">
        <v>50</v>
      </c>
      <c r="G139" s="36" t="s">
        <v>51</v>
      </c>
      <c r="H139" s="36" t="s">
        <v>52</v>
      </c>
      <c r="I139" s="48" t="s">
        <v>53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22</v>
      </c>
      <c r="B162" s="52" t="str">
        <f>IF(B14="","",B14)</f>
        <v/>
      </c>
      <c r="D162" s="229" t="s">
        <v>41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42</v>
      </c>
      <c r="C164" s="258" t="s">
        <v>43</v>
      </c>
      <c r="D164" s="258"/>
      <c r="E164" s="259" t="s">
        <v>44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45</v>
      </c>
      <c r="B165" s="36" t="s">
        <v>46</v>
      </c>
      <c r="C165" s="48" t="s">
        <v>47</v>
      </c>
      <c r="D165" s="48" t="s">
        <v>48</v>
      </c>
      <c r="E165" s="36" t="s">
        <v>49</v>
      </c>
      <c r="F165" s="36" t="s">
        <v>50</v>
      </c>
      <c r="G165" s="36" t="s">
        <v>51</v>
      </c>
      <c r="H165" s="36" t="s">
        <v>52</v>
      </c>
      <c r="I165" s="48" t="s">
        <v>53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23</v>
      </c>
      <c r="B188" s="52" t="str">
        <f>IF(B15="","",B15)</f>
        <v/>
      </c>
      <c r="D188" s="229" t="s">
        <v>41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42</v>
      </c>
      <c r="C190" s="258" t="s">
        <v>43</v>
      </c>
      <c r="D190" s="258"/>
      <c r="E190" s="259" t="s">
        <v>44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45</v>
      </c>
      <c r="B191" s="36" t="s">
        <v>46</v>
      </c>
      <c r="C191" s="48" t="s">
        <v>47</v>
      </c>
      <c r="D191" s="48" t="s">
        <v>48</v>
      </c>
      <c r="E191" s="36" t="s">
        <v>49</v>
      </c>
      <c r="F191" s="36" t="s">
        <v>50</v>
      </c>
      <c r="G191" s="36" t="s">
        <v>51</v>
      </c>
      <c r="H191" s="36" t="s">
        <v>52</v>
      </c>
      <c r="I191" s="48" t="s">
        <v>53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24</v>
      </c>
      <c r="B214" s="52" t="str">
        <f>IF(B16="","",B16)</f>
        <v/>
      </c>
      <c r="D214" s="229" t="s">
        <v>41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42</v>
      </c>
      <c r="C216" s="258" t="s">
        <v>43</v>
      </c>
      <c r="D216" s="258"/>
      <c r="E216" s="259" t="s">
        <v>44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45</v>
      </c>
      <c r="B217" s="36" t="s">
        <v>46</v>
      </c>
      <c r="C217" s="48" t="s">
        <v>47</v>
      </c>
      <c r="D217" s="48" t="s">
        <v>48</v>
      </c>
      <c r="E217" s="36" t="s">
        <v>49</v>
      </c>
      <c r="F217" s="36" t="s">
        <v>50</v>
      </c>
      <c r="G217" s="36" t="s">
        <v>51</v>
      </c>
      <c r="H217" s="36" t="s">
        <v>52</v>
      </c>
      <c r="I217" s="48" t="s">
        <v>53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25</v>
      </c>
      <c r="B240" s="52" t="str">
        <f>IF(B17="","",B17)</f>
        <v/>
      </c>
      <c r="D240" s="229" t="s">
        <v>41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42</v>
      </c>
      <c r="C242" s="258" t="s">
        <v>43</v>
      </c>
      <c r="D242" s="258"/>
      <c r="E242" s="259" t="s">
        <v>44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45</v>
      </c>
      <c r="B243" s="36" t="s">
        <v>46</v>
      </c>
      <c r="C243" s="48" t="s">
        <v>47</v>
      </c>
      <c r="D243" s="48" t="s">
        <v>48</v>
      </c>
      <c r="E243" s="36" t="s">
        <v>49</v>
      </c>
      <c r="F243" s="36" t="s">
        <v>50</v>
      </c>
      <c r="G243" s="36" t="s">
        <v>51</v>
      </c>
      <c r="H243" s="36" t="s">
        <v>52</v>
      </c>
      <c r="I243" s="48" t="s">
        <v>53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26</v>
      </c>
      <c r="B266" s="52" t="str">
        <f>IF(B18="","",B18)</f>
        <v/>
      </c>
      <c r="D266" s="229" t="s">
        <v>41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42</v>
      </c>
      <c r="C268" s="258" t="s">
        <v>43</v>
      </c>
      <c r="D268" s="258"/>
      <c r="E268" s="259" t="s">
        <v>44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45</v>
      </c>
      <c r="B269" s="36" t="s">
        <v>46</v>
      </c>
      <c r="C269" s="48" t="s">
        <v>47</v>
      </c>
      <c r="D269" s="48" t="s">
        <v>48</v>
      </c>
      <c r="E269" s="36" t="s">
        <v>49</v>
      </c>
      <c r="F269" s="36" t="s">
        <v>50</v>
      </c>
      <c r="G269" s="36" t="s">
        <v>51</v>
      </c>
      <c r="H269" s="36" t="s">
        <v>52</v>
      </c>
      <c r="I269" s="48" t="s">
        <v>53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C23" sqref="C23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55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57</v>
      </c>
      <c r="C7" s="100" t="s">
        <v>58</v>
      </c>
      <c r="D7" s="215"/>
      <c r="E7" s="101"/>
      <c r="F7" s="26" t="s">
        <v>57</v>
      </c>
      <c r="G7" s="100" t="s">
        <v>59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60</v>
      </c>
      <c r="D8" s="23"/>
      <c r="E8" s="105">
        <v>4</v>
      </c>
      <c r="F8" s="61">
        <v>0</v>
      </c>
      <c r="G8" s="102" t="s">
        <v>61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1</v>
      </c>
      <c r="C9" s="108" t="s">
        <v>62</v>
      </c>
      <c r="D9" s="23"/>
      <c r="E9" s="105">
        <v>5</v>
      </c>
      <c r="F9" s="61">
        <v>0</v>
      </c>
      <c r="G9" s="103" t="s">
        <v>63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64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65</v>
      </c>
      <c r="D13" s="216"/>
      <c r="E13" s="99"/>
      <c r="F13" s="107"/>
      <c r="G13" s="98" t="s">
        <v>66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67</v>
      </c>
      <c r="D14" s="216"/>
      <c r="E14" s="99"/>
      <c r="F14" s="107"/>
      <c r="G14" s="98" t="s">
        <v>68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57</v>
      </c>
      <c r="C15" s="4"/>
      <c r="D15" s="23"/>
      <c r="E15" s="4"/>
      <c r="F15" s="4"/>
      <c r="G15" s="2" t="s">
        <v>258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70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71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72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73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Peuplier Koster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74</v>
      </c>
      <c r="B2" s="72" t="s">
        <v>75</v>
      </c>
      <c r="C2" s="5" t="s">
        <v>76</v>
      </c>
      <c r="D2" s="5" t="s">
        <v>77</v>
      </c>
      <c r="E2" s="5" t="s">
        <v>78</v>
      </c>
      <c r="F2" s="5" t="s">
        <v>79</v>
      </c>
      <c r="G2" s="5" t="s">
        <v>80</v>
      </c>
      <c r="H2" s="66" t="s">
        <v>81</v>
      </c>
      <c r="I2" s="68" t="s">
        <v>78</v>
      </c>
      <c r="J2" s="69" t="s">
        <v>79</v>
      </c>
      <c r="K2" s="6" t="s">
        <v>82</v>
      </c>
      <c r="L2" s="6" t="s">
        <v>83</v>
      </c>
      <c r="M2" s="6" t="s">
        <v>83</v>
      </c>
      <c r="N2" s="6" t="s">
        <v>84</v>
      </c>
      <c r="O2" s="6" t="s">
        <v>85</v>
      </c>
      <c r="P2" s="6" t="s">
        <v>86</v>
      </c>
      <c r="Q2" s="6" t="s">
        <v>80</v>
      </c>
      <c r="R2" s="6" t="s">
        <v>87</v>
      </c>
      <c r="S2" s="6" t="s">
        <v>88</v>
      </c>
      <c r="T2" s="6" t="s">
        <v>89</v>
      </c>
      <c r="U2" s="7" t="s">
        <v>90</v>
      </c>
      <c r="V2" s="8" t="s">
        <v>91</v>
      </c>
      <c r="W2" s="7" t="s">
        <v>49</v>
      </c>
      <c r="X2" s="7" t="s">
        <v>50</v>
      </c>
      <c r="Y2" s="7" t="s">
        <v>92</v>
      </c>
      <c r="Z2" s="8" t="s">
        <v>93</v>
      </c>
      <c r="AA2" s="8" t="s">
        <v>94</v>
      </c>
      <c r="AB2" s="8" t="s">
        <v>95</v>
      </c>
      <c r="AC2" s="9" t="s">
        <v>96</v>
      </c>
      <c r="AD2" s="69" t="s">
        <v>78</v>
      </c>
      <c r="AE2" s="69" t="s">
        <v>79</v>
      </c>
      <c r="AF2" s="6" t="s">
        <v>82</v>
      </c>
      <c r="AG2" s="6" t="s">
        <v>83</v>
      </c>
      <c r="AH2" s="6" t="s">
        <v>83</v>
      </c>
      <c r="AI2" s="6" t="s">
        <v>84</v>
      </c>
      <c r="AJ2" s="6" t="s">
        <v>85</v>
      </c>
      <c r="AK2" s="6" t="s">
        <v>86</v>
      </c>
      <c r="AL2" s="6" t="s">
        <v>80</v>
      </c>
      <c r="AM2" s="6" t="s">
        <v>87</v>
      </c>
      <c r="AN2" s="6" t="s">
        <v>88</v>
      </c>
      <c r="AO2" s="6" t="s">
        <v>89</v>
      </c>
      <c r="AP2" s="7" t="s">
        <v>90</v>
      </c>
      <c r="AQ2" s="8" t="s">
        <v>91</v>
      </c>
      <c r="AR2" s="7" t="s">
        <v>49</v>
      </c>
      <c r="AS2" s="7" t="s">
        <v>50</v>
      </c>
      <c r="AT2" s="8" t="s">
        <v>97</v>
      </c>
      <c r="AU2" s="8" t="s">
        <v>93</v>
      </c>
      <c r="AV2" s="8" t="s">
        <v>94</v>
      </c>
      <c r="AW2" s="8" t="s">
        <v>95</v>
      </c>
      <c r="AX2" s="8" t="s">
        <v>96</v>
      </c>
      <c r="AY2" s="68" t="s">
        <v>78</v>
      </c>
      <c r="AZ2" s="69" t="s">
        <v>79</v>
      </c>
      <c r="BA2" s="6" t="s">
        <v>82</v>
      </c>
      <c r="BB2" s="6" t="s">
        <v>83</v>
      </c>
      <c r="BC2" s="6" t="s">
        <v>83</v>
      </c>
      <c r="BD2" s="6" t="s">
        <v>84</v>
      </c>
      <c r="BE2" s="6" t="s">
        <v>85</v>
      </c>
      <c r="BF2" s="6" t="s">
        <v>86</v>
      </c>
      <c r="BG2" s="6" t="s">
        <v>80</v>
      </c>
      <c r="BH2" s="6" t="s">
        <v>87</v>
      </c>
      <c r="BI2" s="6" t="s">
        <v>88</v>
      </c>
      <c r="BJ2" s="6" t="s">
        <v>89</v>
      </c>
      <c r="BK2" s="7" t="s">
        <v>90</v>
      </c>
      <c r="BL2" s="8" t="s">
        <v>91</v>
      </c>
      <c r="BM2" s="7" t="s">
        <v>49</v>
      </c>
      <c r="BN2" s="7" t="s">
        <v>50</v>
      </c>
      <c r="BO2" s="8" t="s">
        <v>97</v>
      </c>
      <c r="BP2" s="8" t="s">
        <v>93</v>
      </c>
      <c r="BQ2" s="8" t="s">
        <v>94</v>
      </c>
      <c r="BR2" s="8" t="s">
        <v>95</v>
      </c>
      <c r="BS2" s="9" t="s">
        <v>96</v>
      </c>
      <c r="BT2" s="68" t="s">
        <v>78</v>
      </c>
      <c r="BU2" s="69" t="s">
        <v>79</v>
      </c>
      <c r="BV2" s="6" t="s">
        <v>82</v>
      </c>
      <c r="BW2" s="6" t="s">
        <v>83</v>
      </c>
      <c r="BX2" s="6" t="s">
        <v>83</v>
      </c>
      <c r="BY2" s="6" t="s">
        <v>84</v>
      </c>
      <c r="BZ2" s="6" t="s">
        <v>85</v>
      </c>
      <c r="CA2" s="6" t="s">
        <v>86</v>
      </c>
      <c r="CB2" s="6" t="s">
        <v>80</v>
      </c>
      <c r="CC2" s="6" t="s">
        <v>87</v>
      </c>
      <c r="CD2" s="6" t="s">
        <v>88</v>
      </c>
      <c r="CE2" s="6" t="s">
        <v>89</v>
      </c>
      <c r="CF2" s="7" t="s">
        <v>90</v>
      </c>
      <c r="CG2" s="8" t="s">
        <v>91</v>
      </c>
      <c r="CH2" s="7" t="s">
        <v>49</v>
      </c>
      <c r="CI2" s="7" t="s">
        <v>50</v>
      </c>
      <c r="CJ2" s="8" t="s">
        <v>97</v>
      </c>
      <c r="CK2" s="8" t="s">
        <v>93</v>
      </c>
      <c r="CL2" s="8" t="s">
        <v>94</v>
      </c>
      <c r="CM2" s="8" t="s">
        <v>95</v>
      </c>
      <c r="CN2" s="9" t="s">
        <v>96</v>
      </c>
      <c r="CO2" s="68" t="s">
        <v>78</v>
      </c>
      <c r="CP2" s="69" t="s">
        <v>79</v>
      </c>
      <c r="CQ2" s="6" t="s">
        <v>82</v>
      </c>
      <c r="CR2" s="6" t="s">
        <v>83</v>
      </c>
      <c r="CS2" s="6" t="s">
        <v>83</v>
      </c>
      <c r="CT2" s="6" t="s">
        <v>84</v>
      </c>
      <c r="CU2" s="6" t="s">
        <v>85</v>
      </c>
      <c r="CV2" s="6" t="s">
        <v>86</v>
      </c>
      <c r="CW2" s="6" t="s">
        <v>80</v>
      </c>
      <c r="CX2" s="6" t="s">
        <v>87</v>
      </c>
      <c r="CY2" s="6" t="s">
        <v>88</v>
      </c>
      <c r="CZ2" s="6" t="s">
        <v>89</v>
      </c>
      <c r="DA2" s="7" t="s">
        <v>90</v>
      </c>
      <c r="DB2" s="8" t="s">
        <v>91</v>
      </c>
      <c r="DC2" s="7" t="s">
        <v>49</v>
      </c>
      <c r="DD2" s="7" t="s">
        <v>50</v>
      </c>
      <c r="DE2" s="8" t="s">
        <v>97</v>
      </c>
      <c r="DF2" s="8" t="s">
        <v>93</v>
      </c>
      <c r="DG2" s="8" t="s">
        <v>94</v>
      </c>
      <c r="DH2" s="8" t="s">
        <v>95</v>
      </c>
      <c r="DI2" s="9" t="s">
        <v>96</v>
      </c>
      <c r="DJ2" s="68" t="s">
        <v>78</v>
      </c>
      <c r="DK2" s="69" t="s">
        <v>79</v>
      </c>
      <c r="DL2" s="6" t="s">
        <v>82</v>
      </c>
      <c r="DM2" s="6" t="s">
        <v>83</v>
      </c>
      <c r="DN2" s="6" t="s">
        <v>83</v>
      </c>
      <c r="DO2" s="6" t="s">
        <v>84</v>
      </c>
      <c r="DP2" s="6" t="s">
        <v>85</v>
      </c>
      <c r="DQ2" s="6" t="s">
        <v>86</v>
      </c>
      <c r="DR2" s="6" t="s">
        <v>80</v>
      </c>
      <c r="DS2" s="6" t="s">
        <v>87</v>
      </c>
      <c r="DT2" s="6" t="s">
        <v>88</v>
      </c>
      <c r="DU2" s="6" t="s">
        <v>89</v>
      </c>
      <c r="DV2" s="7" t="s">
        <v>90</v>
      </c>
      <c r="DW2" s="8" t="s">
        <v>91</v>
      </c>
      <c r="DX2" s="7" t="s">
        <v>49</v>
      </c>
      <c r="DY2" s="7" t="s">
        <v>50</v>
      </c>
      <c r="DZ2" s="8" t="s">
        <v>97</v>
      </c>
      <c r="EA2" s="8" t="s">
        <v>93</v>
      </c>
      <c r="EB2" s="8" t="s">
        <v>94</v>
      </c>
      <c r="EC2" s="8" t="s">
        <v>95</v>
      </c>
      <c r="ED2" s="9" t="s">
        <v>96</v>
      </c>
      <c r="EE2" s="68" t="s">
        <v>78</v>
      </c>
      <c r="EF2" s="69" t="s">
        <v>79</v>
      </c>
      <c r="EG2" s="6" t="s">
        <v>82</v>
      </c>
      <c r="EH2" s="6" t="s">
        <v>83</v>
      </c>
      <c r="EI2" s="6" t="s">
        <v>83</v>
      </c>
      <c r="EJ2" s="6" t="s">
        <v>84</v>
      </c>
      <c r="EK2" s="6" t="s">
        <v>85</v>
      </c>
      <c r="EL2" s="6" t="s">
        <v>86</v>
      </c>
      <c r="EM2" s="6" t="s">
        <v>80</v>
      </c>
      <c r="EN2" s="6" t="s">
        <v>87</v>
      </c>
      <c r="EO2" s="6" t="s">
        <v>88</v>
      </c>
      <c r="EP2" s="6" t="s">
        <v>89</v>
      </c>
      <c r="EQ2" s="7" t="s">
        <v>90</v>
      </c>
      <c r="ER2" s="8" t="s">
        <v>91</v>
      </c>
      <c r="ES2" s="7" t="s">
        <v>49</v>
      </c>
      <c r="ET2" s="7" t="s">
        <v>50</v>
      </c>
      <c r="EU2" s="8" t="s">
        <v>97</v>
      </c>
      <c r="EV2" s="8" t="s">
        <v>93</v>
      </c>
      <c r="EW2" s="8" t="s">
        <v>94</v>
      </c>
      <c r="EX2" s="8" t="s">
        <v>95</v>
      </c>
      <c r="EY2" s="9" t="s">
        <v>96</v>
      </c>
      <c r="EZ2" s="68" t="s">
        <v>78</v>
      </c>
      <c r="FA2" s="69" t="s">
        <v>79</v>
      </c>
      <c r="FB2" s="6" t="s">
        <v>82</v>
      </c>
      <c r="FC2" s="6" t="s">
        <v>83</v>
      </c>
      <c r="FD2" s="6" t="s">
        <v>83</v>
      </c>
      <c r="FE2" s="6" t="s">
        <v>84</v>
      </c>
      <c r="FF2" s="6" t="s">
        <v>85</v>
      </c>
      <c r="FG2" s="6" t="s">
        <v>86</v>
      </c>
      <c r="FH2" s="6" t="s">
        <v>80</v>
      </c>
      <c r="FI2" s="6" t="s">
        <v>87</v>
      </c>
      <c r="FJ2" s="6" t="s">
        <v>88</v>
      </c>
      <c r="FK2" s="6" t="s">
        <v>89</v>
      </c>
      <c r="FL2" s="7" t="s">
        <v>90</v>
      </c>
      <c r="FM2" s="8" t="s">
        <v>91</v>
      </c>
      <c r="FN2" s="7" t="s">
        <v>49</v>
      </c>
      <c r="FO2" s="7" t="s">
        <v>50</v>
      </c>
      <c r="FP2" s="8" t="s">
        <v>98</v>
      </c>
      <c r="FQ2" s="8" t="s">
        <v>93</v>
      </c>
      <c r="FR2" s="8" t="s">
        <v>94</v>
      </c>
      <c r="FS2" s="8" t="s">
        <v>95</v>
      </c>
      <c r="FT2" s="9" t="s">
        <v>96</v>
      </c>
      <c r="FU2" s="68" t="s">
        <v>78</v>
      </c>
      <c r="FV2" s="69" t="s">
        <v>79</v>
      </c>
      <c r="FW2" s="6" t="s">
        <v>82</v>
      </c>
      <c r="FX2" s="6" t="s">
        <v>83</v>
      </c>
      <c r="FY2" s="6" t="s">
        <v>83</v>
      </c>
      <c r="FZ2" s="6" t="s">
        <v>84</v>
      </c>
      <c r="GA2" s="6" t="s">
        <v>85</v>
      </c>
      <c r="GB2" s="6" t="s">
        <v>86</v>
      </c>
      <c r="GC2" s="6" t="s">
        <v>80</v>
      </c>
      <c r="GD2" s="6" t="s">
        <v>87</v>
      </c>
      <c r="GE2" s="6" t="s">
        <v>88</v>
      </c>
      <c r="GF2" s="6" t="s">
        <v>89</v>
      </c>
      <c r="GG2" s="7" t="s">
        <v>90</v>
      </c>
      <c r="GH2" s="8" t="s">
        <v>91</v>
      </c>
      <c r="GI2" s="7" t="s">
        <v>49</v>
      </c>
      <c r="GJ2" s="7" t="s">
        <v>50</v>
      </c>
      <c r="GK2" s="8" t="s">
        <v>97</v>
      </c>
      <c r="GL2" s="8" t="s">
        <v>93</v>
      </c>
      <c r="GM2" s="8" t="s">
        <v>94</v>
      </c>
      <c r="GN2" s="8" t="s">
        <v>95</v>
      </c>
      <c r="GO2" s="8" t="s">
        <v>96</v>
      </c>
      <c r="GP2" s="68" t="s">
        <v>78</v>
      </c>
      <c r="GQ2" s="69" t="s">
        <v>79</v>
      </c>
      <c r="GR2" s="6" t="s">
        <v>82</v>
      </c>
      <c r="GS2" s="6" t="s">
        <v>83</v>
      </c>
      <c r="GT2" s="6" t="s">
        <v>83</v>
      </c>
      <c r="GU2" s="6" t="s">
        <v>84</v>
      </c>
      <c r="GV2" s="6" t="s">
        <v>85</v>
      </c>
      <c r="GW2" s="6" t="s">
        <v>86</v>
      </c>
      <c r="GX2" s="6" t="s">
        <v>80</v>
      </c>
      <c r="GY2" s="6" t="s">
        <v>87</v>
      </c>
      <c r="GZ2" s="6" t="s">
        <v>88</v>
      </c>
      <c r="HA2" s="6" t="s">
        <v>89</v>
      </c>
      <c r="HB2" s="7" t="s">
        <v>90</v>
      </c>
      <c r="HC2" s="8" t="s">
        <v>91</v>
      </c>
      <c r="HD2" s="7" t="s">
        <v>49</v>
      </c>
      <c r="HE2" s="7" t="s">
        <v>50</v>
      </c>
      <c r="HF2" s="8" t="s">
        <v>97</v>
      </c>
      <c r="HG2" s="8" t="s">
        <v>93</v>
      </c>
      <c r="HH2" s="8" t="s">
        <v>94</v>
      </c>
      <c r="HI2" s="8" t="s">
        <v>95</v>
      </c>
      <c r="HJ2" s="9" t="s">
        <v>96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80.239844009379794</v>
      </c>
      <c r="T3" s="59">
        <f>IF('Données projet'!E9&gt;30,$R$33-$H$33,LOOKUP('Données projet'!$E$9,$A$3:$A$203,R3:R203)-LOOKUP('Données projet'!$E$9,$A$3:$A$203,$H$3:$H$203))</f>
        <v>226.38486687660168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0.49400000000000005</v>
      </c>
      <c r="D4" s="11">
        <f>IFERROR(EXP(-1.0587+0.8836*LN(C4)+0.284),0)</f>
        <v>0.24713212124918574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5.7210198833270489</v>
      </c>
      <c r="H4" s="67">
        <f t="shared" ref="H4:H67" si="1">(B4+E4+F4)*44/12+(C4+D4)*0.475*44/12</f>
        <v>257.95747177784233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0.73499999999999999</v>
      </c>
      <c r="N4" s="13">
        <f>IF('Données projet'!$A$36&gt;35,N3+M4-V3,IF(A4&lt;'Données projet'!$A$36,$K$205^A4,IF(A4='Données projet'!$A$36,'Données projet'!$B$36,N3+M4-V3)))</f>
        <v>1.3094437062921891</v>
      </c>
      <c r="O4" s="13">
        <f>N4*VLOOKUP('Données projet'!$B$9,Paramètres!$A$1:$I$89,3,0)*VLOOKUP('Données projet'!$B$9,Paramètres!$A$1:$I$89,5,0)</f>
        <v>0.6659306912719557</v>
      </c>
      <c r="P4" s="13">
        <f>EXP(-1.0587+0.8836*LN(O4)+0.284)</f>
        <v>0.32176141021660248</v>
      </c>
      <c r="Q4" s="20">
        <f t="shared" ref="Q4:Q34" si="2">(O4+P4)*0.475*44/12</f>
        <v>1.7202304100925723</v>
      </c>
      <c r="R4" s="59">
        <f t="shared" si="0"/>
        <v>259.60911929898145</v>
      </c>
      <c r="S4" s="59">
        <f ca="1">AVERAGE(OFFSET($R$3,0,0,'Données projet'!$E$9+1,1))-AVERAGE(OFFSET($H$3,0,0,'Données projet'!$E$9+1,1))</f>
        <v>80.239844009379794</v>
      </c>
      <c r="T4" s="59">
        <f>$T$3</f>
        <v>226.38486687660168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0.9880000000000001</v>
      </c>
      <c r="D5" s="11">
        <f t="shared" ref="D5:D68" si="32">IFERROR(EXP(-1.0587+0.8836*LN(C5)+0.284),0)</f>
        <v>0.45595218483732475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11.146297567165314</v>
      </c>
      <c r="H5" s="67">
        <f t="shared" si="1"/>
        <v>259.18155005525836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0.73499999999999999</v>
      </c>
      <c r="N5" s="13">
        <f>IF('Données projet'!$A$36&gt;35,N4+M5-V4,IF(A5&lt;'Données projet'!$A$36,$K$205^A5,IF(A5='Données projet'!$A$36,'Données projet'!$B$36,N4+M5-V4)))</f>
        <v>1.7146428199482249</v>
      </c>
      <c r="O5" s="13">
        <f>N5*VLOOKUP('Données projet'!$B$9,Paramètres!$A$1:$I$89,3,0)*VLOOKUP('Données projet'!$B$9,Paramètres!$A$1:$I$89,5,0)</f>
        <v>0.87199875251286929</v>
      </c>
      <c r="P5" s="13">
        <f t="shared" ref="P5:P68" si="33">EXP(-1.0587+0.8836*LN(O5)+0.284)</f>
        <v>0.40831175391390312</v>
      </c>
      <c r="Q5" s="20">
        <f t="shared" si="2"/>
        <v>2.2298741320266284</v>
      </c>
      <c r="R5" s="59">
        <f t="shared" si="0"/>
        <v>261.34098524313777</v>
      </c>
      <c r="S5" s="59">
        <f ca="1">AVERAGE(OFFSET($R$3,0,0,'Données projet'!$E$9+1,1))-AVERAGE(OFFSET($H$3,0,0,'Données projet'!$E$9+1,1))</f>
        <v>80.239844009379794</v>
      </c>
      <c r="T5" s="59">
        <f t="shared" ref="T5:T68" si="34">$T$3</f>
        <v>226.38486687660168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1.4820000000000002</v>
      </c>
      <c r="D6" s="11">
        <f t="shared" si="32"/>
        <v>0.65239937694593597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16.476065365898453</v>
      </c>
      <c r="H6" s="67">
        <f t="shared" si="1"/>
        <v>260.38407891484752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0.73499999999999999</v>
      </c>
      <c r="N6" s="13">
        <f>IF('Données projet'!$A$36&gt;35,N5+M6-V5,IF(A6&lt;'Données projet'!$A$36,$K$205^A6,IF(A6='Données projet'!$A$36,'Données projet'!$B$36,N5+M6-V5)))</f>
        <v>2.2452282491202942</v>
      </c>
      <c r="O6" s="13">
        <f>N6*VLOOKUP('Données projet'!$B$9,Paramètres!$A$1:$I$89,3,0)*VLOOKUP('Données projet'!$B$9,Paramètres!$A$1:$I$89,5,0)</f>
        <v>1.1418332783726168</v>
      </c>
      <c r="P6" s="13">
        <f t="shared" si="33"/>
        <v>0.51814320515321177</v>
      </c>
      <c r="Q6" s="20">
        <f t="shared" si="2"/>
        <v>2.8911257088074844</v>
      </c>
      <c r="R6" s="59">
        <f t="shared" si="0"/>
        <v>263.22445904214078</v>
      </c>
      <c r="S6" s="59">
        <f ca="1">AVERAGE(OFFSET($R$3,0,0,'Données projet'!$E$9+1,1))-AVERAGE(OFFSET($H$3,0,0,'Données projet'!$E$9+1,1))</f>
        <v>80.239844009379794</v>
      </c>
      <c r="T6" s="59">
        <f t="shared" si="34"/>
        <v>226.38486687660168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1.9760000000000002</v>
      </c>
      <c r="D7" s="11">
        <f t="shared" si="32"/>
        <v>0.84121964318960396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21.746958649182915</v>
      </c>
      <c r="H7" s="67">
        <f t="shared" si="1"/>
        <v>261.57332421188858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>
        <f>VLOOKUP(A7,'Données projet'!$A$35:$I$55,2,0)</f>
        <v>2.94</v>
      </c>
      <c r="L7" s="12">
        <f>VLOOKUP(A7,'Données projet'!$A$35:$I$55,9,0)</f>
        <v>0.73499999999999999</v>
      </c>
      <c r="M7" s="12">
        <f t="array" ref="M7">INDEX(L:L,MIN(IF(ISNUMBER(L7:L203),ROW(L7:L203),"")))</f>
        <v>0.73499999999999999</v>
      </c>
      <c r="N7" s="13">
        <f>IF('Données projet'!$A$36&gt;35,N6+M7-V6,IF(A7&lt;'Données projet'!$A$36,$K$205^A7,IF(A7='Données projet'!$A$36,'Données projet'!$B$36,N6+M7-V6)))</f>
        <v>2.94</v>
      </c>
      <c r="O7" s="13">
        <f>N7*VLOOKUP('Données projet'!$B$9,Paramètres!$A$1:$I$89,3,0)*VLOOKUP('Données projet'!$B$9,Paramètres!$A$1:$I$89,5,0)</f>
        <v>1.4951664000000002</v>
      </c>
      <c r="P7" s="13">
        <f t="shared" si="33"/>
        <v>0.65751813038194717</v>
      </c>
      <c r="Q7" s="20">
        <f t="shared" si="2"/>
        <v>3.7492588904152253</v>
      </c>
      <c r="R7" s="59">
        <f t="shared" si="0"/>
        <v>265.30481444597075</v>
      </c>
      <c r="S7" s="59">
        <f ca="1">AVERAGE(OFFSET($R$3,0,0,'Données projet'!$E$9+1,1))-AVERAGE(OFFSET($H$3,0,0,'Données projet'!$E$9+1,1))</f>
        <v>80.239844009379794</v>
      </c>
      <c r="T7" s="59">
        <f t="shared" si="34"/>
        <v>226.38486687660168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2.4700000000000002</v>
      </c>
      <c r="D8" s="11">
        <f t="shared" si="32"/>
        <v>1.0245640017032431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26.975581767533807</v>
      </c>
      <c r="H8" s="67">
        <f t="shared" si="1"/>
        <v>262.75303230296652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7.6591666666666711</v>
      </c>
      <c r="L8" s="12">
        <f>VLOOKUP(A8,'Données projet'!$A$35:$I$55,9,0)</f>
        <v>4.7191666666666716</v>
      </c>
      <c r="M8" s="12">
        <f t="array" ref="M8">INDEX(L:L,MIN(IF(ISNUMBER(L8:L204),ROW(L8:L204),"")))</f>
        <v>4.7191666666666716</v>
      </c>
      <c r="N8" s="13">
        <f>IF('Données projet'!$A$36&gt;35,N7+M8-V7,IF(A8&lt;'Données projet'!$A$36,$K$205^A8,IF(A8='Données projet'!$A$36,'Données projet'!$B$36,N7+M8-V7)))</f>
        <v>7.6591666666666711</v>
      </c>
      <c r="O8" s="13">
        <f>N8*VLOOKUP('Données projet'!$B$9,Paramètres!$A$1:$I$89,3,0)*VLOOKUP('Données projet'!$B$9,Paramètres!$A$1:$I$89,5,0)</f>
        <v>3.8951458000000025</v>
      </c>
      <c r="P8" s="13">
        <f t="shared" si="33"/>
        <v>1.5322824327088642</v>
      </c>
      <c r="Q8" s="20">
        <f t="shared" si="2"/>
        <v>9.4527708386346081</v>
      </c>
      <c r="R8" s="59">
        <f t="shared" si="0"/>
        <v>272.23054861641236</v>
      </c>
      <c r="S8" s="59">
        <f ca="1">AVERAGE(OFFSET($R$3,0,0,'Données projet'!$E$9+1,1))-AVERAGE(OFFSET($H$3,0,0,'Données projet'!$E$9+1,1))</f>
        <v>80.239844009379794</v>
      </c>
      <c r="T8" s="59">
        <f t="shared" si="34"/>
        <v>226.38486687660168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2.9640000000000004</v>
      </c>
      <c r="D9" s="11">
        <f t="shared" si="32"/>
        <v>1.2036594830385248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32.17140653573599</v>
      </c>
      <c r="H9" s="67">
        <f t="shared" si="1"/>
        <v>263.9253402662921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>
        <f>VLOOKUP(A9,'Données projet'!$A$35:$I$55,2,0)</f>
        <v>13.873589743589744</v>
      </c>
      <c r="L9" s="12">
        <f>VLOOKUP(A9,'Données projet'!$A$35:$I$55,9,0)</f>
        <v>6.2144230769230724</v>
      </c>
      <c r="M9" s="12">
        <f t="array" ref="M9">INDEX(L:L,MIN(IF(ISNUMBER(L9:L205),ROW(L9:L205),"")))</f>
        <v>6.2144230769230724</v>
      </c>
      <c r="N9" s="13">
        <f>IF('Données projet'!$A$36&gt;35,N8+M9-V8,IF(A9&lt;'Données projet'!$A$36,$K$205^A9,IF(A9='Données projet'!$A$36,'Données projet'!$B$36,N8+M9-V8)))</f>
        <v>13.873589743589744</v>
      </c>
      <c r="O9" s="13">
        <f>N9*VLOOKUP('Données projet'!$B$9,Paramètres!$A$1:$I$89,3,0)*VLOOKUP('Données projet'!$B$9,Paramètres!$A$1:$I$89,5,0)</f>
        <v>7.0555528000000001</v>
      </c>
      <c r="P9" s="13">
        <f t="shared" si="33"/>
        <v>2.5900854805149982</v>
      </c>
      <c r="Q9" s="20">
        <f t="shared" si="2"/>
        <v>16.799486671896954</v>
      </c>
      <c r="R9" s="59">
        <f t="shared" si="0"/>
        <v>280.79948667189694</v>
      </c>
      <c r="S9" s="59">
        <f ca="1">AVERAGE(OFFSET($R$3,0,0,'Données projet'!$E$9+1,1))-AVERAGE(OFFSET($H$3,0,0,'Données projet'!$E$9+1,1))</f>
        <v>80.239844009379794</v>
      </c>
      <c r="T9" s="59">
        <f t="shared" si="34"/>
        <v>226.38486687660168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3.4580000000000006</v>
      </c>
      <c r="D10" s="11">
        <f t="shared" si="32"/>
        <v>1.3792971063482828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37.340539066548153</v>
      </c>
      <c r="H10" s="67">
        <f t="shared" si="1"/>
        <v>265.0916257935566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>
        <f>VLOOKUP(A10,'Données projet'!$A$35:$I$55,2,0)</f>
        <v>21.480576923076921</v>
      </c>
      <c r="L10" s="12">
        <f>VLOOKUP(A10,'Données projet'!$A$35:$I$55,9,0)</f>
        <v>7.6069871794871773</v>
      </c>
      <c r="M10" s="12">
        <f t="array" ref="M10">INDEX(L:L,MIN(IF(ISNUMBER(L10:L206),ROW(L10:L206),"")))</f>
        <v>7.6069871794871773</v>
      </c>
      <c r="N10" s="13">
        <f>IF('Données projet'!$A$36&gt;35,N9+M10-V9,IF(A10&lt;'Données projet'!$A$36,$K$205^A10,IF(A10='Données projet'!$A$36,'Données projet'!$B$36,N9+M10-V9)))</f>
        <v>21.480576923076921</v>
      </c>
      <c r="O10" s="13">
        <f>N10*VLOOKUP('Données projet'!$B$9,Paramètres!$A$1:$I$89,3,0)*VLOOKUP('Données projet'!$B$9,Paramètres!$A$1:$I$89,5,0)</f>
        <v>10.9241622</v>
      </c>
      <c r="P10" s="13">
        <f t="shared" si="33"/>
        <v>3.8112885068631246</v>
      </c>
      <c r="Q10" s="20">
        <f t="shared" si="2"/>
        <v>25.664243314453273</v>
      </c>
      <c r="R10" s="59">
        <f t="shared" si="0"/>
        <v>290.88646553667547</v>
      </c>
      <c r="S10" s="59">
        <f ca="1">AVERAGE(OFFSET($R$3,0,0,'Données projet'!$E$9+1,1))-AVERAGE(OFFSET($H$3,0,0,'Données projet'!$E$9+1,1))</f>
        <v>80.239844009379794</v>
      </c>
      <c r="T10" s="59">
        <f t="shared" si="34"/>
        <v>226.38486687660168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3.9520000000000008</v>
      </c>
      <c r="D11" s="11">
        <f t="shared" si="32"/>
        <v>1.5520278477018838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42.48723250857595</v>
      </c>
      <c r="H11" s="67">
        <f t="shared" si="1"/>
        <v>266.25284850141412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>
        <f>VLOOKUP(A11,'Données projet'!$A$35:$I$55,2,0)</f>
        <v>30.377435897435895</v>
      </c>
      <c r="L11" s="12">
        <f>VLOOKUP(A11,'Données projet'!$A$35:$I$55,9,0)</f>
        <v>8.8968589743589739</v>
      </c>
      <c r="M11" s="12">
        <f t="array" ref="M11">INDEX(L:L,MIN(IF(ISNUMBER(L11:L207),ROW(L11:L207),"")))</f>
        <v>8.8968589743589739</v>
      </c>
      <c r="N11" s="13">
        <f>IF('Données projet'!$A$36&gt;35,N10+M11-V10,IF(A11&lt;'Données projet'!$A$36,$K$205^A11,IF(A11='Données projet'!$A$36,'Données projet'!$B$36,N10+M11-V10)))</f>
        <v>30.377435897435895</v>
      </c>
      <c r="O11" s="13">
        <f>N11*VLOOKUP('Données projet'!$B$9,Paramètres!$A$1:$I$89,3,0)*VLOOKUP('Données projet'!$B$9,Paramètres!$A$1:$I$89,5,0)</f>
        <v>15.448748800000001</v>
      </c>
      <c r="P11" s="13">
        <f t="shared" si="33"/>
        <v>5.1767619526979693</v>
      </c>
      <c r="Q11" s="20">
        <f t="shared" si="2"/>
        <v>35.922764560948956</v>
      </c>
      <c r="R11" s="59">
        <f t="shared" si="0"/>
        <v>302.36720900539342</v>
      </c>
      <c r="S11" s="59">
        <f ca="1">AVERAGE(OFFSET($R$3,0,0,'Données projet'!$E$9+1,1))-AVERAGE(OFFSET($H$3,0,0,'Données projet'!$E$9+1,1))</f>
        <v>80.239844009379794</v>
      </c>
      <c r="T11" s="59">
        <f t="shared" si="34"/>
        <v>226.38486687660168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4.4460000000000006</v>
      </c>
      <c r="D12" s="11">
        <f t="shared" si="32"/>
        <v>1.7222566815192901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47.614612980148912</v>
      </c>
      <c r="H12" s="67">
        <f t="shared" si="1"/>
        <v>267.40971372031277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>
        <f>VLOOKUP(A12,'Données projet'!$A$35:$I$55,2,0)</f>
        <v>40.46147435897435</v>
      </c>
      <c r="L12" s="12">
        <f>VLOOKUP(A12,'Données projet'!$A$35:$I$55,9,0)</f>
        <v>10.084038461538455</v>
      </c>
      <c r="M12" s="12">
        <f t="array" ref="M12">INDEX(L:L,MIN(IF(ISNUMBER(L12:L208),ROW(L12:L208),"")))</f>
        <v>10.084038461538455</v>
      </c>
      <c r="N12" s="13">
        <f>IF('Données projet'!$A$36&gt;35,N11+M12-V11,IF(A12&lt;'Données projet'!$A$36,$K$205^A12,IF(A12='Données projet'!$A$36,'Données projet'!$B$36,N11+M12-V11)))</f>
        <v>40.46147435897435</v>
      </c>
      <c r="O12" s="13">
        <f>N12*VLOOKUP('Données projet'!$B$9,Paramètres!$A$1:$I$89,3,0)*VLOOKUP('Données projet'!$B$9,Paramètres!$A$1:$I$89,5,0)</f>
        <v>20.577087399999996</v>
      </c>
      <c r="P12" s="13">
        <f t="shared" si="33"/>
        <v>6.668959513498276</v>
      </c>
      <c r="Q12" s="20">
        <f t="shared" si="2"/>
        <v>47.453531707676156</v>
      </c>
      <c r="R12" s="59">
        <f t="shared" si="0"/>
        <v>315.12019837434286</v>
      </c>
      <c r="S12" s="59">
        <f ca="1">AVERAGE(OFFSET($R$3,0,0,'Données projet'!$E$9+1,1))-AVERAGE(OFFSET($H$3,0,0,'Données projet'!$E$9+1,1))</f>
        <v>80.239844009379794</v>
      </c>
      <c r="T12" s="59">
        <f t="shared" si="34"/>
        <v>226.38486687660168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4.9400000000000004</v>
      </c>
      <c r="D13" s="11">
        <f t="shared" si="32"/>
        <v>1.8902933083766646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52.725071152381275</v>
      </c>
      <c r="H13" s="67">
        <f t="shared" si="1"/>
        <v>268.5627608454227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51.630000000000017</v>
      </c>
      <c r="L13" s="12">
        <f>VLOOKUP(A13,'Données projet'!$A$35:$I$55,9,0)</f>
        <v>11.168525641025667</v>
      </c>
      <c r="M13" s="12">
        <f t="array" ref="M13">INDEX(L:L,MIN(IF(ISNUMBER(L13:L209),ROW(L13:L209),"")))</f>
        <v>11.168525641025667</v>
      </c>
      <c r="N13" s="13">
        <f>IF('Données projet'!$A$36&gt;35,N12+M13-V12,IF(A13&lt;'Données projet'!$A$36,$K$205^A13,IF(A13='Données projet'!$A$36,'Données projet'!$B$36,N12+M13-V12)))</f>
        <v>51.630000000000017</v>
      </c>
      <c r="O13" s="13">
        <f>N13*VLOOKUP('Données projet'!$B$9,Paramètres!$A$1:$I$89,3,0)*VLOOKUP('Données projet'!$B$9,Paramètres!$A$1:$I$89,5,0)</f>
        <v>26.256952800000011</v>
      </c>
      <c r="P13" s="13">
        <f t="shared" si="33"/>
        <v>8.2717299817437926</v>
      </c>
      <c r="Q13" s="20">
        <f t="shared" si="2"/>
        <v>60.137455844870459</v>
      </c>
      <c r="R13" s="59">
        <f t="shared" si="0"/>
        <v>329.02634473375929</v>
      </c>
      <c r="S13" s="59">
        <f ca="1">AVERAGE(OFFSET($R$3,0,0,'Données projet'!$E$9+1,1))-AVERAGE(OFFSET($H$3,0,0,'Données projet'!$E$9+1,1))</f>
        <v>80.239844009379794</v>
      </c>
      <c r="T13" s="59">
        <f t="shared" si="34"/>
        <v>226.38486687660168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5.4340000000000002</v>
      </c>
      <c r="D14" s="11">
        <f t="shared" si="32"/>
        <v>2.0563819044260145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57.820491893814847</v>
      </c>
      <c r="H14" s="67">
        <f t="shared" si="1"/>
        <v>269.71241515020864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>
        <f>VLOOKUP(A14,'Données projet'!$A$35:$I$55,2,0)</f>
        <v>63.780320512820509</v>
      </c>
      <c r="L14" s="12">
        <f>VLOOKUP(A14,'Données projet'!$A$35:$I$55,9,0)</f>
        <v>12.150320512820493</v>
      </c>
      <c r="M14" s="12">
        <f t="array" ref="M14">INDEX(L:L,MIN(IF(ISNUMBER(L14:L210),ROW(L14:L210),"")))</f>
        <v>12.150320512820493</v>
      </c>
      <c r="N14" s="13">
        <f>IF('Données projet'!$A$36&gt;35,N13+M14-V13,IF(A14&lt;'Données projet'!$A$36,$K$205^A14,IF(A14='Données projet'!$A$36,'Données projet'!$B$36,N13+M14-V13)))</f>
        <v>63.780320512820509</v>
      </c>
      <c r="O14" s="13">
        <f>N14*VLOOKUP('Données projet'!$B$9,Paramètres!$A$1:$I$89,3,0)*VLOOKUP('Données projet'!$B$9,Paramètres!$A$1:$I$89,5,0)</f>
        <v>32.4361198</v>
      </c>
      <c r="P14" s="13">
        <f t="shared" si="33"/>
        <v>9.9700468059329115</v>
      </c>
      <c r="Q14" s="20">
        <f t="shared" si="2"/>
        <v>73.857406838666478</v>
      </c>
      <c r="R14" s="59">
        <f t="shared" si="0"/>
        <v>343.96851794977761</v>
      </c>
      <c r="S14" s="59">
        <f ca="1">AVERAGE(OFFSET($R$3,0,0,'Données projet'!$E$9+1,1))-AVERAGE(OFFSET($H$3,0,0,'Données projet'!$E$9+1,1))</f>
        <v>80.239844009379794</v>
      </c>
      <c r="T14" s="59">
        <f t="shared" si="34"/>
        <v>226.38486687660168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5.9279999999999999</v>
      </c>
      <c r="D15" s="11">
        <f t="shared" si="32"/>
        <v>2.2207197037661022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62.902397713282191</v>
      </c>
      <c r="H15" s="67">
        <f t="shared" si="1"/>
        <v>270.859020150726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>
        <f>VLOOKUP(A15,'Données projet'!$A$35:$I$55,2,0)</f>
        <v>76.80974358974359</v>
      </c>
      <c r="L15" s="12">
        <f>VLOOKUP(A15,'Données projet'!$A$35:$I$55,9,0)</f>
        <v>13.029423076923081</v>
      </c>
      <c r="M15" s="12">
        <f t="array" ref="M15">INDEX(L:L,MIN(IF(ISNUMBER(L15:L211),ROW(L15:L211),"")))</f>
        <v>13.029423076923081</v>
      </c>
      <c r="N15" s="13">
        <f>IF('Données projet'!$A$36&gt;35,N14+M15-V14,IF(A15&lt;'Données projet'!$A$36,$K$205^A15,IF(A15='Données projet'!$A$36,'Données projet'!$B$36,N14+M15-V14)))</f>
        <v>76.80974358974359</v>
      </c>
      <c r="O15" s="13">
        <f>N15*VLOOKUP('Données projet'!$B$9,Paramètres!$A$1:$I$89,3,0)*VLOOKUP('Données projet'!$B$9,Paramètres!$A$1:$I$89,5,0)</f>
        <v>39.0623632</v>
      </c>
      <c r="P15" s="13">
        <f t="shared" si="33"/>
        <v>11.749784127487876</v>
      </c>
      <c r="Q15" s="20">
        <f t="shared" si="2"/>
        <v>88.497823262041379</v>
      </c>
      <c r="R15" s="59">
        <f t="shared" si="0"/>
        <v>359.83115659537469</v>
      </c>
      <c r="S15" s="59">
        <f ca="1">AVERAGE(OFFSET($R$3,0,0,'Données projet'!$E$9+1,1))-AVERAGE(OFFSET($H$3,0,0,'Données projet'!$E$9+1,1))</f>
        <v>80.239844009379794</v>
      </c>
      <c r="T15" s="59">
        <f t="shared" si="34"/>
        <v>226.38486687660168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6.4219999999999997</v>
      </c>
      <c r="D16" s="11">
        <f t="shared" si="32"/>
        <v>2.3834691936258148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67.97204289816419</v>
      </c>
      <c r="H16" s="67">
        <f t="shared" si="1"/>
        <v>272.00285884556496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>
        <f>VLOOKUP(A16,'Données projet'!$A$35:$I$55,2,0)</f>
        <v>90.615576923076929</v>
      </c>
      <c r="L16" s="12">
        <f>VLOOKUP(A16,'Données projet'!$A$35:$I$55,9,0)</f>
        <v>13.805833333333339</v>
      </c>
      <c r="M16" s="12">
        <f t="array" ref="M16">INDEX(L:L,MIN(IF(ISNUMBER(L16:L212),ROW(L16:L212),"")))</f>
        <v>13.805833333333339</v>
      </c>
      <c r="N16" s="13">
        <f>IF('Données projet'!$A$36&gt;35,N15+M16-V15,IF(A16&lt;'Données projet'!$A$36,$K$205^A16,IF(A16='Données projet'!$A$36,'Données projet'!$B$36,N15+M16-V15)))</f>
        <v>90.615576923076929</v>
      </c>
      <c r="O16" s="13">
        <f>N16*VLOOKUP('Données projet'!$B$9,Paramètres!$A$1:$I$89,3,0)*VLOOKUP('Données projet'!$B$9,Paramètres!$A$1:$I$89,5,0)</f>
        <v>46.083457800000005</v>
      </c>
      <c r="P16" s="13">
        <f t="shared" si="33"/>
        <v>13.597544172817395</v>
      </c>
      <c r="Q16" s="20">
        <f t="shared" si="2"/>
        <v>103.94441176932362</v>
      </c>
      <c r="R16" s="59">
        <f t="shared" si="0"/>
        <v>376.49996732487915</v>
      </c>
      <c r="S16" s="59">
        <f ca="1">AVERAGE(OFFSET($R$3,0,0,'Données projet'!$E$9+1,1))-AVERAGE(OFFSET($H$3,0,0,'Données projet'!$E$9+1,1))</f>
        <v>80.239844009379794</v>
      </c>
      <c r="T16" s="59">
        <f t="shared" si="34"/>
        <v>226.38486687660168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6.9159999999999995</v>
      </c>
      <c r="D17" s="11">
        <f t="shared" si="32"/>
        <v>2.5447664431495727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73.030477806768616</v>
      </c>
      <c r="H17" s="67">
        <f t="shared" si="1"/>
        <v>273.14416822181886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105.09512820512822</v>
      </c>
      <c r="L17" s="12">
        <f>VLOOKUP(A17,'Données projet'!$A$35:$I$55,9,0)</f>
        <v>14.47955128205129</v>
      </c>
      <c r="M17" s="12">
        <f t="array" ref="M17">INDEX(L:L,MIN(IF(ISNUMBER(L17:L213),ROW(L17:L213),"")))</f>
        <v>14.47955128205129</v>
      </c>
      <c r="N17" s="13">
        <f>IF('Données projet'!$A$36&gt;35,N16+M17-V16,IF(A17&lt;'Données projet'!$A$36,$K$205^A17,IF(A17='Données projet'!$A$36,'Données projet'!$B$36,N16+M17-V16)))</f>
        <v>105.09512820512822</v>
      </c>
      <c r="O17" s="13">
        <f>N17*VLOOKUP('Données projet'!$B$9,Paramètres!$A$1:$I$89,3,0)*VLOOKUP('Données projet'!$B$9,Paramètres!$A$1:$I$89,5,0)</f>
        <v>53.447178400000006</v>
      </c>
      <c r="P17" s="13">
        <f t="shared" si="33"/>
        <v>15.500524821688407</v>
      </c>
      <c r="Q17" s="20">
        <f t="shared" si="2"/>
        <v>120.08391644444065</v>
      </c>
      <c r="R17" s="59">
        <f t="shared" si="0"/>
        <v>393.86169422221843</v>
      </c>
      <c r="S17" s="59">
        <f ca="1">AVERAGE(OFFSET($R$3,0,0,'Données projet'!$E$9+1,1))-AVERAGE(OFFSET($H$3,0,0,'Données projet'!$E$9+1,1))</f>
        <v>80.239844009379794</v>
      </c>
      <c r="T17" s="59">
        <f t="shared" si="34"/>
        <v>226.38486687660168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7.4099999999999993</v>
      </c>
      <c r="D18" s="11">
        <f t="shared" si="32"/>
        <v>2.7047269815583839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78.078594243608578</v>
      </c>
      <c r="H18" s="67">
        <f t="shared" si="1"/>
        <v>274.28314949288085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120.14570512820511</v>
      </c>
      <c r="L18" s="12">
        <f>VLOOKUP(A18,'Données projet'!$A$35:$I$55,9,0)</f>
        <v>15.050576923076889</v>
      </c>
      <c r="M18" s="12">
        <f t="array" ref="M18">INDEX(L:L,MIN(IF(ISNUMBER(L18:L214),ROW(L18:L214),"")))</f>
        <v>15.050576923076889</v>
      </c>
      <c r="N18" s="13">
        <f>IF('Données projet'!$A$36&gt;35,N17+M18-V17,IF(A18&lt;'Données projet'!$A$36,$K$205^A18,IF(A18='Données projet'!$A$36,'Données projet'!$B$36,N17+M18-V17)))</f>
        <v>120.14570512820511</v>
      </c>
      <c r="O18" s="13">
        <f>N18*VLOOKUP('Données projet'!$B$9,Paramètres!$A$1:$I$89,3,0)*VLOOKUP('Données projet'!$B$9,Paramètres!$A$1:$I$89,5,0)</f>
        <v>61.101299799999993</v>
      </c>
      <c r="P18" s="13">
        <f t="shared" si="33"/>
        <v>17.446416717537055</v>
      </c>
      <c r="Q18" s="20">
        <f t="shared" si="2"/>
        <v>136.80393960137704</v>
      </c>
      <c r="R18" s="59">
        <f t="shared" si="0"/>
        <v>411.80393960137701</v>
      </c>
      <c r="S18" s="59">
        <f ca="1">AVERAGE(OFFSET($R$3,0,0,'Données projet'!$E$9+1,1))-AVERAGE(OFFSET($H$3,0,0,'Données projet'!$E$9+1,1))</f>
        <v>80.239844009379794</v>
      </c>
      <c r="T18" s="59">
        <f t="shared" si="34"/>
        <v>226.38486687660168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7.903999999999999</v>
      </c>
      <c r="D19" s="11">
        <f t="shared" si="32"/>
        <v>2.863450062707606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83.117158378795551</v>
      </c>
      <c r="H19" s="67">
        <f t="shared" si="1"/>
        <v>275.41997552588242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>
        <f>VLOOKUP(A19,'Données projet'!$A$35:$I$55,2,0)</f>
        <v>135.66461538461539</v>
      </c>
      <c r="L19" s="12">
        <f>VLOOKUP(A19,'Données projet'!$A$35:$I$55,9,0)</f>
        <v>15.51891025641028</v>
      </c>
      <c r="M19" s="12">
        <f t="array" ref="M19">INDEX(L:L,MIN(IF(ISNUMBER(L19:L215),ROW(L19:L215),"")))</f>
        <v>15.51891025641028</v>
      </c>
      <c r="N19" s="13">
        <f>IF('Données projet'!$A$36&gt;35,N18+M19-V18,IF(A19&lt;'Données projet'!$A$36,$K$205^A19,IF(A19='Données projet'!$A$36,'Données projet'!$B$36,N18+M19-V18)))</f>
        <v>135.66461538461539</v>
      </c>
      <c r="O19" s="13">
        <f>N19*VLOOKUP('Données projet'!$B$9,Paramètres!$A$1:$I$89,3,0)*VLOOKUP('Données projet'!$B$9,Paramètres!$A$1:$I$89,5,0)</f>
        <v>68.993596800000006</v>
      </c>
      <c r="P19" s="13">
        <f t="shared" si="33"/>
        <v>19.423321933594313</v>
      </c>
      <c r="Q19" s="20">
        <f t="shared" si="2"/>
        <v>153.99280012767676</v>
      </c>
      <c r="R19" s="59">
        <f t="shared" si="0"/>
        <v>430.21502234989896</v>
      </c>
      <c r="S19" s="59">
        <f ca="1">AVERAGE(OFFSET($R$3,0,0,'Données projet'!$E$9+1,1))-AVERAGE(OFFSET($H$3,0,0,'Données projet'!$E$9+1,1))</f>
        <v>80.239844009379794</v>
      </c>
      <c r="T19" s="59">
        <f t="shared" si="34"/>
        <v>226.38486687660168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8.3979999999999997</v>
      </c>
      <c r="D20" s="11">
        <f t="shared" si="32"/>
        <v>3.0210218324899247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88.146835198167835</v>
      </c>
      <c r="H20" s="67">
        <f t="shared" si="1"/>
        <v>276.55479635825333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>
        <f>VLOOKUP(A20,'Données projet'!$A$35:$I$55,2,0)</f>
        <v>151.54916666666668</v>
      </c>
      <c r="L20" s="12">
        <f>VLOOKUP(A20,'Données projet'!$A$35:$I$55,9,0)</f>
        <v>15.884551282051291</v>
      </c>
      <c r="M20" s="12">
        <f t="array" ref="M20">INDEX(L:L,MIN(IF(ISNUMBER(L20:L216),ROW(L20:L216),"")))</f>
        <v>15.884551282051291</v>
      </c>
      <c r="N20" s="13">
        <f>IF('Données projet'!$A$36&gt;35,N19+M20-V19,IF(A20&lt;'Données projet'!$A$36,$K$205^A20,IF(A20='Données projet'!$A$36,'Données projet'!$B$36,N19+M20-V19)))</f>
        <v>151.54916666666668</v>
      </c>
      <c r="O20" s="13">
        <f>N20*VLOOKUP('Données projet'!$B$9,Paramètres!$A$1:$I$89,3,0)*VLOOKUP('Données projet'!$B$9,Paramètres!$A$1:$I$89,5,0)</f>
        <v>77.071844200000015</v>
      </c>
      <c r="P20" s="13">
        <f t="shared" si="33"/>
        <v>21.419688488508918</v>
      </c>
      <c r="Q20" s="20">
        <f t="shared" si="2"/>
        <v>171.53941943248637</v>
      </c>
      <c r="R20" s="59">
        <f t="shared" si="0"/>
        <v>448.98386387693085</v>
      </c>
      <c r="S20" s="59">
        <f ca="1">AVERAGE(OFFSET($R$3,0,0,'Données projet'!$E$9+1,1))-AVERAGE(OFFSET($H$3,0,0,'Données projet'!$E$9+1,1))</f>
        <v>80.239844009379794</v>
      </c>
      <c r="T20" s="59">
        <f t="shared" si="34"/>
        <v>226.38486687660168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21" s="11">
        <f t="shared" si="32"/>
        <v>3.177517729464268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93.16820703446102</v>
      </c>
      <c r="H21" s="67">
        <f t="shared" si="1"/>
        <v>277.68774337881695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>
        <f>VLOOKUP(A21,'Données projet'!$A$35:$I$55,2,0)</f>
        <v>167.69666666666663</v>
      </c>
      <c r="L21" s="12">
        <f>VLOOKUP(A21,'Données projet'!$A$35:$I$55,9,0)</f>
        <v>16.147499999999951</v>
      </c>
      <c r="M21" s="12">
        <f t="array" ref="M21">INDEX(L:L,MIN(IF(ISNUMBER(L21:L217),ROW(L21:L217),"")))</f>
        <v>16.147499999999951</v>
      </c>
      <c r="N21" s="13">
        <f>IF('Données projet'!$A$36&gt;35,N20+M21-V20,IF(A21&lt;'Données projet'!$A$36,$K$205^A21,IF(A21='Données projet'!$A$36,'Données projet'!$B$36,N20+M21-V20)))</f>
        <v>167.69666666666663</v>
      </c>
      <c r="O21" s="13">
        <f>N21*VLOOKUP('Données projet'!$B$9,Paramètres!$A$1:$I$89,3,0)*VLOOKUP('Données projet'!$B$9,Paramètres!$A$1:$I$89,5,0)</f>
        <v>85.283816799999983</v>
      </c>
      <c r="P21" s="13">
        <f t="shared" si="33"/>
        <v>23.424256654634469</v>
      </c>
      <c r="Q21" s="20">
        <f t="shared" si="2"/>
        <v>189.3332279334883</v>
      </c>
      <c r="R21" s="59">
        <f t="shared" si="0"/>
        <v>467.99989460015502</v>
      </c>
      <c r="S21" s="59">
        <f ca="1">AVERAGE(OFFSET($R$3,0,0,'Données projet'!$E$9+1,1))-AVERAGE(OFFSET($H$3,0,0,'Données projet'!$E$9+1,1))</f>
        <v>80.239844009379794</v>
      </c>
      <c r="T21" s="59">
        <f t="shared" si="34"/>
        <v>226.38486687660168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9.3859999999999992</v>
      </c>
      <c r="D22" s="11">
        <f t="shared" si="32"/>
        <v>3.3330043367174276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98.181787862380133</v>
      </c>
      <c r="H22" s="67">
        <f t="shared" si="1"/>
        <v>278.81893255311621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184.00442307692299</v>
      </c>
      <c r="L22" s="12">
        <f>VLOOKUP(A22,'Données projet'!$A$35:$I$55,9,0)</f>
        <v>16.30775641025636</v>
      </c>
      <c r="M22" s="12">
        <f t="array" ref="M22">INDEX(L:L,MIN(IF(ISNUMBER(L22:L218),ROW(L22:L218),"")))</f>
        <v>16.30775641025636</v>
      </c>
      <c r="N22" s="13">
        <f>IF('Données projet'!$A$36&gt;35,N21+M22-V21,IF(A22&lt;'Données projet'!$A$36,$K$205^A22,IF(A22='Données projet'!$A$36,'Données projet'!$B$36,N21+M22-V21)))</f>
        <v>184.00442307692299</v>
      </c>
      <c r="O22" s="13">
        <f>N22*VLOOKUP('Données projet'!$B$9,Paramètres!$A$1:$I$89,3,0)*VLOOKUP('Données projet'!$B$9,Paramètres!$A$1:$I$89,5,0)</f>
        <v>93.57728939999997</v>
      </c>
      <c r="P22" s="13">
        <f t="shared" si="33"/>
        <v>25.426014145970452</v>
      </c>
      <c r="Q22" s="20">
        <f t="shared" si="2"/>
        <v>207.26408700923182</v>
      </c>
      <c r="R22" s="59">
        <f t="shared" si="0"/>
        <v>487.15297589812064</v>
      </c>
      <c r="S22" s="59">
        <f ca="1">AVERAGE(OFFSET($R$3,0,0,'Données projet'!$E$9+1,1))-AVERAGE(OFFSET($H$3,0,0,'Données projet'!$E$9+1,1))</f>
        <v>80.239844009379794</v>
      </c>
      <c r="T22" s="59">
        <f t="shared" si="34"/>
        <v>226.38486687660168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9.879999999999999</v>
      </c>
      <c r="D23" s="11">
        <f t="shared" si="32"/>
        <v>3.4875408327380875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103.1880344983291</v>
      </c>
      <c r="H23" s="67">
        <f t="shared" si="1"/>
        <v>279.94846695035221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200.36974358974356</v>
      </c>
      <c r="L23" s="12">
        <f>VLOOKUP(A23,'Données projet'!$A$35:$I$55,9,0)</f>
        <v>16.365320512820574</v>
      </c>
      <c r="M23" s="12">
        <f t="array" ref="M23">INDEX(L:L,MIN(IF(ISNUMBER(L23:L219),ROW(L23:L219),"")))</f>
        <v>16.365320512820574</v>
      </c>
      <c r="N23" s="13">
        <f>IF('Données projet'!$A$36&gt;35,N22+M23-V22,IF(A23&lt;'Données projet'!$A$36,$K$205^A23,IF(A23='Données projet'!$A$36,'Données projet'!$B$36,N22+M23-V22)))</f>
        <v>200.36974358974356</v>
      </c>
      <c r="O23" s="13">
        <f>N23*VLOOKUP('Données projet'!$B$9,Paramètres!$A$1:$I$89,3,0)*VLOOKUP('Données projet'!$B$9,Paramètres!$A$1:$I$89,5,0)</f>
        <v>101.9000368</v>
      </c>
      <c r="P23" s="13">
        <f t="shared" si="33"/>
        <v>27.414158060770966</v>
      </c>
      <c r="Q23" s="20">
        <f t="shared" si="2"/>
        <v>225.22222271584272</v>
      </c>
      <c r="R23" s="59">
        <f t="shared" si="0"/>
        <v>506.33333382695389</v>
      </c>
      <c r="S23" s="59">
        <f ca="1">AVERAGE(OFFSET($R$3,0,0,'Données projet'!$E$9+1,1))-AVERAGE(OFFSET($H$3,0,0,'Données projet'!$E$9+1,1))</f>
        <v>80.239844009379794</v>
      </c>
      <c r="T23" s="59">
        <f t="shared" si="34"/>
        <v>226.38486687660168</v>
      </c>
      <c r="U23" s="15" t="str">
        <f>IF(ISNA(VLOOKUP(A23,'Données projet'!$A$35:$I$55,3,0)),0,VLOOKUP(A23,'Données projet'!$A$35:$I$55,3,0))</f>
        <v>CR</v>
      </c>
      <c r="V23" s="15">
        <f>IF(ISNA(VLOOKUP(A23,'Données projet'!$A$35:$I$55,4,0)),0,VLOOKUP(A23,'Données projet'!$A$35:$I$55,4,0))</f>
        <v>200.36974358974356</v>
      </c>
      <c r="W23" s="16">
        <f>IF(ISNA(VLOOKUP(A23,'Données projet'!$A$35:$I$55,5,0)),0%,VLOOKUP(A23,'Données projet'!$A$35:$I$55,5,0)*VLOOKUP('Données projet'!$B$9,Paramètres!$A$1:$I$89,7,0))</f>
        <v>0.42</v>
      </c>
      <c r="X23" s="16">
        <f>IF(ISNA(VLOOKUP(A23,'Données projet'!$A$35:$I$55,6,0)),0%,VLOOKUP(A23,'Données projet'!$A$35:$I$55,6,0)*VLOOKUP('Données projet'!$B$9,Paramètres!$A$1:$I$89,7,0))</f>
        <v>0.09</v>
      </c>
      <c r="Y23" s="16">
        <f>IF(ISNA(VLOOKUP(A23,'Données projet'!$A$35:$I$55,7,0)),0%,VLOOKUP(A23,'Données projet'!$A$35:$I$55,7,0))</f>
        <v>0.15</v>
      </c>
      <c r="Z23" s="21">
        <f>EXP(-LN(2)/35)*Z22+(1-EXP(-LN(2)/35))/(LN(2)/35)*V23*W23*VLOOKUP('Données projet'!$B$9,Paramètres!$A$1:$I$89,3,0)*0.475*44/12</f>
        <v>47.311938389401384</v>
      </c>
      <c r="AA23" s="21">
        <f>EXP(-LN(2)/25)*AA22+(1-EXP(-LN(2)/25))/(LN(2)/25)*Calculateur!V23*Calculateur!X23*VLOOKUP('Données projet'!$B$9,Paramètres!$A$1:$I$89,3,0)*0.475*44/12</f>
        <v>10.0983542701501</v>
      </c>
      <c r="AB23" s="21">
        <f>EXP(-LN(2)/2)*AB22+(1-EXP(-LN(2)/2))/(LN(2)/2)*V23*Y23*VLOOKUP('Données projet'!$B$9,Paramètres!$A$1:$I$89,3,0)*0.475*44/12</f>
        <v>14.421814098011927</v>
      </c>
      <c r="AC23" s="22">
        <f t="shared" si="3"/>
        <v>71.832106757563409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10.373999999999999</v>
      </c>
      <c r="D24" s="11">
        <f t="shared" si="32"/>
        <v>3.6411801438697711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108.18735549653859</v>
      </c>
      <c r="H24" s="67">
        <f t="shared" si="1"/>
        <v>281.07643875057317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0</v>
      </c>
      <c r="N24" s="13">
        <f>IF('Données projet'!$A$36&gt;35,N23+M24-V23,IF(A24&lt;'Données projet'!$A$36,$K$205^A24,IF(A24='Données projet'!$A$36,'Données projet'!$B$36,N23+M24-V23)))</f>
        <v>0</v>
      </c>
      <c r="O24" s="13">
        <f>N24*VLOOKUP('Données projet'!$B$9,Paramètres!$A$1:$I$89,3,0)*VLOOKUP('Données projet'!$B$9,Paramètres!$A$1:$I$89,5,0)</f>
        <v>0</v>
      </c>
      <c r="P24" s="13" t="e">
        <f t="shared" si="3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80.239844009379794</v>
      </c>
      <c r="T24" s="59">
        <f t="shared" si="34"/>
        <v>226.38486687660168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46.384180135018205</v>
      </c>
      <c r="AA24" s="21">
        <f>EXP(-LN(2)/25)*AA23+(1-EXP(-LN(2)/25))/(LN(2)/25)*Calculateur!V24*Calculateur!X24*VLOOKUP('Données projet'!$B$9,Paramètres!$A$1:$I$89,3,0)*0.475*44/12</f>
        <v>9.8222142415834739</v>
      </c>
      <c r="AB24" s="21">
        <f>EXP(-LN(2)/2)*AB23+(1-EXP(-LN(2)/2))/(LN(2)/2)*V24*Y24*VLOOKUP('Données projet'!$B$9,Paramètres!$A$1:$I$89,3,0)*0.475*44/12</f>
        <v>10.197762545715987</v>
      </c>
      <c r="AC24" s="22">
        <f t="shared" si="3"/>
        <v>66.404156922317668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10.867999999999999</v>
      </c>
      <c r="D25" s="11">
        <f t="shared" si="32"/>
        <v>3.7939698710293386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113.18011830268262</v>
      </c>
      <c r="H25" s="67">
        <f t="shared" si="1"/>
        <v>282.20293085870946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0</v>
      </c>
      <c r="N25" s="13">
        <f>IF('Données projet'!$A$36&gt;35,N24+M25-V24,IF(A25&lt;'Données projet'!$A$36,$K$205^A25,IF(A25='Données projet'!$A$36,'Données projet'!$B$36,N24+M25-V24)))</f>
        <v>0</v>
      </c>
      <c r="O25" s="13">
        <f>N25*VLOOKUP('Données projet'!$B$9,Paramètres!$A$1:$I$89,3,0)*VLOOKUP('Données projet'!$B$9,Paramètres!$A$1:$I$89,5,0)</f>
        <v>0</v>
      </c>
      <c r="P25" s="13" t="e">
        <f t="shared" si="3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80.239844009379794</v>
      </c>
      <c r="T25" s="59">
        <f t="shared" si="34"/>
        <v>226.38486687660168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45.474614654126825</v>
      </c>
      <c r="AA25" s="21">
        <f>EXP(-LN(2)/25)*AA24+(1-EXP(-LN(2)/25))/(LN(2)/25)*Calculateur!V25*Calculateur!X25*VLOOKUP('Données projet'!$B$9,Paramètres!$A$1:$I$89,3,0)*0.475*44/12</f>
        <v>9.5536252766195755</v>
      </c>
      <c r="AB25" s="21">
        <f>EXP(-LN(2)/2)*AB24+(1-EXP(-LN(2)/2))/(LN(2)/2)*V25*Y25*VLOOKUP('Données projet'!$B$9,Paramètres!$A$1:$I$89,3,0)*0.475*44/12</f>
        <v>7.2109070490059652</v>
      </c>
      <c r="AC25" s="22">
        <f t="shared" si="3"/>
        <v>62.23914697975237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11.361999999999998</v>
      </c>
      <c r="D26" s="11">
        <f t="shared" si="32"/>
        <v>3.945953043168259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118.16665507007077</v>
      </c>
      <c r="H26" s="67">
        <f t="shared" si="1"/>
        <v>283.32801821685138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0</v>
      </c>
      <c r="N26" s="13">
        <f>IF('Données projet'!$A$36&gt;35,N25+M26-V25,IF(A26&lt;'Données projet'!$A$36,$K$205^A26,IF(A26='Données projet'!$A$36,'Données projet'!$B$36,N25+M26-V25)))</f>
        <v>0</v>
      </c>
      <c r="O26" s="13">
        <f>N26*VLOOKUP('Données projet'!$B$9,Paramètres!$A$1:$I$89,3,0)*VLOOKUP('Données projet'!$B$9,Paramètres!$A$1:$I$89,5,0)</f>
        <v>0</v>
      </c>
      <c r="P26" s="13" t="e">
        <f t="shared" si="3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80.239844009379794</v>
      </c>
      <c r="T26" s="59">
        <f t="shared" si="34"/>
        <v>226.38486687660168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44.58288519753556</v>
      </c>
      <c r="AA26" s="21">
        <f>EXP(-LN(2)/25)*AA25+(1-EXP(-LN(2)/25))/(LN(2)/25)*Calculateur!V26*Calculateur!X26*VLOOKUP('Données projet'!$B$9,Paramètres!$A$1:$I$89,3,0)*0.475*44/12</f>
        <v>9.2923808910270953</v>
      </c>
      <c r="AB26" s="21">
        <f>EXP(-LN(2)/2)*AB25+(1-EXP(-LN(2)/2))/(LN(2)/2)*V26*Y26*VLOOKUP('Données projet'!$B$9,Paramètres!$A$1:$I$89,3,0)*0.475*44/12</f>
        <v>5.0988812728579944</v>
      </c>
      <c r="AC26" s="22">
        <f t="shared" si="3"/>
        <v>58.974147361420648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11.855999999999998</v>
      </c>
      <c r="D27" s="11">
        <f t="shared" si="32"/>
        <v>4.0971687359996993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123.14726743578713</v>
      </c>
      <c r="H27" s="67">
        <f t="shared" si="1"/>
        <v>284.45176888186614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0</v>
      </c>
      <c r="N27" s="13">
        <f>IF('Données projet'!$A$36&gt;35,N26+M27-V26,IF(A27&lt;'Données projet'!$A$36,$K$205^A27,IF(A27='Données projet'!$A$36,'Données projet'!$B$36,N26+M27-V26)))</f>
        <v>0</v>
      </c>
      <c r="O27" s="13">
        <f>N27*VLOOKUP('Données projet'!$B$9,Paramètres!$A$1:$I$89,3,0)*VLOOKUP('Données projet'!$B$9,Paramètres!$A$1:$I$89,5,0)</f>
        <v>0</v>
      </c>
      <c r="P27" s="13" t="e">
        <f t="shared" si="3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80.239844009379794</v>
      </c>
      <c r="T27" s="59">
        <f t="shared" si="34"/>
        <v>226.38486687660168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43.708642011686784</v>
      </c>
      <c r="AA27" s="21">
        <f>EXP(-LN(2)/25)*AA26+(1-EXP(-LN(2)/25))/(LN(2)/25)*Calculateur!V27*Calculateur!X27*VLOOKUP('Données projet'!$B$9,Paramètres!$A$1:$I$89,3,0)*0.475*44/12</f>
        <v>9.0382802468968855</v>
      </c>
      <c r="AB27" s="21">
        <f>EXP(-LN(2)/2)*AB26+(1-EXP(-LN(2)/2))/(LN(2)/2)*V27*Y27*VLOOKUP('Données projet'!$B$9,Paramètres!$A$1:$I$89,3,0)*0.475*44/12</f>
        <v>3.6054535245029831</v>
      </c>
      <c r="AC27" s="22">
        <f t="shared" si="3"/>
        <v>56.35237578308665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12.349999999999998</v>
      </c>
      <c r="D28" s="11">
        <f t="shared" si="32"/>
        <v>4.2476525846986481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128.12223047837551</v>
      </c>
      <c r="H28" s="67">
        <f t="shared" si="1"/>
        <v>285.57424491835013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0</v>
      </c>
      <c r="N28" s="13">
        <f>IF('Données projet'!$A$36&gt;35,N27+M28-V27,IF(A28&lt;'Données projet'!$A$36,$K$205^A28,IF(A28='Données projet'!$A$36,'Données projet'!$B$36,N27+M28-V27)))</f>
        <v>0</v>
      </c>
      <c r="O28" s="13">
        <f>N28*VLOOKUP('Données projet'!$B$9,Paramètres!$A$1:$I$89,3,0)*VLOOKUP('Données projet'!$B$9,Paramètres!$A$1:$I$89,5,0)</f>
        <v>0</v>
      </c>
      <c r="P28" s="13" t="e">
        <f t="shared" si="3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80.239844009379794</v>
      </c>
      <c r="T28" s="59">
        <f t="shared" si="34"/>
        <v>226.38486687660168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42.851542201476811</v>
      </c>
      <c r="AA28" s="21">
        <f>EXP(-LN(2)/25)*AA27+(1-EXP(-LN(2)/25))/(LN(2)/25)*Calculateur!V28*Calculateur!X28*VLOOKUP('Données projet'!$B$9,Paramètres!$A$1:$I$89,3,0)*0.475*44/12</f>
        <v>8.79112799824299</v>
      </c>
      <c r="AB28" s="21">
        <f>EXP(-LN(2)/2)*AB27+(1-EXP(-LN(2)/2))/(LN(2)/2)*V28*Y28*VLOOKUP('Données projet'!$B$9,Paramètres!$A$1:$I$89,3,0)*0.475*44/12</f>
        <v>2.5494406364289977</v>
      </c>
      <c r="AC28" s="22">
        <f t="shared" si="3"/>
        <v>54.1921108361488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12.843999999999998</v>
      </c>
      <c r="D29" s="11">
        <f t="shared" si="32"/>
        <v>4.3974372122609191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133.09179602447026</v>
      </c>
      <c r="H29" s="67">
        <f t="shared" si="1"/>
        <v>286.69550314468779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0</v>
      </c>
      <c r="N29" s="13">
        <f>IF('Données projet'!$A$36&gt;35,N28+M29-V28,IF(A29&lt;'Données projet'!$A$36,$K$205^A29,IF(A29='Données projet'!$A$36,'Données projet'!$B$36,N28+M29-V28)))</f>
        <v>0</v>
      </c>
      <c r="O29" s="13">
        <f>N29*VLOOKUP('Données projet'!$B$9,Paramètres!$A$1:$I$89,3,0)*VLOOKUP('Données projet'!$B$9,Paramètres!$A$1:$I$89,5,0)</f>
        <v>0</v>
      </c>
      <c r="P29" s="13" t="e">
        <f t="shared" si="3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80.239844009379794</v>
      </c>
      <c r="T29" s="59">
        <f t="shared" si="34"/>
        <v>226.38486687660168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42.01124959576579</v>
      </c>
      <c r="AA29" s="21">
        <f>EXP(-LN(2)/25)*AA28+(1-EXP(-LN(2)/25))/(LN(2)/25)*Calculateur!V29*Calculateur!X29*VLOOKUP('Données projet'!$B$9,Paramètres!$A$1:$I$89,3,0)*0.475*44/12</f>
        <v>8.5507341408257069</v>
      </c>
      <c r="AB29" s="21">
        <f>EXP(-LN(2)/2)*AB28+(1-EXP(-LN(2)/2))/(LN(2)/2)*V29*Y29*VLOOKUP('Données projet'!$B$9,Paramètres!$A$1:$I$89,3,0)*0.475*44/12</f>
        <v>1.8027267622514918</v>
      </c>
      <c r="AC29" s="22">
        <f t="shared" si="3"/>
        <v>52.364710498842989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13.337999999999997</v>
      </c>
      <c r="D30" s="11">
        <f t="shared" si="32"/>
        <v>4.5465525901071517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138.05619543240607</v>
      </c>
      <c r="H30" s="67">
        <f t="shared" si="1"/>
        <v>287.81559576110328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0</v>
      </c>
      <c r="N30" s="13">
        <f>IF('Données projet'!$A$36&gt;35,N29+M30-V29,IF(A30&lt;'Données projet'!$A$36,$K$205^A30,IF(A30='Données projet'!$A$36,'Données projet'!$B$36,N29+M30-V29)))</f>
        <v>0</v>
      </c>
      <c r="O30" s="13">
        <f>N30*VLOOKUP('Données projet'!$B$9,Paramètres!$A$1:$I$89,3,0)*VLOOKUP('Données projet'!$B$9,Paramètres!$A$1:$I$89,5,0)</f>
        <v>0</v>
      </c>
      <c r="P30" s="13" t="e">
        <f t="shared" si="3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80.239844009379794</v>
      </c>
      <c r="T30" s="59">
        <f t="shared" si="34"/>
        <v>226.38486687660168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41.187434615524886</v>
      </c>
      <c r="AA30" s="21">
        <f>EXP(-LN(2)/25)*AA29+(1-EXP(-LN(2)/25))/(LN(2)/25)*Calculateur!V30*Calculateur!X30*VLOOKUP('Données projet'!$B$9,Paramètres!$A$1:$I$89,3,0)*0.475*44/12</f>
        <v>8.3169138660812632</v>
      </c>
      <c r="AB30" s="21">
        <f>EXP(-LN(2)/2)*AB29+(1-EXP(-LN(2)/2))/(LN(2)/2)*V30*Y30*VLOOKUP('Données projet'!$B$9,Paramètres!$A$1:$I$89,3,0)*0.475*44/12</f>
        <v>1.274720318214499</v>
      </c>
      <c r="AC30" s="22">
        <f t="shared" si="3"/>
        <v>50.779068799820649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13.831999999999997</v>
      </c>
      <c r="D31" s="11">
        <f t="shared" si="32"/>
        <v>4.6950263437621773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143.01564195184838</v>
      </c>
      <c r="H31" s="67">
        <f t="shared" si="1"/>
        <v>288.93457088205247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0</v>
      </c>
      <c r="N31" s="13">
        <f>IF('Données projet'!$A$36&gt;35,N30+M31-V30,IF(A31&lt;'Données projet'!$A$36,$K$205^A31,IF(A31='Données projet'!$A$36,'Données projet'!$B$36,N30+M31-V30)))</f>
        <v>0</v>
      </c>
      <c r="O31" s="13">
        <f>N31*VLOOKUP('Données projet'!$B$9,Paramètres!$A$1:$I$89,3,0)*VLOOKUP('Données projet'!$B$9,Paramètres!$A$1:$I$89,5,0)</f>
        <v>0</v>
      </c>
      <c r="P31" s="13" t="e">
        <f t="shared" si="3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80.239844009379794</v>
      </c>
      <c r="T31" s="59">
        <f t="shared" si="34"/>
        <v>226.38486687660168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40.379774144568984</v>
      </c>
      <c r="AA31" s="21">
        <f>EXP(-LN(2)/25)*AA30+(1-EXP(-LN(2)/25))/(LN(2)/25)*Calculateur!V31*Calculateur!X31*VLOOKUP('Données projet'!$B$9,Paramètres!$A$1:$I$89,3,0)*0.475*44/12</f>
        <v>8.0894874190457795</v>
      </c>
      <c r="AB31" s="21">
        <f>EXP(-LN(2)/2)*AB30+(1-EXP(-LN(2)/2))/(LN(2)/2)*V31*Y31*VLOOKUP('Données projet'!$B$9,Paramètres!$A$1:$I$89,3,0)*0.475*44/12</f>
        <v>0.9013633811257461</v>
      </c>
      <c r="AC31" s="22">
        <f t="shared" si="3"/>
        <v>49.370624944740513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14.325999999999997</v>
      </c>
      <c r="D32" s="11">
        <f t="shared" si="32"/>
        <v>4.8428840136387867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147.9703327368608</v>
      </c>
      <c r="H32" s="67">
        <f t="shared" si="1"/>
        <v>290.05247299042088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0</v>
      </c>
      <c r="N32" s="13">
        <f>IF('Données projet'!$A$36&gt;35,N31+M32-V31,IF(A32&lt;'Données projet'!$A$36,$K$205^A32,IF(A32='Données projet'!$A$36,'Données projet'!$B$36,N31+M32-V31)))</f>
        <v>0</v>
      </c>
      <c r="O32" s="13">
        <f>N32*VLOOKUP('Données projet'!$B$9,Paramètres!$A$1:$I$89,3,0)*VLOOKUP('Données projet'!$B$9,Paramètres!$A$1:$I$89,5,0)</f>
        <v>0</v>
      </c>
      <c r="P32" s="13" t="e">
        <f t="shared" si="3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80.239844009379794</v>
      </c>
      <c r="T32" s="59">
        <f t="shared" si="34"/>
        <v>226.38486687660168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39.587951402824281</v>
      </c>
      <c r="AA32" s="21">
        <f>EXP(-LN(2)/25)*AA31+(1-EXP(-LN(2)/25))/(LN(2)/25)*Calculateur!V32*Calculateur!X32*VLOOKUP('Données projet'!$B$9,Paramètres!$A$1:$I$89,3,0)*0.475*44/12</f>
        <v>7.8682799601643181</v>
      </c>
      <c r="AB32" s="21">
        <f>EXP(-LN(2)/2)*AB31+(1-EXP(-LN(2)/2))/(LN(2)/2)*V32*Y32*VLOOKUP('Données projet'!$B$9,Paramètres!$A$1:$I$89,3,0)*0.475*44/12</f>
        <v>0.63736015910724964</v>
      </c>
      <c r="AC32" s="22">
        <f t="shared" si="3"/>
        <v>48.093591522095849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14.819999999999997</v>
      </c>
      <c r="D33" s="11">
        <f t="shared" si="32"/>
        <v>4.9901492788407467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152.92045057350751</v>
      </c>
      <c r="H33" s="67">
        <f t="shared" si="1"/>
        <v>291.16934332731432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0</v>
      </c>
      <c r="N33" s="13">
        <f>IF('Données projet'!$A$36&gt;35,N32+M33-V32,IF(A33&lt;'Données projet'!$A$36,$K$205^A33,IF(A33='Données projet'!$A$36,'Données projet'!$B$36,N32+M33-V32)))</f>
        <v>0</v>
      </c>
      <c r="O33" s="13">
        <f>N33*VLOOKUP('Données projet'!$B$9,Paramètres!$A$1:$I$89,3,0)*VLOOKUP('Données projet'!$B$9,Paramètres!$A$1:$I$89,5,0)</f>
        <v>0</v>
      </c>
      <c r="P33" s="13" t="e">
        <f t="shared" si="3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80.239844009379794</v>
      </c>
      <c r="T33" s="59">
        <f t="shared" si="34"/>
        <v>226.38486687660168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38.811655822081008</v>
      </c>
      <c r="AA33" s="21">
        <f>EXP(-LN(2)/25)*AA32+(1-EXP(-LN(2)/25))/(LN(2)/25)*Calculateur!V33*Calculateur!X33*VLOOKUP('Données projet'!$B$9,Paramètres!$A$1:$I$89,3,0)*0.475*44/12</f>
        <v>7.6531214308787652</v>
      </c>
      <c r="AB33" s="21">
        <f>EXP(-LN(2)/2)*AB32+(1-EXP(-LN(2)/2))/(LN(2)/2)*V33*Y33*VLOOKUP('Données projet'!$B$9,Paramètres!$A$1:$I$89,3,0)*0.475*44/12</f>
        <v>0.45068169056287311</v>
      </c>
      <c r="AC33" s="22">
        <f t="shared" si="3"/>
        <v>46.915458943522644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15.313999999999997</v>
      </c>
      <c r="D34" s="11">
        <f t="shared" si="32"/>
        <v>5.1368441502871578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157.86616537063767</v>
      </c>
      <c r="H34" s="67">
        <f t="shared" si="1"/>
        <v>292.28522022841679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80.239844009379794</v>
      </c>
      <c r="T34" s="59">
        <f t="shared" si="34"/>
        <v>226.38486687660168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38.050582924182557</v>
      </c>
      <c r="AA34" s="21">
        <f>EXP(-LN(2)/25)*AA33+(1-EXP(-LN(2)/25))/(LN(2)/25)*Calculateur!V34*Calculateur!X34*VLOOKUP('Données projet'!$B$9,Paramètres!$A$1:$I$89,3,0)*0.475*44/12</f>
        <v>7.4438464228912204</v>
      </c>
      <c r="AB34" s="21">
        <f>EXP(-LN(2)/2)*AB33+(1-EXP(-LN(2)/2))/(LN(2)/2)*V34*Y34*VLOOKUP('Données projet'!$B$9,Paramètres!$A$1:$I$89,3,0)*0.475*44/12</f>
        <v>0.31868007955362487</v>
      </c>
      <c r="AC34" s="22">
        <f t="shared" si="3"/>
        <v>45.813109426627399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15.807999999999996</v>
      </c>
      <c r="D35" s="11">
        <f t="shared" si="32"/>
        <v>5.2829891382175349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162.80763545290725</v>
      </c>
      <c r="H35" s="67">
        <f t="shared" si="1"/>
        <v>293.40013941572886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80.239844009379794</v>
      </c>
      <c r="T35" s="59">
        <f t="shared" si="34"/>
        <v>226.38486687660168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37.304434201603264</v>
      </c>
      <c r="AA35" s="21">
        <f>EXP(-LN(2)/25)*AA34+(1-EXP(-LN(2)/25))/(LN(2)/25)*Calculateur!V35*Calculateur!X35*VLOOKUP('Données projet'!$B$9,Paramètres!$A$1:$I$89,3,0)*0.475*44/12</f>
        <v>7.2402940510023894</v>
      </c>
      <c r="AB35" s="21">
        <f>EXP(-LN(2)/2)*AB34+(1-EXP(-LN(2)/2))/(LN(2)/2)*V35*Y35*VLOOKUP('Données projet'!$B$9,Paramètres!$A$1:$I$89,3,0)*0.475*44/12</f>
        <v>0.22534084528143661</v>
      </c>
      <c r="AC35" s="22">
        <f t="shared" si="3"/>
        <v>44.770069097887088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16.301999999999996</v>
      </c>
      <c r="D36" s="11">
        <f t="shared" si="32"/>
        <v>5.4286033981705613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167.74500868763238</v>
      </c>
      <c r="H36" s="67">
        <f t="shared" si="1"/>
        <v>294.51413425181374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80.239844009379794</v>
      </c>
      <c r="T36" s="59">
        <f t="shared" si="34"/>
        <v>226.38486687660168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36.572917000367973</v>
      </c>
      <c r="AA36" s="21">
        <f>EXP(-LN(2)/25)*AA35+(1-EXP(-LN(2)/25))/(LN(2)/25)*Calculateur!V36*Calculateur!X36*VLOOKUP('Données projet'!$B$9,Paramètres!$A$1:$I$89,3,0)*0.475*44/12</f>
        <v>7.0423078294272132</v>
      </c>
      <c r="AB36" s="21">
        <f>EXP(-LN(2)/2)*AB35+(1-EXP(-LN(2)/2))/(LN(2)/2)*V36*Y36*VLOOKUP('Données projet'!$B$9,Paramètres!$A$1:$I$89,3,0)*0.475*44/12</f>
        <v>0.15934003977681246</v>
      </c>
      <c r="AC36" s="22">
        <f t="shared" si="3"/>
        <v>43.774564869572004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16.795999999999996</v>
      </c>
      <c r="D37" s="11">
        <f t="shared" si="32"/>
        <v>5.5737048587712827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172.67842347121689</v>
      </c>
      <c r="H37" s="67">
        <f t="shared" si="1"/>
        <v>295.62723596235998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80.239844009379794</v>
      </c>
      <c r="T37" s="59">
        <f t="shared" si="34"/>
        <v>226.38486687660168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35.855744405267465</v>
      </c>
      <c r="AA37" s="21">
        <f>EXP(-LN(2)/25)*AA36+(1-EXP(-LN(2)/25))/(LN(2)/25)*Calculateur!V37*Calculateur!X37*VLOOKUP('Données projet'!$B$9,Paramètres!$A$1:$I$89,3,0)*0.475*44/12</f>
        <v>6.8497355514926523</v>
      </c>
      <c r="AB37" s="21">
        <f>EXP(-LN(2)/2)*AB36+(1-EXP(-LN(2)/2))/(LN(2)/2)*V37*Y37*VLOOKUP('Données projet'!$B$9,Paramètres!$A$1:$I$89,3,0)*0.475*44/12</f>
        <v>0.11267042264071832</v>
      </c>
      <c r="AC37" s="22">
        <f t="shared" si="3"/>
        <v>42.818150379400834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17.289999999999996</v>
      </c>
      <c r="D38" s="11">
        <f t="shared" si="32"/>
        <v>5.7183103340620756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177.60800959626863</v>
      </c>
      <c r="H38" s="67">
        <f t="shared" si="1"/>
        <v>296.7394738318248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80.239844009379794</v>
      </c>
      <c r="T38" s="59">
        <f t="shared" si="34"/>
        <v>226.38486687660168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35.152635127324793</v>
      </c>
      <c r="AA38" s="21">
        <f>EXP(-LN(2)/25)*AA37+(1-EXP(-LN(2)/25))/(LN(2)/25)*Calculateur!V38*Calculateur!X38*VLOOKUP('Données projet'!$B$9,Paramètres!$A$1:$I$89,3,0)*0.475*44/12</f>
        <v>6.6624291726251483</v>
      </c>
      <c r="AB38" s="21">
        <f>EXP(-LN(2)/2)*AB37+(1-EXP(-LN(2)/2))/(LN(2)/2)*V38*Y38*VLOOKUP('Données projet'!$B$9,Paramètres!$A$1:$I$89,3,0)*0.475*44/12</f>
        <v>7.9670019888406246E-2</v>
      </c>
      <c r="AC38" s="22">
        <f t="shared" si="3"/>
        <v>41.894734319838342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17.783999999999995</v>
      </c>
      <c r="D39" s="11">
        <f t="shared" si="32"/>
        <v>5.8624356226349592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182.53388901683124</v>
      </c>
      <c r="H39" s="67">
        <f t="shared" si="1"/>
        <v>297.85087537608922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80.239844009379794</v>
      </c>
      <c r="T39" s="59">
        <f t="shared" si="34"/>
        <v>226.38486687660168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34.463313393468262</v>
      </c>
      <c r="AA39" s="21">
        <f>EXP(-LN(2)/25)*AA38+(1-EXP(-LN(2)/25))/(LN(2)/25)*Calculateur!V39*Calculateur!X39*VLOOKUP('Données projet'!$B$9,Paramètres!$A$1:$I$89,3,0)*0.475*44/12</f>
        <v>6.4802446965377909</v>
      </c>
      <c r="AB39" s="21">
        <f>EXP(-LN(2)/2)*AB38+(1-EXP(-LN(2)/2))/(LN(2)/2)*V39*Y39*VLOOKUP('Données projet'!$B$9,Paramètres!$A$1:$I$89,3,0)*0.475*44/12</f>
        <v>5.6335211320359166E-2</v>
      </c>
      <c r="AC39" s="22">
        <f t="shared" si="3"/>
        <v>40.999893301326409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18.277999999999995</v>
      </c>
      <c r="D40" s="11">
        <f t="shared" si="32"/>
        <v>6.0060955954395308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187.45617652619987</v>
      </c>
      <c r="H40" s="67">
        <f t="shared" si="1"/>
        <v>298.96146649539054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80.239844009379794</v>
      </c>
      <c r="T40" s="59">
        <f t="shared" si="34"/>
        <v>226.38486687660168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33.787508838367913</v>
      </c>
      <c r="AA40" s="21">
        <f>EXP(-LN(2)/25)*AA39+(1-EXP(-LN(2)/25))/(LN(2)/25)*Calculateur!V40*Calculateur!X40*VLOOKUP('Données projet'!$B$9,Paramètres!$A$1:$I$89,3,0)*0.475*44/12</f>
        <v>6.3030420645297074</v>
      </c>
      <c r="AB40" s="21">
        <f>EXP(-LN(2)/2)*AB39+(1-EXP(-LN(2)/2))/(LN(2)/2)*V40*Y40*VLOOKUP('Données projet'!$B$9,Paramètres!$A$1:$I$89,3,0)*0.475*44/12</f>
        <v>3.983500994420313E-2</v>
      </c>
      <c r="AC40" s="22">
        <f t="shared" si="3"/>
        <v>40.130385912841824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18.771999999999995</v>
      </c>
      <c r="D41" s="11">
        <f t="shared" si="32"/>
        <v>6.1493042738312038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192.37498035939871</v>
      </c>
      <c r="H41" s="67">
        <f t="shared" si="1"/>
        <v>300.07127161025602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80.239844009379794</v>
      </c>
      <c r="T41" s="59">
        <f t="shared" si="34"/>
        <v>226.38486687660168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33.124956398393003</v>
      </c>
      <c r="AA41" s="21">
        <f>EXP(-LN(2)/25)*AA40+(1-EXP(-LN(2)/25))/(LN(2)/25)*Calculateur!V41*Calculateur!X41*VLOOKUP('Données projet'!$B$9,Paramètres!$A$1:$I$89,3,0)*0.475*44/12</f>
        <v>6.1306850478125661</v>
      </c>
      <c r="AB41" s="21">
        <f>EXP(-LN(2)/2)*AB40+(1-EXP(-LN(2)/2))/(LN(2)/2)*V41*Y41*VLOOKUP('Données projet'!$B$9,Paramètres!$A$1:$I$89,3,0)*0.475*44/12</f>
        <v>2.816760566017959E-2</v>
      </c>
      <c r="AC41" s="22">
        <f t="shared" si="3"/>
        <v>39.283809051865752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19.265999999999995</v>
      </c>
      <c r="D42" s="11">
        <f t="shared" si="32"/>
        <v>6.2920748991727322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197.29040273045618</v>
      </c>
      <c r="H42" s="67">
        <f t="shared" si="1"/>
        <v>301.18031378272588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80.239844009379794</v>
      </c>
      <c r="T42" s="59">
        <f t="shared" si="34"/>
        <v>226.38486687660168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32.47539620764892</v>
      </c>
      <c r="AA42" s="21">
        <f>EXP(-LN(2)/25)*AA41+(1-EXP(-LN(2)/25))/(LN(2)/25)*Calculateur!V42*Calculateur!X42*VLOOKUP('Données projet'!$B$9,Paramètres!$A$1:$I$89,3,0)*0.475*44/12</f>
        <v>5.9630411427814165</v>
      </c>
      <c r="AB42" s="21">
        <f>EXP(-LN(2)/2)*AB41+(1-EXP(-LN(2)/2))/(LN(2)/2)*V42*Y42*VLOOKUP('Données projet'!$B$9,Paramètres!$A$1:$I$89,3,0)*0.475*44/12</f>
        <v>1.9917504972101568E-2</v>
      </c>
      <c r="AC42" s="22">
        <f t="shared" si="3"/>
        <v>38.458354855402433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19.759999999999994</v>
      </c>
      <c r="D43" s="11">
        <f t="shared" si="32"/>
        <v>6.4344199950962579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202.20254031302375</v>
      </c>
      <c r="H43" s="67">
        <f t="shared" si="1"/>
        <v>302.28861482479266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80.239844009379794</v>
      </c>
      <c r="T43" s="59">
        <f t="shared" si="34"/>
        <v>226.38486687660168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31.838573496052732</v>
      </c>
      <c r="AA43" s="21">
        <f>EXP(-LN(2)/25)*AA42+(1-EXP(-LN(2)/25))/(LN(2)/25)*Calculateur!V43*Calculateur!X43*VLOOKUP('Données projet'!$B$9,Paramètres!$A$1:$I$89,3,0)*0.475*44/12</f>
        <v>5.7999814691493539</v>
      </c>
      <c r="AB43" s="21">
        <f>EXP(-LN(2)/2)*AB42+(1-EXP(-LN(2)/2))/(LN(2)/2)*V43*Y43*VLOOKUP('Données projet'!$B$9,Paramètres!$A$1:$I$89,3,0)*0.475*44/12</f>
        <v>1.4083802830089797E-2</v>
      </c>
      <c r="AC43" s="22">
        <f t="shared" si="3"/>
        <v>37.652638768032169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20.253999999999994</v>
      </c>
      <c r="D44" s="11">
        <f t="shared" si="32"/>
        <v>6.5763514233638816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207.1114846715808</v>
      </c>
      <c r="H44" s="67">
        <f t="shared" si="1"/>
        <v>303.39619539569208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80.239844009379794</v>
      </c>
      <c r="T44" s="59">
        <f t="shared" si="34"/>
        <v>226.38486687660168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31.214238489407443</v>
      </c>
      <c r="AA44" s="21">
        <f>EXP(-LN(2)/25)*AA43+(1-EXP(-LN(2)/25))/(LN(2)/25)*Calculateur!V44*Calculateur!X44*VLOOKUP('Données projet'!$B$9,Paramètres!$A$1:$I$89,3,0)*0.475*44/12</f>
        <v>5.6413806708676955</v>
      </c>
      <c r="AB44" s="21">
        <f>EXP(-LN(2)/2)*AB43+(1-EXP(-LN(2)/2))/(LN(2)/2)*V44*Y44*VLOOKUP('Données projet'!$B$9,Paramètres!$A$1:$I$89,3,0)*0.475*44/12</f>
        <v>9.958752486050786E-3</v>
      </c>
      <c r="AC44" s="22">
        <f t="shared" si="3"/>
        <v>36.865577912761189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20.747999999999994</v>
      </c>
      <c r="D45" s="11">
        <f t="shared" si="32"/>
        <v>6.7178804341249787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212.01732264938576</v>
      </c>
      <c r="H45" s="67">
        <f t="shared" si="1"/>
        <v>304.50307508943433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80.239844009379794</v>
      </c>
      <c r="T45" s="59">
        <f t="shared" si="34"/>
        <v>226.38486687660168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30.602146311435714</v>
      </c>
      <c r="AA45" s="21">
        <f>EXP(-LN(2)/25)*AA44+(1-EXP(-LN(2)/25))/(LN(2)/25)*Calculateur!V45*Calculateur!X45*VLOOKUP('Données projet'!$B$9,Paramètres!$A$1:$I$89,3,0)*0.475*44/12</f>
        <v>5.487116819755502</v>
      </c>
      <c r="AB45" s="21">
        <f>EXP(-LN(2)/2)*AB44+(1-EXP(-LN(2)/2))/(LN(2)/2)*V45*Y45*VLOOKUP('Données projet'!$B$9,Paramètres!$A$1:$I$89,3,0)*0.475*44/12</f>
        <v>7.0419014150449001E-3</v>
      </c>
      <c r="AC45" s="22">
        <f t="shared" si="3"/>
        <v>36.09630503260626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21.241999999999994</v>
      </c>
      <c r="D46" s="11">
        <f t="shared" si="32"/>
        <v>6.8590177112522763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216.92013671843858</v>
      </c>
      <c r="H46" s="67">
        <f t="shared" si="1"/>
        <v>305.60927251376438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80.239844009379794</v>
      </c>
      <c r="T46" s="59">
        <f t="shared" si="34"/>
        <v>226.38486687660168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30.002056887734646</v>
      </c>
      <c r="AA46" s="21">
        <f>EXP(-LN(2)/25)*AA45+(1-EXP(-LN(2)/25))/(LN(2)/25)*Calculateur!V46*Calculateur!X46*VLOOKUP('Données projet'!$B$9,Paramètres!$A$1:$I$89,3,0)*0.475*44/12</f>
        <v>5.3370713217643555</v>
      </c>
      <c r="AB46" s="21">
        <f>EXP(-LN(2)/2)*AB45+(1-EXP(-LN(2)/2))/(LN(2)/2)*V46*Y46*VLOOKUP('Données projet'!$B$9,Paramètres!$A$1:$I$89,3,0)*0.475*44/12</f>
        <v>4.9793762430253938E-3</v>
      </c>
      <c r="AC46" s="22">
        <f t="shared" si="3"/>
        <v>35.34410758574203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21.735999999999994</v>
      </c>
      <c r="D47" s="11">
        <f t="shared" si="32"/>
        <v>6.9997734133417886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221.82000529597167</v>
      </c>
      <c r="H47" s="67">
        <f t="shared" si="1"/>
        <v>306.71480536157026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80.239844009379794</v>
      </c>
      <c r="T47" s="59">
        <f t="shared" si="34"/>
        <v>226.38486687660168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29.413734851613953</v>
      </c>
      <c r="AA47" s="21">
        <f>EXP(-LN(2)/25)*AA46+(1-EXP(-LN(2)/25))/(LN(2)/25)*Calculateur!V47*Calculateur!X47*VLOOKUP('Données projet'!$B$9,Paramètres!$A$1:$I$89,3,0)*0.475*44/12</f>
        <v>5.1911288258063264</v>
      </c>
      <c r="AB47" s="21">
        <f>EXP(-LN(2)/2)*AB46+(1-EXP(-LN(2)/2))/(LN(2)/2)*V47*Y47*VLOOKUP('Données projet'!$B$9,Paramètres!$A$1:$I$89,3,0)*0.475*44/12</f>
        <v>3.5209507075224505E-3</v>
      </c>
      <c r="AC47" s="22">
        <f t="shared" si="3"/>
        <v>34.608384628127801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22.229999999999993</v>
      </c>
      <c r="D48" s="11">
        <f t="shared" si="32"/>
        <v>7.140157210880437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226.71700303135768</v>
      </c>
      <c r="H48" s="67">
        <f t="shared" si="1"/>
        <v>307.81969047561677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80.239844009379794</v>
      </c>
      <c r="T48" s="59">
        <f t="shared" si="34"/>
        <v>226.38486687660168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28.836949451780576</v>
      </c>
      <c r="AA48" s="21">
        <f>EXP(-LN(2)/25)*AA47+(1-EXP(-LN(2)/25))/(LN(2)/25)*Calculateur!V48*Calculateur!X48*VLOOKUP('Données projet'!$B$9,Paramètres!$A$1:$I$89,3,0)*0.475*44/12</f>
        <v>5.0491771350750518</v>
      </c>
      <c r="AB48" s="21">
        <f>EXP(-LN(2)/2)*AB47+(1-EXP(-LN(2)/2))/(LN(2)/2)*V48*Y48*VLOOKUP('Données projet'!$B$9,Paramètres!$A$1:$I$89,3,0)*0.475*44/12</f>
        <v>2.4896881215126974E-3</v>
      </c>
      <c r="AC48" s="22">
        <f t="shared" si="3"/>
        <v>33.888616274977139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22.723999999999993</v>
      </c>
      <c r="D49" s="11">
        <f t="shared" si="32"/>
        <v>7.2801783200166916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231.6112010667955</v>
      </c>
      <c r="H49" s="67">
        <f t="shared" si="1"/>
        <v>308.9239439073624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80.239844009379794</v>
      </c>
      <c r="T49" s="59">
        <f t="shared" si="34"/>
        <v>226.38486687660168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28.271474461833574</v>
      </c>
      <c r="AA49" s="21">
        <f>EXP(-LN(2)/25)*AA48+(1-EXP(-LN(2)/25))/(LN(2)/25)*Calculateur!V49*Calculateur!X49*VLOOKUP('Données projet'!$B$9,Paramètres!$A$1:$I$89,3,0)*0.475*44/12</f>
        <v>4.9111071207917387</v>
      </c>
      <c r="AB49" s="21">
        <f>EXP(-LN(2)/2)*AB48+(1-EXP(-LN(2)/2))/(LN(2)/2)*V49*Y49*VLOOKUP('Données projet'!$B$9,Paramètres!$A$1:$I$89,3,0)*0.475*44/12</f>
        <v>1.7604753537612255E-3</v>
      </c>
      <c r="AC49" s="22">
        <f t="shared" si="3"/>
        <v>33.184342057979073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23.217999999999993</v>
      </c>
      <c r="D50" s="11">
        <f t="shared" si="32"/>
        <v>7.4198455333118369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236.50266727468784</v>
      </c>
      <c r="H50" s="67">
        <f t="shared" si="1"/>
        <v>310.0275809705181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80.239844009379794</v>
      </c>
      <c r="T50" s="59">
        <f t="shared" si="34"/>
        <v>226.38486687660168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27.717088091533746</v>
      </c>
      <c r="AA50" s="21">
        <f>EXP(-LN(2)/25)*AA49+(1-EXP(-LN(2)/25))/(LN(2)/25)*Calculateur!V50*Calculateur!X50*VLOOKUP('Données projet'!$B$9,Paramètres!$A$1:$I$89,3,0)*0.475*44/12</f>
        <v>4.7768126383097895</v>
      </c>
      <c r="AB50" s="21">
        <f>EXP(-LN(2)/2)*AB49+(1-EXP(-LN(2)/2))/(LN(2)/2)*V50*Y50*VLOOKUP('Données projet'!$B$9,Paramètres!$A$1:$I$89,3,0)*0.475*44/12</f>
        <v>1.2448440607563487E-3</v>
      </c>
      <c r="AC50" s="22">
        <f t="shared" si="3"/>
        <v>32.495145573904296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23.711999999999993</v>
      </c>
      <c r="D51" s="11">
        <f t="shared" si="32"/>
        <v>7.5591672478002421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241.39146647424749</v>
      </c>
      <c r="H51" s="67">
        <f t="shared" si="1"/>
        <v>311.13061628991875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80.239844009379794</v>
      </c>
      <c r="T51" s="59">
        <f t="shared" si="34"/>
        <v>226.38486687660168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27.173572899813202</v>
      </c>
      <c r="AA51" s="21">
        <f>EXP(-LN(2)/25)*AA50+(1-EXP(-LN(2)/25))/(LN(2)/25)*Calculateur!V51*Calculateur!X51*VLOOKUP('Données projet'!$B$9,Paramètres!$A$1:$I$89,3,0)*0.475*44/12</f>
        <v>4.6461904455135494</v>
      </c>
      <c r="AB51" s="21">
        <f>EXP(-LN(2)/2)*AB50+(1-EXP(-LN(2)/2))/(LN(2)/2)*V51*Y51*VLOOKUP('Données projet'!$B$9,Paramètres!$A$1:$I$89,3,0)*0.475*44/12</f>
        <v>8.8023767688061273E-4</v>
      </c>
      <c r="AC51" s="22">
        <f t="shared" si="3"/>
        <v>31.820643583003633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24.205999999999992</v>
      </c>
      <c r="D52" s="11">
        <f t="shared" si="32"/>
        <v>7.6981514906452606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246.27766062954234</v>
      </c>
      <c r="H52" s="67">
        <f t="shared" si="1"/>
        <v>312.23306384620719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80.239844009379794</v>
      </c>
      <c r="T52" s="59">
        <f t="shared" si="34"/>
        <v>226.38486687660168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26.640715709490763</v>
      </c>
      <c r="AA52" s="21">
        <f>EXP(-LN(2)/25)*AA51+(1-EXP(-LN(2)/25))/(LN(2)/25)*Calculateur!V52*Calculateur!X52*VLOOKUP('Données projet'!$B$9,Paramètres!$A$1:$I$89,3,0)*0.475*44/12</f>
        <v>4.5191401234484445</v>
      </c>
      <c r="AB52" s="21">
        <f>EXP(-LN(2)/2)*AB51+(1-EXP(-LN(2)/2))/(LN(2)/2)*V52*Y52*VLOOKUP('Données projet'!$B$9,Paramètres!$A$1:$I$89,3,0)*0.475*44/12</f>
        <v>6.2242203037817434E-4</v>
      </c>
      <c r="AC52" s="22">
        <f t="shared" si="3"/>
        <v>31.160478254969586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24.699999999999992</v>
      </c>
      <c r="D53" s="11">
        <f t="shared" si="32"/>
        <v>7.8368059426416599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251.16130903091798</v>
      </c>
      <c r="H53" s="67">
        <f t="shared" si="1"/>
        <v>313.33493701676753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80.239844009379794</v>
      </c>
      <c r="T53" s="59">
        <f t="shared" si="34"/>
        <v>226.38486687660168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26.118307523659755</v>
      </c>
      <c r="AA53" s="21">
        <f>EXP(-LN(2)/25)*AA52+(1-EXP(-LN(2)/25))/(LN(2)/25)*Calculateur!V53*Calculateur!X53*VLOOKUP('Données projet'!$B$9,Paramètres!$A$1:$I$89,3,0)*0.475*44/12</f>
        <v>4.3955639991214968</v>
      </c>
      <c r="AB53" s="21">
        <f>EXP(-LN(2)/2)*AB52+(1-EXP(-LN(2)/2))/(LN(2)/2)*V53*Y53*VLOOKUP('Données projet'!$B$9,Paramètres!$A$1:$I$89,3,0)*0.475*44/12</f>
        <v>4.4011883844030636E-4</v>
      </c>
      <c r="AC53" s="22">
        <f t="shared" si="3"/>
        <v>30.514311641619692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25.193999999999992</v>
      </c>
      <c r="D54" s="11">
        <f t="shared" si="32"/>
        <v>7.9751379597846981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256.04246846149584</v>
      </c>
      <c r="H54" s="67">
        <f t="shared" si="1"/>
        <v>314.4362486132917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80.239844009379794</v>
      </c>
      <c r="T54" s="59">
        <f t="shared" si="34"/>
        <v>226.38486687660168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25.606143443715361</v>
      </c>
      <c r="AA54" s="21">
        <f>EXP(-LN(2)/25)*AA53+(1-EXP(-LN(2)/25))/(LN(2)/25)*Calculateur!V54*Calculateur!X54*VLOOKUP('Données projet'!$B$9,Paramètres!$A$1:$I$89,3,0)*0.475*44/12</f>
        <v>4.2753670704128552</v>
      </c>
      <c r="AB54" s="21">
        <f>EXP(-LN(2)/2)*AB53+(1-EXP(-LN(2)/2))/(LN(2)/2)*V54*Y54*VLOOKUP('Données projet'!$B$9,Paramètres!$A$1:$I$89,3,0)*0.475*44/12</f>
        <v>3.1121101518908717E-4</v>
      </c>
      <c r="AC54" s="22">
        <f t="shared" si="3"/>
        <v>29.881821725143404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25.687999999999992</v>
      </c>
      <c r="D55" s="11">
        <f t="shared" si="32"/>
        <v>8.1131545930997699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260.92119335024375</v>
      </c>
      <c r="H55" s="67">
        <f t="shared" si="1"/>
        <v>315.53701091631541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80.239844009379794</v>
      </c>
      <c r="T55" s="59">
        <f t="shared" si="34"/>
        <v>226.38486687660168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25.104022588989434</v>
      </c>
      <c r="AA55" s="21">
        <f>EXP(-LN(2)/25)*AA54+(1-EXP(-LN(2)/25))/(LN(2)/25)*Calculateur!V55*Calculateur!X55*VLOOKUP('Données projet'!$B$9,Paramètres!$A$1:$I$89,3,0)*0.475*44/12</f>
        <v>4.1584569330406334</v>
      </c>
      <c r="AB55" s="21">
        <f>EXP(-LN(2)/2)*AB54+(1-EXP(-LN(2)/2))/(LN(2)/2)*V55*Y55*VLOOKUP('Données projet'!$B$9,Paramètres!$A$1:$I$89,3,0)*0.475*44/12</f>
        <v>2.2005941922015318E-4</v>
      </c>
      <c r="AC55" s="22">
        <f t="shared" si="3"/>
        <v>29.262699581449287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26.181999999999992</v>
      </c>
      <c r="D56" s="11">
        <f t="shared" si="32"/>
        <v>8.250862606903512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265.7975359129394</v>
      </c>
      <c r="H56" s="67">
        <f t="shared" si="1"/>
        <v>316.63723570702359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80.239844009379794</v>
      </c>
      <c r="T56" s="59">
        <f t="shared" si="34"/>
        <v>226.38486687660168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24.611748017961201</v>
      </c>
      <c r="AA56" s="21">
        <f>EXP(-LN(2)/25)*AA55+(1-EXP(-LN(2)/25))/(LN(2)/25)*Calculateur!V56*Calculateur!X56*VLOOKUP('Données projet'!$B$9,Paramètres!$A$1:$I$89,3,0)*0.475*44/12</f>
        <v>4.0447437095228915</v>
      </c>
      <c r="AB56" s="21">
        <f>EXP(-LN(2)/2)*AB55+(1-EXP(-LN(2)/2))/(LN(2)/2)*V56*Y56*VLOOKUP('Données projet'!$B$9,Paramètres!$A$1:$I$89,3,0)*0.475*44/12</f>
        <v>1.5560550759454358E-4</v>
      </c>
      <c r="AC56" s="22">
        <f t="shared" si="3"/>
        <v>28.656647332991685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57" s="11">
        <f t="shared" si="32"/>
        <v>8.388268495647786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270.67154628219339</v>
      </c>
      <c r="H57" s="67">
        <f t="shared" si="1"/>
        <v>317.73693429658658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80.239844009379794</v>
      </c>
      <c r="T57" s="59">
        <f t="shared" si="34"/>
        <v>226.38486687660168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24.129126651012992</v>
      </c>
      <c r="AA57" s="21">
        <f>EXP(-LN(2)/25)*AA56+(1-EXP(-LN(2)/25))/(LN(2)/25)*Calculateur!V57*Calculateur!X57*VLOOKUP('Données projet'!$B$9,Paramètres!$A$1:$I$89,3,0)*0.475*44/12</f>
        <v>3.9341399800821608</v>
      </c>
      <c r="AB57" s="21">
        <f>EXP(-LN(2)/2)*AB56+(1-EXP(-LN(2)/2))/(LN(2)/2)*V57*Y57*VLOOKUP('Données projet'!$B$9,Paramètres!$A$1:$I$89,3,0)*0.475*44/12</f>
        <v>1.1002970961007659E-4</v>
      </c>
      <c r="AC57" s="22">
        <f t="shared" si="3"/>
        <v>28.063376660804764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27.169999999999991</v>
      </c>
      <c r="D58" s="11">
        <f t="shared" si="32"/>
        <v>8.5253784994806487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275.54327262756988</v>
      </c>
      <c r="H58" s="67">
        <f t="shared" si="1"/>
        <v>318.83611755326211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80.239844009379794</v>
      </c>
      <c r="T58" s="59">
        <f t="shared" si="34"/>
        <v>226.38486687660168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23.65596919470067</v>
      </c>
      <c r="AA58" s="21">
        <f>EXP(-LN(2)/25)*AA57+(1-EXP(-LN(2)/25))/(LN(2)/25)*Calculateur!V58*Calculateur!X58*VLOOKUP('Données projet'!$B$9,Paramètres!$A$1:$I$89,3,0)*0.475*44/12</f>
        <v>3.8265607154393844</v>
      </c>
      <c r="AB58" s="21">
        <f>EXP(-LN(2)/2)*AB57+(1-EXP(-LN(2)/2))/(LN(2)/2)*V58*Y58*VLOOKUP('Données projet'!$B$9,Paramètres!$A$1:$I$89,3,0)*0.475*44/12</f>
        <v>7.7802753797271792E-5</v>
      </c>
      <c r="AC58" s="22">
        <f t="shared" si="3"/>
        <v>27.482607712893852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27.663999999999991</v>
      </c>
      <c r="D59" s="11">
        <f t="shared" si="32"/>
        <v>8.6621986186436022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280.4127612667225</v>
      </c>
      <c r="H59" s="67">
        <f t="shared" si="1"/>
        <v>319.93479592747093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80.239844009379794</v>
      </c>
      <c r="T59" s="59">
        <f t="shared" si="34"/>
        <v>226.38486687660168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23.192090067509081</v>
      </c>
      <c r="AA59" s="21">
        <f>EXP(-LN(2)/25)*AA58+(1-EXP(-LN(2)/25))/(LN(2)/25)*Calculateur!V59*Calculateur!X59*VLOOKUP('Données projet'!$B$9,Paramètres!$A$1:$I$89,3,0)*0.475*44/12</f>
        <v>3.721923211445612</v>
      </c>
      <c r="AB59" s="21">
        <f>EXP(-LN(2)/2)*AB58+(1-EXP(-LN(2)/2))/(LN(2)/2)*V59*Y59*VLOOKUP('Données projet'!$B$9,Paramètres!$A$1:$I$89,3,0)*0.475*44/12</f>
        <v>5.5014854805038295E-5</v>
      </c>
      <c r="AC59" s="22">
        <f t="shared" si="3"/>
        <v>26.9140682938095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28.157999999999991</v>
      </c>
      <c r="D60" s="11">
        <f t="shared" si="32"/>
        <v>8.7987346268113527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285.28005676836824</v>
      </c>
      <c r="H60" s="67">
        <f t="shared" si="1"/>
        <v>321.03297947502978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80.239844009379794</v>
      </c>
      <c r="T60" s="59">
        <f t="shared" si="34"/>
        <v>226.38486687660168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22.737307327063391</v>
      </c>
      <c r="AA60" s="21">
        <f>EXP(-LN(2)/25)*AA59+(1-EXP(-LN(2)/25))/(LN(2)/25)*Calculateur!V60*Calculateur!X60*VLOOKUP('Données projet'!$B$9,Paramètres!$A$1:$I$89,3,0)*0.475*44/12</f>
        <v>3.6201470255011965</v>
      </c>
      <c r="AB60" s="21">
        <f>EXP(-LN(2)/2)*AB59+(1-EXP(-LN(2)/2))/(LN(2)/2)*V60*Y60*VLOOKUP('Données projet'!$B$9,Paramètres!$A$1:$I$89,3,0)*0.475*44/12</f>
        <v>3.8901376898635896E-5</v>
      </c>
      <c r="AC60" s="22">
        <f t="shared" si="3"/>
        <v>26.357493253941488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28.65199999999999</v>
      </c>
      <c r="D61" s="11">
        <f t="shared" si="32"/>
        <v>8.9349920834689218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290.1452020478302</v>
      </c>
      <c r="H61" s="67">
        <f t="shared" si="1"/>
        <v>322.13067787870835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80.239844009379794</v>
      </c>
      <c r="T61" s="59">
        <f t="shared" si="34"/>
        <v>226.38486687660168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22.291442598767759</v>
      </c>
      <c r="AA61" s="21">
        <f>EXP(-LN(2)/25)*AA60+(1-EXP(-LN(2)/25))/(LN(2)/25)*Calculateur!V61*Calculateur!X61*VLOOKUP('Données projet'!$B$9,Paramètres!$A$1:$I$89,3,0)*0.475*44/12</f>
        <v>3.5211539147136079</v>
      </c>
      <c r="AB61" s="21">
        <f>EXP(-LN(2)/2)*AB60+(1-EXP(-LN(2)/2))/(LN(2)/2)*V61*Y61*VLOOKUP('Données projet'!$B$9,Paramètres!$A$1:$I$89,3,0)*0.475*44/12</f>
        <v>2.7507427402519148E-5</v>
      </c>
      <c r="AC61" s="22">
        <f t="shared" si="3"/>
        <v>25.812624020908768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29.14599999999999</v>
      </c>
      <c r="D62" s="11">
        <f t="shared" si="32"/>
        <v>9.0709763454110508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295.00823845580453</v>
      </c>
      <c r="H62" s="67">
        <f t="shared" si="1"/>
        <v>323.22790046825759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80.239844009379794</v>
      </c>
      <c r="T62" s="59">
        <f t="shared" si="34"/>
        <v>226.38486687660168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21.854321005843371</v>
      </c>
      <c r="AA62" s="21">
        <f>EXP(-LN(2)/25)*AA61+(1-EXP(-LN(2)/25))/(LN(2)/25)*Calculateur!V62*Calculateur!X62*VLOOKUP('Données projet'!$B$9,Paramètres!$A$1:$I$89,3,0)*0.475*44/12</f>
        <v>3.4248677757463275</v>
      </c>
      <c r="AB62" s="21">
        <f>EXP(-LN(2)/2)*AB61+(1-EXP(-LN(2)/2))/(LN(2)/2)*V62*Y62*VLOOKUP('Données projet'!$B$9,Paramètres!$A$1:$I$89,3,0)*0.475*44/12</f>
        <v>1.9450688449317948E-5</v>
      </c>
      <c r="AC62" s="22">
        <f t="shared" si="3"/>
        <v>25.279208232278148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29.63999999999999</v>
      </c>
      <c r="D63" s="11">
        <f t="shared" si="32"/>
        <v>9.2066925774398314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299.86920586093902</v>
      </c>
      <c r="H63" s="67">
        <f t="shared" si="1"/>
        <v>324.32465623904102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80.239844009379794</v>
      </c>
      <c r="T63" s="59">
        <f t="shared" si="34"/>
        <v>226.38486687660168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21.425771100738384</v>
      </c>
      <c r="AA63" s="21">
        <f>EXP(-LN(2)/25)*AA62+(1-EXP(-LN(2)/25))/(LN(2)/25)*Calculateur!V63*Calculateur!X63*VLOOKUP('Données projet'!$B$9,Paramètres!$A$1:$I$89,3,0)*0.475*44/12</f>
        <v>3.3312145863125755</v>
      </c>
      <c r="AB63" s="21">
        <f>EXP(-LN(2)/2)*AB62+(1-EXP(-LN(2)/2))/(LN(2)/2)*V63*Y63*VLOOKUP('Données projet'!$B$9,Paramètres!$A$1:$I$89,3,0)*0.475*44/12</f>
        <v>1.3753713701259574E-5</v>
      </c>
      <c r="AC63" s="22">
        <f t="shared" si="3"/>
        <v>24.756999440764663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30.13399999999999</v>
      </c>
      <c r="D64" s="11">
        <f t="shared" si="32"/>
        <v>9.3421457623289594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304.72814272674975</v>
      </c>
      <c r="H64" s="67">
        <f t="shared" si="1"/>
        <v>325.42095386938962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80.239844009379794</v>
      </c>
      <c r="T64" s="59">
        <f t="shared" si="34"/>
        <v>226.38486687660168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21.005624797882877</v>
      </c>
      <c r="AA64" s="21">
        <f>EXP(-LN(2)/25)*AA63+(1-EXP(-LN(2)/25))/(LN(2)/25)*Calculateur!V64*Calculateur!X64*VLOOKUP('Données projet'!$B$9,Paramètres!$A$1:$I$89,3,0)*0.475*44/12</f>
        <v>3.2401223482688968</v>
      </c>
      <c r="AB64" s="21">
        <f>EXP(-LN(2)/2)*AB63+(1-EXP(-LN(2)/2))/(LN(2)/2)*V64*Y64*VLOOKUP('Données projet'!$B$9,Paramètres!$A$1:$I$89,3,0)*0.475*44/12</f>
        <v>9.7253442246589741E-6</v>
      </c>
      <c r="AC64" s="22">
        <f t="shared" si="3"/>
        <v>24.245756871495999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30.627999999999989</v>
      </c>
      <c r="D65" s="11">
        <f t="shared" si="32"/>
        <v>9.4773407101161169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309.58508618335242</v>
      </c>
      <c r="H65" s="67">
        <f t="shared" si="1"/>
        <v>326.51680173678557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80.239844009379794</v>
      </c>
      <c r="T65" s="59">
        <f t="shared" si="34"/>
        <v>226.38486687660168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20.593717307762425</v>
      </c>
      <c r="AA65" s="21">
        <f>EXP(-LN(2)/25)*AA64+(1-EXP(-LN(2)/25))/(LN(2)/25)*Calculateur!V65*Calculateur!X65*VLOOKUP('Données projet'!$B$9,Paramètres!$A$1:$I$89,3,0)*0.475*44/12</f>
        <v>3.151521032264855</v>
      </c>
      <c r="AB65" s="21">
        <f>EXP(-LN(2)/2)*AB64+(1-EXP(-LN(2)/2))/(LN(2)/2)*V65*Y65*VLOOKUP('Données projet'!$B$9,Paramètres!$A$1:$I$89,3,0)*0.475*44/12</f>
        <v>6.8768568506297869E-6</v>
      </c>
      <c r="AC65" s="22">
        <f t="shared" si="3"/>
        <v>23.745245216884133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31.121999999999989</v>
      </c>
      <c r="D66" s="11">
        <f t="shared" si="32"/>
        <v>9.612282066778798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314.44007209443276</v>
      </c>
      <c r="H66" s="67">
        <f t="shared" si="1"/>
        <v>327.61220793297309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80.239844009379794</v>
      </c>
      <c r="T66" s="59">
        <f t="shared" si="34"/>
        <v>226.38486687660168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20.189887072284474</v>
      </c>
      <c r="AA66" s="21">
        <f>EXP(-LN(2)/25)*AA65+(1-EXP(-LN(2)/25))/(LN(2)/25)*Calculateur!V66*Calculateur!X66*VLOOKUP('Données projet'!$B$9,Paramètres!$A$1:$I$89,3,0)*0.475*44/12</f>
        <v>3.0653425239062844</v>
      </c>
      <c r="AB66" s="21">
        <f>EXP(-LN(2)/2)*AB65+(1-EXP(-LN(2)/2))/(LN(2)/2)*V66*Y66*VLOOKUP('Données projet'!$B$9,Paramètres!$A$1:$I$89,3,0)*0.475*44/12</f>
        <v>4.862672112329487E-6</v>
      </c>
      <c r="AC66" s="22">
        <f t="shared" si="3"/>
        <v>23.255234458862873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31.615999999999989</v>
      </c>
      <c r="D67" s="11">
        <f t="shared" si="32"/>
        <v>9.7469743223436929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319.293135119846</v>
      </c>
      <c r="H67" s="67">
        <f t="shared" si="1"/>
        <v>328.70718027808192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80.239844009379794</v>
      </c>
      <c r="T67" s="59">
        <f t="shared" si="34"/>
        <v>226.38486687660168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19.793975701412123</v>
      </c>
      <c r="AA67" s="21">
        <f>EXP(-LN(2)/25)*AA66+(1-EXP(-LN(2)/25))/(LN(2)/25)*Calculateur!V67*Calculateur!X67*VLOOKUP('Données projet'!$B$9,Paramètres!$A$1:$I$89,3,0)*0.475*44/12</f>
        <v>2.9815205713907096</v>
      </c>
      <c r="AB67" s="21">
        <f>EXP(-LN(2)/2)*AB66+(1-EXP(-LN(2)/2))/(LN(2)/2)*V67*Y67*VLOOKUP('Données projet'!$B$9,Paramètres!$A$1:$I$89,3,0)*0.475*44/12</f>
        <v>3.4384284253148935E-6</v>
      </c>
      <c r="AC67" s="22">
        <f t="shared" si="3"/>
        <v>22.775499711231259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32.109999999999992</v>
      </c>
      <c r="D68" s="11">
        <f t="shared" si="32"/>
        <v>9.8814218184748146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324.14430877419147</v>
      </c>
      <c r="H68" s="67">
        <f t="shared" ref="H68:H131" si="56">(B68+E68+F68)*44/12+(C68+D68)*0.475*44/12</f>
        <v>329.80172633384365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80.239844009379794</v>
      </c>
      <c r="T68" s="59">
        <f t="shared" si="34"/>
        <v>226.38486687660168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19.405827911040486</v>
      </c>
      <c r="AA68" s="21">
        <f>EXP(-LN(2)/25)*AA67+(1-EXP(-LN(2)/25))/(LN(2)/25)*Calculateur!V68*Calculateur!X68*VLOOKUP('Données projet'!$B$9,Paramètres!$A$1:$I$89,3,0)*0.475*44/12</f>
        <v>2.8999907345746783</v>
      </c>
      <c r="AB68" s="21">
        <f>EXP(-LN(2)/2)*AB67+(1-EXP(-LN(2)/2))/(LN(2)/2)*V68*Y68*VLOOKUP('Données projet'!$B$9,Paramètres!$A$1:$I$89,3,0)*0.475*44/12</f>
        <v>2.4313360561647435E-6</v>
      </c>
      <c r="AC68" s="22">
        <f t="shared" ref="AC68:AC131" si="57">SUM(Z68:AB68)</f>
        <v>22.305821076951222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32.603999999999992</v>
      </c>
      <c r="D69" s="11">
        <f t="shared" ref="D69:D132" si="86">IFERROR(EXP(-1.0587+0.8836*LN(C69)+0.284),0)</f>
        <v>10.015628755581478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328.99362548168159</v>
      </c>
      <c r="H69" s="67">
        <f t="shared" si="56"/>
        <v>330.89585341597109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80.239844009379794</v>
      </c>
      <c r="T69" s="59">
        <f t="shared" ref="T69:T132" si="88">$T$3</f>
        <v>226.38486687660168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19.025291462091261</v>
      </c>
      <c r="AA69" s="21">
        <f>EXP(-LN(2)/25)*AA68+(1-EXP(-LN(2)/25))/(LN(2)/25)*Calculateur!V69*Calculateur!X69*VLOOKUP('Données projet'!$B$9,Paramètres!$A$1:$I$89,3,0)*0.475*44/12</f>
        <v>2.8206903354338491</v>
      </c>
      <c r="AB69" s="21">
        <f>EXP(-LN(2)/2)*AB68+(1-EXP(-LN(2)/2))/(LN(2)/2)*V69*Y69*VLOOKUP('Données projet'!$B$9,Paramètres!$A$1:$I$89,3,0)*0.475*44/12</f>
        <v>1.7192142126574467E-6</v>
      </c>
      <c r="AC69" s="22">
        <f t="shared" si="57"/>
        <v>21.84598351673932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33.097999999999992</v>
      </c>
      <c r="D70" s="11">
        <f t="shared" si="86"/>
        <v>10.149599199483195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333.84111662758954</v>
      </c>
      <c r="H70" s="67">
        <f t="shared" si="56"/>
        <v>331.98956860576658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80.239844009379794</v>
      </c>
      <c r="T70" s="59">
        <f t="shared" si="88"/>
        <v>226.38486687660168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18.652217100801614</v>
      </c>
      <c r="AA70" s="21">
        <f>EXP(-LN(2)/25)*AA69+(1-EXP(-LN(2)/25))/(LN(2)/25)*Calculateur!V70*Calculateur!X70*VLOOKUP('Données projet'!$B$9,Paramètres!$A$1:$I$89,3,0)*0.475*44/12</f>
        <v>2.7435584098777523</v>
      </c>
      <c r="AB70" s="21">
        <f>EXP(-LN(2)/2)*AB69+(1-EXP(-LN(2)/2))/(LN(2)/2)*V70*Y70*VLOOKUP('Données projet'!$B$9,Paramètres!$A$1:$I$89,3,0)*0.475*44/12</f>
        <v>1.2156680280823718E-6</v>
      </c>
      <c r="AC70" s="22">
        <f t="shared" si="57"/>
        <v>21.395776726347396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33.591999999999992</v>
      </c>
      <c r="D71" s="11">
        <f t="shared" si="86"/>
        <v>10.283337087665418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338.68681260654</v>
      </c>
      <c r="H71" s="67">
        <f t="shared" si="56"/>
        <v>333.08287876101724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80.239844009379794</v>
      </c>
      <c r="T71" s="59">
        <f t="shared" si="88"/>
        <v>226.38486687660168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18.286458500183969</v>
      </c>
      <c r="AA71" s="21">
        <f>EXP(-LN(2)/25)*AA70+(1-EXP(-LN(2)/25))/(LN(2)/25)*Calculateur!V71*Calculateur!X71*VLOOKUP('Données projet'!$B$9,Paramètres!$A$1:$I$89,3,0)*0.475*44/12</f>
        <v>2.6685356608821791</v>
      </c>
      <c r="AB71" s="21">
        <f>EXP(-LN(2)/2)*AB70+(1-EXP(-LN(2)/2))/(LN(2)/2)*V71*Y71*VLOOKUP('Données projet'!$B$9,Paramètres!$A$1:$I$89,3,0)*0.475*44/12</f>
        <v>8.5960710632872337E-7</v>
      </c>
      <c r="AC71" s="22">
        <f t="shared" si="57"/>
        <v>20.954995020673252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34.085999999999991</v>
      </c>
      <c r="D72" s="11">
        <f t="shared" si="86"/>
        <v>10.41684623515679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343.53074286787688</v>
      </c>
      <c r="H72" s="67">
        <f t="shared" si="56"/>
        <v>334.17579052623142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80.239844009379794</v>
      </c>
      <c r="T72" s="59">
        <f t="shared" si="88"/>
        <v>226.38486687660168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17.927872202633715</v>
      </c>
      <c r="AA72" s="21">
        <f>EXP(-LN(2)/25)*AA71+(1-EXP(-LN(2)/25))/(LN(2)/25)*Calculateur!V72*Calculateur!X72*VLOOKUP('Données projet'!$B$9,Paramètres!$A$1:$I$89,3,0)*0.475*44/12</f>
        <v>2.5955644129031645</v>
      </c>
      <c r="AB72" s="21">
        <f>EXP(-LN(2)/2)*AB71+(1-EXP(-LN(2)/2))/(LN(2)/2)*V72*Y72*VLOOKUP('Données projet'!$B$9,Paramètres!$A$1:$I$89,3,0)*0.475*44/12</f>
        <v>6.0783401404118588E-7</v>
      </c>
      <c r="AC72" s="22">
        <f t="shared" si="57"/>
        <v>20.523437223370895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34.579999999999991</v>
      </c>
      <c r="D73" s="11">
        <f t="shared" si="86"/>
        <v>10.550130340056088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348.37293595832762</v>
      </c>
      <c r="H73" s="67">
        <f t="shared" si="56"/>
        <v>335.26831034226433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80.239844009379794</v>
      </c>
      <c r="T73" s="59">
        <f t="shared" si="88"/>
        <v>226.38486687660168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17.576317563662379</v>
      </c>
      <c r="AA73" s="21">
        <f>EXP(-LN(2)/25)*AA72+(1-EXP(-LN(2)/25))/(LN(2)/25)*Calculateur!V73*Calculateur!X73*VLOOKUP('Données projet'!$B$9,Paramètres!$A$1:$I$89,3,0)*0.475*44/12</f>
        <v>2.5245885675375273</v>
      </c>
      <c r="AB73" s="21">
        <f>EXP(-LN(2)/2)*AB72+(1-EXP(-LN(2)/2))/(LN(2)/2)*V73*Y73*VLOOKUP('Données projet'!$B$9,Paramètres!$A$1:$I$89,3,0)*0.475*44/12</f>
        <v>4.2980355316436168E-7</v>
      </c>
      <c r="AC73" s="22">
        <f t="shared" si="57"/>
        <v>20.100906561003459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35.073999999999991</v>
      </c>
      <c r="D74" s="11">
        <f t="shared" si="86"/>
        <v>10.683192988734277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353.21341956215929</v>
      </c>
      <c r="H74" s="67">
        <f t="shared" si="56"/>
        <v>336.36044445537885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80.239844009379794</v>
      </c>
      <c r="T74" s="59">
        <f t="shared" si="88"/>
        <v>226.38486687660168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17.231656696734113</v>
      </c>
      <c r="AA74" s="21">
        <f>EXP(-LN(2)/25)*AA73+(1-EXP(-LN(2)/25))/(LN(2)/25)*Calculateur!V74*Calculateur!X74*VLOOKUP('Données projet'!$B$9,Paramètres!$A$1:$I$89,3,0)*0.475*44/12</f>
        <v>2.4555535603958707</v>
      </c>
      <c r="AB74" s="21">
        <f>EXP(-LN(2)/2)*AB73+(1-EXP(-LN(2)/2))/(LN(2)/2)*V74*Y74*VLOOKUP('Données projet'!$B$9,Paramètres!$A$1:$I$89,3,0)*0.475*44/12</f>
        <v>3.0391700702059294E-7</v>
      </c>
      <c r="AC74" s="22">
        <f t="shared" si="57"/>
        <v>19.687210561046989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35.567999999999991</v>
      </c>
      <c r="D75" s="11">
        <f t="shared" si="86"/>
        <v>10.816037660735203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358.05222053900849</v>
      </c>
      <c r="H75" s="67">
        <f t="shared" si="56"/>
        <v>337.45219892578046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80.239844009379794</v>
      </c>
      <c r="T75" s="59">
        <f t="shared" si="88"/>
        <v>226.38486687660168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16.893754419183939</v>
      </c>
      <c r="AA75" s="21">
        <f>EXP(-LN(2)/25)*AA74+(1-EXP(-LN(2)/25))/(LN(2)/25)*Calculateur!V75*Calculateur!X75*VLOOKUP('Données projet'!$B$9,Paramètres!$A$1:$I$89,3,0)*0.475*44/12</f>
        <v>2.3884063191548961</v>
      </c>
      <c r="AB75" s="21">
        <f>EXP(-LN(2)/2)*AB74+(1-EXP(-LN(2)/2))/(LN(2)/2)*V75*Y75*VLOOKUP('Données projet'!$B$9,Paramètres!$A$1:$I$89,3,0)*0.475*44/12</f>
        <v>2.1490177658218084E-7</v>
      </c>
      <c r="AC75" s="22">
        <f t="shared" si="57"/>
        <v>19.282160953240613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36.061999999999991</v>
      </c>
      <c r="D76" s="11">
        <f t="shared" si="86"/>
        <v>10.948667733396306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362.88936495955039</v>
      </c>
      <c r="H76" s="67">
        <f t="shared" si="56"/>
        <v>338.54357963566525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80.239844009379794</v>
      </c>
      <c r="T76" s="59">
        <f t="shared" si="88"/>
        <v>226.38486687660168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16.562478199196484</v>
      </c>
      <c r="AA76" s="21">
        <f>EXP(-LN(2)/25)*AA75+(1-EXP(-LN(2)/25))/(LN(2)/25)*Calculateur!V76*Calculateur!X76*VLOOKUP('Données projet'!$B$9,Paramètres!$A$1:$I$89,3,0)*0.475*44/12</f>
        <v>2.323095222756776</v>
      </c>
      <c r="AB76" s="21">
        <f>EXP(-LN(2)/2)*AB75+(1-EXP(-LN(2)/2))/(LN(2)/2)*V76*Y76*VLOOKUP('Données projet'!$B$9,Paramètres!$A$1:$I$89,3,0)*0.475*44/12</f>
        <v>1.5195850351029647E-7</v>
      </c>
      <c r="AC76" s="22">
        <f t="shared" si="57"/>
        <v>18.885573573911763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36.55599999999999</v>
      </c>
      <c r="D77" s="11">
        <f t="shared" si="86"/>
        <v>11.081086486208886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367.72487813915626</v>
      </c>
      <c r="H77" s="67">
        <f t="shared" si="56"/>
        <v>339.63459229681382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80.239844009379794</v>
      </c>
      <c r="T77" s="59">
        <f t="shared" si="88"/>
        <v>226.38486687660168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16.237698103824442</v>
      </c>
      <c r="AA77" s="21">
        <f>EXP(-LN(2)/25)*AA76+(1-EXP(-LN(2)/25))/(LN(2)/25)*Calculateur!V77*Calculateur!X77*VLOOKUP('Données projet'!$B$9,Paramètres!$A$1:$I$89,3,0)*0.475*44/12</f>
        <v>2.2595700617242236</v>
      </c>
      <c r="AB77" s="21">
        <f>EXP(-LN(2)/2)*AB76+(1-EXP(-LN(2)/2))/(LN(2)/2)*V77*Y77*VLOOKUP('Données projet'!$B$9,Paramètres!$A$1:$I$89,3,0)*0.475*44/12</f>
        <v>1.0745088829109042E-7</v>
      </c>
      <c r="AC77" s="22">
        <f t="shared" si="57"/>
        <v>18.497268272999552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37.04999999999999</v>
      </c>
      <c r="D78" s="11">
        <f t="shared" si="86"/>
        <v>11.21329710493602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372.55878466968147</v>
      </c>
      <c r="H78" s="67">
        <f t="shared" si="56"/>
        <v>340.72524245776356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80.239844009379794</v>
      </c>
      <c r="T78" s="59">
        <f t="shared" si="88"/>
        <v>226.38486687660168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15.919286748026348</v>
      </c>
      <c r="AA78" s="21">
        <f>EXP(-LN(2)/25)*AA77+(1-EXP(-LN(2)/25))/(LN(2)/25)*Calculateur!V78*Calculateur!X78*VLOOKUP('Données projet'!$B$9,Paramètres!$A$1:$I$89,3,0)*0.475*44/12</f>
        <v>2.1977819995607493</v>
      </c>
      <c r="AB78" s="21">
        <f>EXP(-LN(2)/2)*AB77+(1-EXP(-LN(2)/2))/(LN(2)/2)*V78*Y78*VLOOKUP('Données projet'!$B$9,Paramètres!$A$1:$I$89,3,0)*0.475*44/12</f>
        <v>7.5979251755148235E-8</v>
      </c>
      <c r="AC78" s="22">
        <f t="shared" si="57"/>
        <v>18.117068823566349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37.54399999999999</v>
      </c>
      <c r="D79" s="11">
        <f t="shared" si="86"/>
        <v>11.345302685504603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377.39110844950909</v>
      </c>
      <c r="H79" s="67">
        <f t="shared" si="56"/>
        <v>341.81553551058715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80.239844009379794</v>
      </c>
      <c r="T79" s="59">
        <f t="shared" si="88"/>
        <v>226.38486687660168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15.607119244703703</v>
      </c>
      <c r="AA79" s="21">
        <f>EXP(-LN(2)/25)*AA78+(1-EXP(-LN(2)/25))/(LN(2)/25)*Calculateur!V79*Calculateur!X79*VLOOKUP('Données projet'!$B$9,Paramètres!$A$1:$I$89,3,0)*0.475*44/12</f>
        <v>2.1376835352064285</v>
      </c>
      <c r="AB79" s="21">
        <f>EXP(-LN(2)/2)*AB78+(1-EXP(-LN(2)/2))/(LN(2)/2)*V79*Y79*VLOOKUP('Données projet'!$B$9,Paramètres!$A$1:$I$89,3,0)*0.475*44/12</f>
        <v>5.372544414554521E-8</v>
      </c>
      <c r="AC79" s="22">
        <f t="shared" si="57"/>
        <v>17.744802833635575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38.03799999999999</v>
      </c>
      <c r="D80" s="11">
        <f t="shared" si="86"/>
        <v>11.47710623768668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382.22187271196725</v>
      </c>
      <c r="H80" s="67">
        <f t="shared" si="56"/>
        <v>342.90547669730427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80.239844009379794</v>
      </c>
      <c r="T80" s="59">
        <f t="shared" si="88"/>
        <v>226.38486687660168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15.301073155717841</v>
      </c>
      <c r="AA80" s="21">
        <f>EXP(-LN(2)/25)*AA79+(1-EXP(-LN(2)/25))/(LN(2)/25)*Calculateur!V80*Calculateur!X80*VLOOKUP('Données projet'!$B$9,Paramètres!$A$1:$I$89,3,0)*0.475*44/12</f>
        <v>2.0792284665203176</v>
      </c>
      <c r="AB80" s="21">
        <f>EXP(-LN(2)/2)*AB79+(1-EXP(-LN(2)/2))/(LN(2)/2)*V80*Y80*VLOOKUP('Données projet'!$B$9,Paramètres!$A$1:$I$89,3,0)*0.475*44/12</f>
        <v>3.7989625877574117E-8</v>
      </c>
      <c r="AC80" s="22">
        <f t="shared" si="57"/>
        <v>17.380301660227783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38.531999999999989</v>
      </c>
      <c r="D81" s="11">
        <f t="shared" si="86"/>
        <v>11.60871068858415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387.05110005222849</v>
      </c>
      <c r="H81" s="67">
        <f t="shared" si="56"/>
        <v>343.99507111595074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80.239844009379794</v>
      </c>
      <c r="T81" s="59">
        <f t="shared" si="88"/>
        <v>226.38486687660168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15.001028443867309</v>
      </c>
      <c r="AA81" s="21">
        <f>EXP(-LN(2)/25)*AA80+(1-EXP(-LN(2)/25))/(LN(2)/25)*Calculateur!V81*Calculateur!X81*VLOOKUP('Données projet'!$B$9,Paramètres!$A$1:$I$89,3,0)*0.475*44/12</f>
        <v>2.0223718547614467</v>
      </c>
      <c r="AB81" s="21">
        <f>EXP(-LN(2)/2)*AB80+(1-EXP(-LN(2)/2))/(LN(2)/2)*V81*Y81*VLOOKUP('Données projet'!$B$9,Paramètres!$A$1:$I$89,3,0)*0.475*44/12</f>
        <v>2.6862722072772605E-8</v>
      </c>
      <c r="AC81" s="22">
        <f t="shared" si="57"/>
        <v>17.023400325491476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39.025999999999989</v>
      </c>
      <c r="D82" s="11">
        <f t="shared" si="86"/>
        <v>11.740118885929625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391.87881245279004</v>
      </c>
      <c r="H82" s="67">
        <f t="shared" si="56"/>
        <v>345.08432372632745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80.239844009379794</v>
      </c>
      <c r="T82" s="59">
        <f t="shared" si="88"/>
        <v>226.38486687660168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14.706867425806962</v>
      </c>
      <c r="AA82" s="21">
        <f>EXP(-LN(2)/25)*AA81+(1-EXP(-LN(2)/25))/(LN(2)/25)*Calculateur!V82*Calculateur!X82*VLOOKUP('Données projet'!$B$9,Paramètres!$A$1:$I$89,3,0)*0.475*44/12</f>
        <v>1.9670699900410813</v>
      </c>
      <c r="AB82" s="21">
        <f>EXP(-LN(2)/2)*AB81+(1-EXP(-LN(2)/2))/(LN(2)/2)*V82*Y82*VLOOKUP('Données projet'!$B$9,Paramètres!$A$1:$I$89,3,0)*0.475*44/12</f>
        <v>1.8994812938787059E-8</v>
      </c>
      <c r="AC82" s="22">
        <f t="shared" si="57"/>
        <v>16.673937434842859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39.519999999999989</v>
      </c>
      <c r="D83" s="11">
        <f t="shared" si="86"/>
        <v>11.87133360121544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396.70503130762791</v>
      </c>
      <c r="H83" s="67">
        <f t="shared" si="56"/>
        <v>346.17323935545022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80.239844009379794</v>
      </c>
      <c r="T83" s="59">
        <f t="shared" si="88"/>
        <v>226.38486687660168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14.418474725890274</v>
      </c>
      <c r="AA83" s="21">
        <f>EXP(-LN(2)/25)*AA82+(1-EXP(-LN(2)/25))/(LN(2)/25)*Calculateur!V83*Calculateur!X83*VLOOKUP('Données projet'!$B$9,Paramètres!$A$1:$I$89,3,0)*0.475*44/12</f>
        <v>1.9132803577196928</v>
      </c>
      <c r="AB83" s="21">
        <f>EXP(-LN(2)/2)*AB82+(1-EXP(-LN(2)/2))/(LN(2)/2)*V83*Y83*VLOOKUP('Données projet'!$B$9,Paramètres!$A$1:$I$89,3,0)*0.475*44/12</f>
        <v>1.3431361036386303E-8</v>
      </c>
      <c r="AC83" s="22">
        <f t="shared" si="57"/>
        <v>16.331755097041327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40.013999999999989</v>
      </c>
      <c r="D84" s="11">
        <f t="shared" si="86"/>
        <v>12.002357532661732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401.52977744510804</v>
      </c>
      <c r="H84" s="67">
        <f t="shared" si="56"/>
        <v>347.2618227027192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80.239844009379794</v>
      </c>
      <c r="T84" s="59">
        <f t="shared" si="88"/>
        <v>226.38486687660168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14.135737230916773</v>
      </c>
      <c r="AA84" s="21">
        <f>EXP(-LN(2)/25)*AA83+(1-EXP(-LN(2)/25))/(LN(2)/25)*Calculateur!V84*Calculateur!X84*VLOOKUP('Données projet'!$B$9,Paramètres!$A$1:$I$89,3,0)*0.475*44/12</f>
        <v>1.8609616057228067</v>
      </c>
      <c r="AB84" s="21">
        <f>EXP(-LN(2)/2)*AB83+(1-EXP(-LN(2)/2))/(LN(2)/2)*V84*Y84*VLOOKUP('Données projet'!$B$9,Paramètres!$A$1:$I$89,3,0)*0.475*44/12</f>
        <v>9.4974064693935293E-9</v>
      </c>
      <c r="AC84" s="22">
        <f t="shared" si="57"/>
        <v>15.996698846136987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40.507999999999988</v>
      </c>
      <c r="D85" s="11">
        <f t="shared" si="86"/>
        <v>12.133193308033777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406.35307114973438</v>
      </c>
      <c r="H85" s="67">
        <f t="shared" si="56"/>
        <v>348.35007834482548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80.239844009379794</v>
      </c>
      <c r="T85" s="59">
        <f t="shared" si="88"/>
        <v>226.38486687660168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13.858544045766859</v>
      </c>
      <c r="AA85" s="21">
        <f>EXP(-LN(2)/25)*AA84+(1-EXP(-LN(2)/25))/(LN(2)/25)*Calculateur!V85*Calculateur!X85*VLOOKUP('Données projet'!$B$9,Paramètres!$A$1:$I$89,3,0)*0.475*44/12</f>
        <v>1.8100735127505989</v>
      </c>
      <c r="AB85" s="21">
        <f>EXP(-LN(2)/2)*AB84+(1-EXP(-LN(2)/2))/(LN(2)/2)*V85*Y85*VLOOKUP('Données projet'!$B$9,Paramètres!$A$1:$I$89,3,0)*0.475*44/12</f>
        <v>6.7156805181931513E-9</v>
      </c>
      <c r="AC85" s="22">
        <f t="shared" si="57"/>
        <v>15.668617565233138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41.001999999999988</v>
      </c>
      <c r="D86" s="11">
        <f t="shared" si="86"/>
        <v>12.263843487317986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411.17493218280543</v>
      </c>
      <c r="H86" s="67">
        <f t="shared" si="56"/>
        <v>349.43801074041215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80.239844009379794</v>
      </c>
      <c r="T86" s="59">
        <f t="shared" si="88"/>
        <v>226.38486687660168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13.586786449906587</v>
      </c>
      <c r="AA86" s="21">
        <f>EXP(-LN(2)/25)*AA85+(1-EXP(-LN(2)/25))/(LN(2)/25)*Calculateur!V86*Calculateur!X86*VLOOKUP('Données projet'!$B$9,Paramètres!$A$1:$I$89,3,0)*0.475*44/12</f>
        <v>1.7605769573568046</v>
      </c>
      <c r="AB86" s="21">
        <f>EXP(-LN(2)/2)*AB85+(1-EXP(-LN(2)/2))/(LN(2)/2)*V86*Y86*VLOOKUP('Données projet'!$B$9,Paramètres!$A$1:$I$89,3,0)*0.475*44/12</f>
        <v>4.7487032346967647E-9</v>
      </c>
      <c r="AC86" s="22">
        <f t="shared" si="57"/>
        <v>15.347363412012093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41.495999999999988</v>
      </c>
      <c r="D87" s="11">
        <f t="shared" si="86"/>
        <v>12.394310565265267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415.99537980204758</v>
      </c>
      <c r="H87" s="67">
        <f t="shared" si="56"/>
        <v>350.52562423450365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80.239844009379794</v>
      </c>
      <c r="T87" s="59">
        <f t="shared" si="88"/>
        <v>226.38486687660168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13.320357854745367</v>
      </c>
      <c r="AA87" s="21">
        <f>EXP(-LN(2)/25)*AA86+(1-EXP(-LN(2)/25))/(LN(2)/25)*Calculateur!V87*Calculateur!X87*VLOOKUP('Données projet'!$B$9,Paramètres!$A$1:$I$89,3,0)*0.475*44/12</f>
        <v>1.7124338878731644</v>
      </c>
      <c r="AB87" s="21">
        <f>EXP(-LN(2)/2)*AB86+(1-EXP(-LN(2)/2))/(LN(2)/2)*V87*Y87*VLOOKUP('Données projet'!$B$9,Paramètres!$A$1:$I$89,3,0)*0.475*44/12</f>
        <v>3.3578402590965756E-9</v>
      </c>
      <c r="AC87" s="22">
        <f t="shared" si="57"/>
        <v>15.032791745976372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41.989999999999988</v>
      </c>
      <c r="D88" s="11">
        <f t="shared" si="86"/>
        <v>12.524596973809777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420.81443278028593</v>
      </c>
      <c r="H88" s="67">
        <f t="shared" si="56"/>
        <v>351.61292306271866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80.239844009379794</v>
      </c>
      <c r="T88" s="59">
        <f t="shared" si="88"/>
        <v>226.38486687660168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13.059153761829863</v>
      </c>
      <c r="AA88" s="21">
        <f>EXP(-LN(2)/25)*AA87+(1-EXP(-LN(2)/25))/(LN(2)/25)*Calculateur!V88*Calculateur!X88*VLOOKUP('Données projet'!$B$9,Paramètres!$A$1:$I$89,3,0)*0.475*44/12</f>
        <v>1.6656072931562884</v>
      </c>
      <c r="AB88" s="21">
        <f>EXP(-LN(2)/2)*AB87+(1-EXP(-LN(2)/2))/(LN(2)/2)*V88*Y88*VLOOKUP('Données projet'!$B$9,Paramètres!$A$1:$I$89,3,0)*0.475*44/12</f>
        <v>2.3743516173483823E-9</v>
      </c>
      <c r="AC88" s="22">
        <f t="shared" si="57"/>
        <v>14.724761057360503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42.483999999999988</v>
      </c>
      <c r="D89" s="11">
        <f t="shared" si="86"/>
        <v>12.654705084370677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425.63210942321211</v>
      </c>
      <c r="H89" s="67">
        <f t="shared" si="56"/>
        <v>352.69991135527891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80.239844009379794</v>
      </c>
      <c r="T89" s="59">
        <f t="shared" si="88"/>
        <v>226.38486687660168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12.803071721857666</v>
      </c>
      <c r="AA89" s="21">
        <f>EXP(-LN(2)/25)*AA88+(1-EXP(-LN(2)/25))/(LN(2)/25)*Calculateur!V89*Calculateur!X89*VLOOKUP('Données projet'!$B$9,Paramètres!$A$1:$I$89,3,0)*0.475*44/12</f>
        <v>1.6200611741344491</v>
      </c>
      <c r="AB89" s="21">
        <f>EXP(-LN(2)/2)*AB88+(1-EXP(-LN(2)/2))/(LN(2)/2)*V89*Y89*VLOOKUP('Données projet'!$B$9,Paramètres!$A$1:$I$89,3,0)*0.475*44/12</f>
        <v>1.6789201295482878E-9</v>
      </c>
      <c r="AC89" s="22">
        <f t="shared" si="57"/>
        <v>14.423132897671035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42.977999999999987</v>
      </c>
      <c r="D90" s="11">
        <f t="shared" si="86"/>
        <v>12.784637210043719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430.44842758630233</v>
      </c>
      <c r="H90" s="67">
        <f t="shared" si="56"/>
        <v>353.78659314082614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80.239844009379794</v>
      </c>
      <c r="T90" s="59">
        <f t="shared" si="88"/>
        <v>226.38486687660168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12.552011294494703</v>
      </c>
      <c r="AA90" s="21">
        <f>EXP(-LN(2)/25)*AA89+(1-EXP(-LN(2)/25))/(LN(2)/25)*Calculateur!V90*Calculateur!X90*VLOOKUP('Données projet'!$B$9,Paramètres!$A$1:$I$89,3,0)*0.475*44/12</f>
        <v>1.5757605161324282</v>
      </c>
      <c r="AB90" s="21">
        <f>EXP(-LN(2)/2)*AB89+(1-EXP(-LN(2)/2))/(LN(2)/2)*V90*Y90*VLOOKUP('Données projet'!$B$9,Paramètres!$A$1:$I$89,3,0)*0.475*44/12</f>
        <v>1.1871758086741912E-9</v>
      </c>
      <c r="AC90" s="22">
        <f t="shared" si="57"/>
        <v>14.127771811814307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43.471999999999987</v>
      </c>
      <c r="D91" s="11">
        <f t="shared" si="86"/>
        <v>12.914395607689229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435.26340469093435</v>
      </c>
      <c r="H91" s="67">
        <f t="shared" si="56"/>
        <v>354.87297235005872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80.239844009379794</v>
      </c>
      <c r="T91" s="59">
        <f t="shared" si="88"/>
        <v>226.38486687660168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12.305874008980586</v>
      </c>
      <c r="AA91" s="21">
        <f>EXP(-LN(2)/25)*AA90+(1-EXP(-LN(2)/25))/(LN(2)/25)*Calculateur!V91*Calculateur!X91*VLOOKUP('Données projet'!$B$9,Paramètres!$A$1:$I$89,3,0)*0.475*44/12</f>
        <v>1.5326712619531428</v>
      </c>
      <c r="AB91" s="21">
        <f>EXP(-LN(2)/2)*AB90+(1-EXP(-LN(2)/2))/(LN(2)/2)*V91*Y91*VLOOKUP('Données projet'!$B$9,Paramètres!$A$1:$I$89,3,0)*0.475*44/12</f>
        <v>8.3946006477414391E-10</v>
      </c>
      <c r="AC91" s="22">
        <f t="shared" si="57"/>
        <v>13.838545271773189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43.965999999999987</v>
      </c>
      <c r="D92" s="11">
        <f t="shared" si="86"/>
        <v>13.043982479922438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440.07705773975209</v>
      </c>
      <c r="H92" s="67">
        <f t="shared" si="56"/>
        <v>355.95905281919823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80.239844009379794</v>
      </c>
      <c r="T92" s="59">
        <f t="shared" si="88"/>
        <v>226.38486687660168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12.064563325506482</v>
      </c>
      <c r="AA92" s="21">
        <f>EXP(-LN(2)/25)*AA91+(1-EXP(-LN(2)/25))/(LN(2)/25)*Calculateur!V92*Calculateur!X92*VLOOKUP('Données projet'!$B$9,Paramètres!$A$1:$I$89,3,0)*0.475*44/12</f>
        <v>1.4907602856953555</v>
      </c>
      <c r="AB92" s="21">
        <f>EXP(-LN(2)/2)*AB91+(1-EXP(-LN(2)/2))/(LN(2)/2)*V92*Y92*VLOOKUP('Données projet'!$B$9,Paramètres!$A$1:$I$89,3,0)*0.475*44/12</f>
        <v>5.9358790433709558E-10</v>
      </c>
      <c r="AC92" s="22">
        <f t="shared" si="57"/>
        <v>13.555323611795425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44.459999999999987</v>
      </c>
      <c r="D93" s="11">
        <f t="shared" si="86"/>
        <v>13.173399977011854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444.8894033313195</v>
      </c>
      <c r="H93" s="67">
        <f t="shared" si="56"/>
        <v>357.04483829329564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80.239844009379794</v>
      </c>
      <c r="T93" s="59">
        <f t="shared" si="88"/>
        <v>226.38486687660168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11.827984597350321</v>
      </c>
      <c r="AA93" s="21">
        <f>EXP(-LN(2)/25)*AA92+(1-EXP(-LN(2)/25))/(LN(2)/25)*Calculateur!V93*Calculateur!X93*VLOOKUP('Données projet'!$B$9,Paramètres!$A$1:$I$89,3,0)*0.475*44/12</f>
        <v>1.4499953672873398</v>
      </c>
      <c r="AB93" s="21">
        <f>EXP(-LN(2)/2)*AB92+(1-EXP(-LN(2)/2))/(LN(2)/2)*V93*Y93*VLOOKUP('Données projet'!$B$9,Paramètres!$A$1:$I$89,3,0)*0.475*44/12</f>
        <v>4.1973003238707196E-10</v>
      </c>
      <c r="AC93" s="22">
        <f t="shared" si="57"/>
        <v>13.277979965057391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44.953999999999986</v>
      </c>
      <c r="D94" s="11">
        <f t="shared" si="86"/>
        <v>13.302650198690802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449.70045767410437</v>
      </c>
      <c r="H94" s="67">
        <f t="shared" si="56"/>
        <v>358.1303324293865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80.239844009379794</v>
      </c>
      <c r="T94" s="59">
        <f t="shared" si="88"/>
        <v>226.38486687660168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11.596045033754526</v>
      </c>
      <c r="AA94" s="21">
        <f>EXP(-LN(2)/25)*AA93+(1-EXP(-LN(2)/25))/(LN(2)/25)*Calculateur!V94*Calculateur!X94*VLOOKUP('Données projet'!$B$9,Paramètres!$A$1:$I$89,3,0)*0.475*44/12</f>
        <v>1.4103451677169252</v>
      </c>
      <c r="AB94" s="21">
        <f>EXP(-LN(2)/2)*AB93+(1-EXP(-LN(2)/2))/(LN(2)/2)*V94*Y94*VLOOKUP('Données projet'!$B$9,Paramètres!$A$1:$I$89,3,0)*0.475*44/12</f>
        <v>2.9679395216854779E-10</v>
      </c>
      <c r="AC94" s="22">
        <f t="shared" si="57"/>
        <v>13.006390201768244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45.447999999999986</v>
      </c>
      <c r="D95" s="11">
        <f t="shared" si="86"/>
        <v>13.431735195887134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454.51023659983042</v>
      </c>
      <c r="H95" s="67">
        <f t="shared" si="56"/>
        <v>359.21553879950341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80.239844009379794</v>
      </c>
      <c r="T95" s="59">
        <f t="shared" si="88"/>
        <v>226.38486687660168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11.368653663531681</v>
      </c>
      <c r="AA95" s="21">
        <f>EXP(-LN(2)/25)*AA94+(1-EXP(-LN(2)/25))/(LN(2)/25)*Calculateur!V95*Calculateur!X95*VLOOKUP('Données projet'!$B$9,Paramètres!$A$1:$I$89,3,0)*0.475*44/12</f>
        <v>1.3717792049388768</v>
      </c>
      <c r="AB95" s="21">
        <f>EXP(-LN(2)/2)*AB94+(1-EXP(-LN(2)/2))/(LN(2)/2)*V95*Y95*VLOOKUP('Données projet'!$B$9,Paramètres!$A$1:$I$89,3,0)*0.475*44/12</f>
        <v>2.0986501619353598E-10</v>
      </c>
      <c r="AC95" s="22">
        <f t="shared" si="57"/>
        <v>12.740432868680424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45.941999999999986</v>
      </c>
      <c r="D96" s="11">
        <f t="shared" si="86"/>
        <v>13.560656972375495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459.31875557623181</v>
      </c>
      <c r="H96" s="67">
        <f t="shared" si="56"/>
        <v>360.30046089355397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80.239844009379794</v>
      </c>
      <c r="T96" s="59">
        <f t="shared" si="88"/>
        <v>226.38486687660168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11.145721299383865</v>
      </c>
      <c r="AA96" s="21">
        <f>EXP(-LN(2)/25)*AA95+(1-EXP(-LN(2)/25))/(LN(2)/25)*Calculateur!V96*Calculateur!X96*VLOOKUP('Données projet'!$B$9,Paramètres!$A$1:$I$89,3,0)*0.475*44/12</f>
        <v>1.3342678304410902</v>
      </c>
      <c r="AB96" s="21">
        <f>EXP(-LN(2)/2)*AB95+(1-EXP(-LN(2)/2))/(LN(2)/2)*V96*Y96*VLOOKUP('Données projet'!$B$9,Paramètres!$A$1:$I$89,3,0)*0.475*44/12</f>
        <v>1.483969760842739E-10</v>
      </c>
      <c r="AC96" s="22">
        <f t="shared" si="57"/>
        <v>12.479989129973353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46.435999999999986</v>
      </c>
      <c r="D97" s="11">
        <f t="shared" si="86"/>
        <v>13.689417486356579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464.12602971924372</v>
      </c>
      <c r="H97" s="67">
        <f t="shared" si="56"/>
        <v>361.38510212207103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80.239844009379794</v>
      </c>
      <c r="T97" s="59">
        <f t="shared" si="88"/>
        <v>226.38486687660168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10.927160502921671</v>
      </c>
      <c r="AA97" s="21">
        <f>EXP(-LN(2)/25)*AA96+(1-EXP(-LN(2)/25))/(LN(2)/25)*Calculateur!V97*Calculateur!X97*VLOOKUP('Données projet'!$B$9,Paramètres!$A$1:$I$89,3,0)*0.475*44/12</f>
        <v>1.2977822064515829</v>
      </c>
      <c r="AB97" s="21">
        <f>EXP(-LN(2)/2)*AB96+(1-EXP(-LN(2)/2))/(LN(2)/2)*V97*Y97*VLOOKUP('Données projet'!$B$9,Paramètres!$A$1:$I$89,3,0)*0.475*44/12</f>
        <v>1.0493250809676799E-10</v>
      </c>
      <c r="AC97" s="22">
        <f t="shared" si="57"/>
        <v>12.224942709478187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46.929999999999986</v>
      </c>
      <c r="D98" s="11">
        <f t="shared" si="86"/>
        <v>13.818018651967211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468.93207380465907</v>
      </c>
      <c r="H98" s="67">
        <f t="shared" si="56"/>
        <v>362.46946581884288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80.239844009379794</v>
      </c>
      <c r="T98" s="59">
        <f t="shared" si="88"/>
        <v>226.38486687660168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10.71288555036918</v>
      </c>
      <c r="AA98" s="21">
        <f>EXP(-LN(2)/25)*AA97+(1-EXP(-LN(2)/25))/(LN(2)/25)*Calculateur!V98*Calculateur!X98*VLOOKUP('Données projet'!$B$9,Paramètres!$A$1:$I$89,3,0)*0.475*44/12</f>
        <v>1.2622942837687643</v>
      </c>
      <c r="AB98" s="21">
        <f>EXP(-LN(2)/2)*AB97+(1-EXP(-LN(2)/2))/(LN(2)/2)*V98*Y98*VLOOKUP('Données projet'!$B$9,Paramètres!$A$1:$I$89,3,0)*0.475*44/12</f>
        <v>7.4198488042136948E-11</v>
      </c>
      <c r="AC98" s="22">
        <f t="shared" si="57"/>
        <v>11.975179834212142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47.423999999999985</v>
      </c>
      <c r="D99" s="11">
        <f t="shared" si="86"/>
        <v>13.946462340725052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473.73690227928097</v>
      </c>
      <c r="H99" s="67">
        <f t="shared" si="56"/>
        <v>363.55355524342946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80.239844009379794</v>
      </c>
      <c r="T99" s="59">
        <f t="shared" si="88"/>
        <v>226.38486687660168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10.502812398941426</v>
      </c>
      <c r="AA99" s="21">
        <f>EXP(-LN(2)/25)*AA98+(1-EXP(-LN(2)/25))/(LN(2)/25)*Calculateur!V99*Calculateur!X99*VLOOKUP('Données projet'!$B$9,Paramètres!$A$1:$I$89,3,0)*0.475*44/12</f>
        <v>1.227776780197936</v>
      </c>
      <c r="AB99" s="21">
        <f>EXP(-LN(2)/2)*AB98+(1-EXP(-LN(2)/2))/(LN(2)/2)*V99*Y99*VLOOKUP('Données projet'!$B$9,Paramètres!$A$1:$I$89,3,0)*0.475*44/12</f>
        <v>5.2466254048383994E-11</v>
      </c>
      <c r="AC99" s="22">
        <f t="shared" si="57"/>
        <v>11.730589179191828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47.917999999999985</v>
      </c>
      <c r="D100" s="11">
        <f t="shared" si="86"/>
        <v>14.074750382911397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478.5405292715966</v>
      </c>
      <c r="H100" s="67">
        <f t="shared" si="56"/>
        <v>364.63737358357065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80.239844009379794</v>
      </c>
      <c r="T100" s="59">
        <f t="shared" si="88"/>
        <v>226.38486687660168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10.2968586538812</v>
      </c>
      <c r="AA100" s="21">
        <f>EXP(-LN(2)/25)*AA99+(1-EXP(-LN(2)/25))/(LN(2)/25)*Calculateur!V100*Calculateur!X100*VLOOKUP('Données projet'!$B$9,Paramètres!$A$1:$I$89,3,0)*0.475*44/12</f>
        <v>1.1942031595774487</v>
      </c>
      <c r="AB100" s="21">
        <f>EXP(-LN(2)/2)*AB99+(1-EXP(-LN(2)/2))/(LN(2)/2)*V100*Y100*VLOOKUP('Données projet'!$B$9,Paramètres!$A$1:$I$89,3,0)*0.475*44/12</f>
        <v>3.7099244021068474E-11</v>
      </c>
      <c r="AC100" s="22">
        <f t="shared" si="57"/>
        <v>11.491061813495747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48.411999999999985</v>
      </c>
      <c r="D101" s="11">
        <f t="shared" si="86"/>
        <v>14.202884568895271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483.34296860199851</v>
      </c>
      <c r="H101" s="67">
        <f t="shared" si="56"/>
        <v>365.72092395749257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80.239844009379794</v>
      </c>
      <c r="T101" s="59">
        <f t="shared" si="88"/>
        <v>226.38486687660168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10.094943536142225</v>
      </c>
      <c r="AA101" s="21">
        <f>EXP(-LN(2)/25)*AA100+(1-EXP(-LN(2)/25))/(LN(2)/25)*Calculateur!V101*Calculateur!X101*VLOOKUP('Données projet'!$B$9,Paramètres!$A$1:$I$89,3,0)*0.475*44/12</f>
        <v>1.1615476113783887</v>
      </c>
      <c r="AB101" s="21">
        <f>EXP(-LN(2)/2)*AB100+(1-EXP(-LN(2)/2))/(LN(2)/2)*V101*Y101*VLOOKUP('Données projet'!$B$9,Paramètres!$A$1:$I$89,3,0)*0.475*44/12</f>
        <v>2.6233127024191997E-11</v>
      </c>
      <c r="AC101" s="22">
        <f t="shared" si="57"/>
        <v>11.256491147546846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48.905999999999985</v>
      </c>
      <c r="D102" s="11">
        <f t="shared" si="86"/>
        <v>14.330866650402021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488.14423379257687</v>
      </c>
      <c r="H102" s="67">
        <f t="shared" si="56"/>
        <v>366.80420941611686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80.239844009379794</v>
      </c>
      <c r="T102" s="59">
        <f t="shared" si="88"/>
        <v>226.38486687660168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9.8969878507060489</v>
      </c>
      <c r="AA102" s="21">
        <f>EXP(-LN(2)/25)*AA101+(1-EXP(-LN(2)/25))/(LN(2)/25)*Calculateur!V102*Calculateur!X102*VLOOKUP('Données projet'!$B$9,Paramètres!$A$1:$I$89,3,0)*0.475*44/12</f>
        <v>1.1297850308621125</v>
      </c>
      <c r="AB102" s="21">
        <f>EXP(-LN(2)/2)*AB101+(1-EXP(-LN(2)/2))/(LN(2)/2)*V102*Y102*VLOOKUP('Données projet'!$B$9,Paramètres!$A$1:$I$89,3,0)*0.475*44/12</f>
        <v>1.8549622010534237E-11</v>
      </c>
      <c r="AC102" s="22">
        <f t="shared" si="57"/>
        <v>11.026772881586712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49.399999999999984</v>
      </c>
      <c r="D103" s="11">
        <f t="shared" si="86"/>
        <v>14.458698341729095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492.94433807650518</v>
      </c>
      <c r="H103" s="67">
        <f t="shared" si="56"/>
        <v>367.88723294517814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80.239844009379794</v>
      </c>
      <c r="T103" s="59">
        <f t="shared" si="88"/>
        <v>226.38486687660168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9.7029139555202306</v>
      </c>
      <c r="AA103" s="21">
        <f>EXP(-LN(2)/25)*AA102+(1-EXP(-LN(2)/25))/(LN(2)/25)*Calculateur!V103*Calculateur!X103*VLOOKUP('Données projet'!$B$9,Paramètres!$A$1:$I$89,3,0)*0.475*44/12</f>
        <v>1.0988909997803753</v>
      </c>
      <c r="AB103" s="21">
        <f>EXP(-LN(2)/2)*AB102+(1-EXP(-LN(2)/2))/(LN(2)/2)*V103*Y103*VLOOKUP('Données projet'!$B$9,Paramètres!$A$1:$I$89,3,0)*0.475*44/12</f>
        <v>1.3116563512095999E-11</v>
      </c>
      <c r="AC103" s="22">
        <f t="shared" si="57"/>
        <v>10.801804955313722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49.893999999999984</v>
      </c>
      <c r="D104" s="11">
        <f t="shared" si="86"/>
        <v>14.586381320911869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497.74329440703883</v>
      </c>
      <c r="H104" s="67">
        <f t="shared" si="56"/>
        <v>368.96999746725481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80.239844009379794</v>
      </c>
      <c r="T104" s="59">
        <f t="shared" si="88"/>
        <v>226.38486687660168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9.5126457310456196</v>
      </c>
      <c r="AA104" s="21">
        <f>EXP(-LN(2)/25)*AA103+(1-EXP(-LN(2)/25))/(LN(2)/25)*Calculateur!V104*Calculateur!X104*VLOOKUP('Données projet'!$B$9,Paramètres!$A$1:$I$89,3,0)*0.475*44/12</f>
        <v>1.0688417676032147</v>
      </c>
      <c r="AB104" s="21">
        <f>EXP(-LN(2)/2)*AB103+(1-EXP(-LN(2)/2))/(LN(2)/2)*V104*Y104*VLOOKUP('Données projet'!$B$9,Paramètres!$A$1:$I$89,3,0)*0.475*44/12</f>
        <v>9.2748110052671185E-12</v>
      </c>
      <c r="AC104" s="22">
        <f t="shared" si="57"/>
        <v>10.581487498658108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50.387999999999984</v>
      </c>
      <c r="D105" s="11">
        <f t="shared" si="86"/>
        <v>14.713917230841966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502.54111546614837</v>
      </c>
      <c r="H105" s="67">
        <f t="shared" si="56"/>
        <v>370.0525058437164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80.239844009379794</v>
      </c>
      <c r="T105" s="59">
        <f t="shared" si="88"/>
        <v>226.38486687660168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9.3261085504007966</v>
      </c>
      <c r="AA105" s="21">
        <f>EXP(-LN(2)/25)*AA104+(1-EXP(-LN(2)/25))/(LN(2)/25)*Calculateur!V105*Calculateur!X105*VLOOKUP('Données projet'!$B$9,Paramètres!$A$1:$I$89,3,0)*0.475*44/12</f>
        <v>1.039614233260159</v>
      </c>
      <c r="AB105" s="21">
        <f>EXP(-LN(2)/2)*AB104+(1-EXP(-LN(2)/2))/(LN(2)/2)*V105*Y105*VLOOKUP('Données projet'!$B$9,Paramètres!$A$1:$I$89,3,0)*0.475*44/12</f>
        <v>6.5582817560479993E-12</v>
      </c>
      <c r="AC105" s="22">
        <f t="shared" si="57"/>
        <v>10.365722783667515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50.881999999999984</v>
      </c>
      <c r="D106" s="11">
        <f t="shared" si="86"/>
        <v>14.841307680340405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507.33781367280295</v>
      </c>
      <c r="H106" s="67">
        <f t="shared" si="56"/>
        <v>371.13476087659285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80.239844009379794</v>
      </c>
      <c r="T106" s="59">
        <f t="shared" si="88"/>
        <v>226.38486687660168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9.1432292500919736</v>
      </c>
      <c r="AA106" s="21">
        <f>EXP(-LN(2)/25)*AA105+(1-EXP(-LN(2)/25))/(LN(2)/25)*Calculateur!V106*Calculateur!X106*VLOOKUP('Données projet'!$B$9,Paramètres!$A$1:$I$89,3,0)*0.475*44/12</f>
        <v>1.0111859273807235</v>
      </c>
      <c r="AB106" s="21">
        <f>EXP(-LN(2)/2)*AB105+(1-EXP(-LN(2)/2))/(LN(2)/2)*V106*Y106*VLOOKUP('Données projet'!$B$9,Paramètres!$A$1:$I$89,3,0)*0.475*44/12</f>
        <v>4.6374055026335593E-12</v>
      </c>
      <c r="AC106" s="22">
        <f t="shared" si="57"/>
        <v>10.154415177477334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51.375999999999983</v>
      </c>
      <c r="D107" s="11">
        <f t="shared" si="86"/>
        <v>14.968554245188011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512.13340119092493</v>
      </c>
      <c r="H107" s="67">
        <f t="shared" si="56"/>
        <v>372.21676531036911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80.239844009379794</v>
      </c>
      <c r="T107" s="59">
        <f t="shared" si="88"/>
        <v>226.38486687660168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8.9639361013168468</v>
      </c>
      <c r="AA107" s="21">
        <f>EXP(-LN(2)/25)*AA106+(1-EXP(-LN(2)/25))/(LN(2)/25)*Calculateur!V107*Calculateur!X107*VLOOKUP('Données projet'!$B$9,Paramètres!$A$1:$I$89,3,0)*0.475*44/12</f>
        <v>0.98353499502054087</v>
      </c>
      <c r="AB107" s="21">
        <f>EXP(-LN(2)/2)*AB106+(1-EXP(-LN(2)/2))/(LN(2)/2)*V107*Y107*VLOOKUP('Données projet'!$B$9,Paramètres!$A$1:$I$89,3,0)*0.475*44/12</f>
        <v>3.2791408780239997E-12</v>
      </c>
      <c r="AC107" s="22">
        <f t="shared" si="57"/>
        <v>9.9474710963406672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51.869999999999983</v>
      </c>
      <c r="D108" s="11">
        <f t="shared" si="86"/>
        <v>15.095658469114912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516.92788993702732</v>
      </c>
      <c r="H108" s="67">
        <f t="shared" si="56"/>
        <v>373.29852183370843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80.239844009379794</v>
      </c>
      <c r="T108" s="59">
        <f t="shared" si="88"/>
        <v>226.38486687660168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8.7881587818311786</v>
      </c>
      <c r="AA108" s="21">
        <f>EXP(-LN(2)/25)*AA107+(1-EXP(-LN(2)/25))/(LN(2)/25)*Calculateur!V108*Calculateur!X108*VLOOKUP('Données projet'!$B$9,Paramètres!$A$1:$I$89,3,0)*0.475*44/12</f>
        <v>0.95664017885984665</v>
      </c>
      <c r="AB108" s="21">
        <f>EXP(-LN(2)/2)*AB107+(1-EXP(-LN(2)/2))/(LN(2)/2)*V108*Y108*VLOOKUP('Données projet'!$B$9,Paramètres!$A$1:$I$89,3,0)*0.475*44/12</f>
        <v>2.3187027513167796E-12</v>
      </c>
      <c r="AC108" s="22">
        <f t="shared" si="57"/>
        <v>9.7447989606933429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52.363999999999983</v>
      </c>
      <c r="D109" s="11">
        <f t="shared" si="86"/>
        <v>15.222621864751364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521.72129158755433</v>
      </c>
      <c r="H109" s="67">
        <f t="shared" si="56"/>
        <v>374.38003308110865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80.239844009379794</v>
      </c>
      <c r="T109" s="59">
        <f t="shared" si="88"/>
        <v>226.38486687660168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8.6158283483670459</v>
      </c>
      <c r="AA109" s="21">
        <f>EXP(-LN(2)/25)*AA108+(1-EXP(-LN(2)/25))/(LN(2)/25)*Calculateur!V109*Calculateur!X109*VLOOKUP('Données projet'!$B$9,Paramètres!$A$1:$I$89,3,0)*0.475*44/12</f>
        <v>0.93048080286140356</v>
      </c>
      <c r="AB109" s="21">
        <f>EXP(-LN(2)/2)*AB108+(1-EXP(-LN(2)/2))/(LN(2)/2)*V109*Y109*VLOOKUP('Données projet'!$B$9,Paramètres!$A$1:$I$89,3,0)*0.475*44/12</f>
        <v>1.6395704390119998E-12</v>
      </c>
      <c r="AC109" s="22">
        <f t="shared" si="57"/>
        <v>9.5463091512300888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52.857999999999983</v>
      </c>
      <c r="D110" s="11">
        <f t="shared" si="86"/>
        <v>15.349445914541667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526.51361758593555</v>
      </c>
      <c r="H110" s="67">
        <f t="shared" si="56"/>
        <v>375.4613016344934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80.239844009379794</v>
      </c>
      <c r="T110" s="59">
        <f t="shared" si="88"/>
        <v>226.38486687660168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8.4468772095919586</v>
      </c>
      <c r="AA110" s="21">
        <f>EXP(-LN(2)/25)*AA109+(1-EXP(-LN(2)/25))/(LN(2)/25)*Calculateur!V110*Calculateur!X110*VLOOKUP('Données projet'!$B$9,Paramètres!$A$1:$I$89,3,0)*0.475*44/12</f>
        <v>0.90503675637529968</v>
      </c>
      <c r="AB110" s="21">
        <f>EXP(-LN(2)/2)*AB109+(1-EXP(-LN(2)/2))/(LN(2)/2)*V110*Y110*VLOOKUP('Données projet'!$B$9,Paramètres!$A$1:$I$89,3,0)*0.475*44/12</f>
        <v>1.1593513756583898E-12</v>
      </c>
      <c r="AC110" s="22">
        <f t="shared" si="57"/>
        <v>9.3519139659684178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53.351999999999983</v>
      </c>
      <c r="D111" s="11">
        <f t="shared" si="86"/>
        <v>15.476132071622835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531.30487914936919</v>
      </c>
      <c r="H111" s="67">
        <f t="shared" si="56"/>
        <v>376.54233002474308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80.239844009379794</v>
      </c>
      <c r="T111" s="59">
        <f t="shared" si="88"/>
        <v>226.38486687660168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8.2812390995982312</v>
      </c>
      <c r="AA111" s="21">
        <f>EXP(-LN(2)/25)*AA110+(1-EXP(-LN(2)/25))/(LN(2)/25)*Calculateur!V111*Calculateur!X111*VLOOKUP('Données projet'!$B$9,Paramètres!$A$1:$I$89,3,0)*0.475*44/12</f>
        <v>0.88028847867840254</v>
      </c>
      <c r="AB111" s="21">
        <f>EXP(-LN(2)/2)*AB110+(1-EXP(-LN(2)/2))/(LN(2)/2)*V111*Y111*VLOOKUP('Données projet'!$B$9,Paramètres!$A$1:$I$89,3,0)*0.475*44/12</f>
        <v>8.1978521950599991E-13</v>
      </c>
      <c r="AC111" s="22">
        <f t="shared" si="57"/>
        <v>9.1615275782774521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53.845999999999982</v>
      </c>
      <c r="D112" s="11">
        <f t="shared" si="86"/>
        <v>15.602681760669958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536.09508727534694</v>
      </c>
      <c r="H112" s="67">
        <f t="shared" si="56"/>
        <v>377.62312073316684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80.239844009379794</v>
      </c>
      <c r="T112" s="59">
        <f t="shared" si="88"/>
        <v>226.38486687660168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8.1188490519122105</v>
      </c>
      <c r="AA112" s="21">
        <f>EXP(-LN(2)/25)*AA111+(1-EXP(-LN(2)/25))/(LN(2)/25)*Calculateur!V112*Calculateur!X112*VLOOKUP('Données projet'!$B$9,Paramètres!$A$1:$I$89,3,0)*0.475*44/12</f>
        <v>0.85621694393658243</v>
      </c>
      <c r="AB112" s="21">
        <f>EXP(-LN(2)/2)*AB111+(1-EXP(-LN(2)/2))/(LN(2)/2)*V112*Y112*VLOOKUP('Données projet'!$B$9,Paramètres!$A$1:$I$89,3,0)*0.475*44/12</f>
        <v>5.7967568782919491E-13</v>
      </c>
      <c r="AC112" s="22">
        <f t="shared" si="57"/>
        <v>8.9750659958493717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54.339999999999982</v>
      </c>
      <c r="D113" s="11">
        <f t="shared" si="86"/>
        <v>15.729096378709464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540.88425274793258</v>
      </c>
      <c r="H113" s="67">
        <f t="shared" si="56"/>
        <v>378.70367619291898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80.239844009379794</v>
      </c>
      <c r="T113" s="59">
        <f t="shared" si="88"/>
        <v>226.38486687660168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7.9596433740131634</v>
      </c>
      <c r="AA113" s="21">
        <f>EXP(-LN(2)/25)*AA112+(1-EXP(-LN(2)/25))/(LN(2)/25)*Calculateur!V113*Calculateur!X113*VLOOKUP('Données projet'!$B$9,Paramètres!$A$1:$I$89,3,0)*0.475*44/12</f>
        <v>0.83280364657814443</v>
      </c>
      <c r="AB113" s="21">
        <f>EXP(-LN(2)/2)*AB112+(1-EXP(-LN(2)/2))/(LN(2)/2)*V113*Y113*VLOOKUP('Données projet'!$B$9,Paramètres!$A$1:$I$89,3,0)*0.475*44/12</f>
        <v>4.0989260975299996E-13</v>
      </c>
      <c r="AC113" s="22">
        <f t="shared" si="57"/>
        <v>8.7924470205917178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54.833999999999982</v>
      </c>
      <c r="D114" s="11">
        <f t="shared" si="86"/>
        <v>15.85537729590216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545.67238614380619</v>
      </c>
      <c r="H114" s="67">
        <f t="shared" si="56"/>
        <v>379.78399879036289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80.239844009379794</v>
      </c>
      <c r="T114" s="59">
        <f t="shared" si="88"/>
        <v>226.38486687660168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7.8035596223518411</v>
      </c>
      <c r="AA114" s="21">
        <f>EXP(-LN(2)/25)*AA113+(1-EXP(-LN(2)/25))/(LN(2)/25)*Calculateur!V114*Calculateur!X114*VLOOKUP('Données projet'!$B$9,Paramètres!$A$1:$I$89,3,0)*0.475*44/12</f>
        <v>0.81003058706722475</v>
      </c>
      <c r="AB114" s="21">
        <f>EXP(-LN(2)/2)*AB113+(1-EXP(-LN(2)/2))/(LN(2)/2)*V114*Y114*VLOOKUP('Données projet'!$B$9,Paramètres!$A$1:$I$89,3,0)*0.475*44/12</f>
        <v>2.8983784391459745E-13</v>
      </c>
      <c r="AC114" s="22">
        <f t="shared" si="57"/>
        <v>8.613590209419355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55.327999999999982</v>
      </c>
      <c r="D115" s="11">
        <f t="shared" si="86"/>
        <v>15.981525856297083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550.4594978380826</v>
      </c>
      <c r="H115" s="67">
        <f t="shared" si="56"/>
        <v>380.86409086638406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80.239844009379794</v>
      </c>
      <c r="T115" s="59">
        <f t="shared" si="88"/>
        <v>226.38486687660168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7.6505365778589098</v>
      </c>
      <c r="AA115" s="21">
        <f>EXP(-LN(2)/25)*AA114+(1-EXP(-LN(2)/25))/(LN(2)/25)*Calculateur!V115*Calculateur!X115*VLOOKUP('Données projet'!$B$9,Paramètres!$A$1:$I$89,3,0)*0.475*44/12</f>
        <v>0.78788025806621431</v>
      </c>
      <c r="AB115" s="21">
        <f>EXP(-LN(2)/2)*AB114+(1-EXP(-LN(2)/2))/(LN(2)/2)*V115*Y115*VLOOKUP('Données projet'!$B$9,Paramètres!$A$1:$I$89,3,0)*0.475*44/12</f>
        <v>2.0494630487649998E-13</v>
      </c>
      <c r="AC115" s="22">
        <f t="shared" si="57"/>
        <v>8.4384168359253291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55.821999999999981</v>
      </c>
      <c r="D116" s="11">
        <f t="shared" si="86"/>
        <v>16.107543378557729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555.24559800991926</v>
      </c>
      <c r="H116" s="67">
        <f t="shared" si="56"/>
        <v>381.94395471765466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80.239844009379794</v>
      </c>
      <c r="T116" s="59">
        <f t="shared" si="88"/>
        <v>226.38486687660168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7.5005142219336438</v>
      </c>
      <c r="AA116" s="21">
        <f>EXP(-LN(2)/25)*AA115+(1-EXP(-LN(2)/25))/(LN(2)/25)*Calculateur!V116*Calculateur!X116*VLOOKUP('Données projet'!$B$9,Paramètres!$A$1:$I$89,3,0)*0.475*44/12</f>
        <v>0.76633563097657165</v>
      </c>
      <c r="AB116" s="21">
        <f>EXP(-LN(2)/2)*AB115+(1-EXP(-LN(2)/2))/(LN(2)/2)*V116*Y116*VLOOKUP('Données projet'!$B$9,Paramètres!$A$1:$I$89,3,0)*0.475*44/12</f>
        <v>1.4491892195729873E-13</v>
      </c>
      <c r="AC116" s="22">
        <f t="shared" si="57"/>
        <v>8.2668498529103616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56.315999999999981</v>
      </c>
      <c r="D117" s="11">
        <f t="shared" si="86"/>
        <v>16.233431156661826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560.03069664791576</v>
      </c>
      <c r="H117" s="67">
        <f t="shared" si="56"/>
        <v>383.02359259785266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80.239844009379794</v>
      </c>
      <c r="T117" s="59">
        <f t="shared" si="88"/>
        <v>226.38486687660168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7.3534337129034704</v>
      </c>
      <c r="AA117" s="21">
        <f>EXP(-LN(2)/25)*AA116+(1-EXP(-LN(2)/25))/(LN(2)/25)*Calculateur!V117*Calculateur!X117*VLOOKUP('Données projet'!$B$9,Paramètres!$A$1:$I$89,3,0)*0.475*44/12</f>
        <v>0.74538014284767795</v>
      </c>
      <c r="AB117" s="21">
        <f>EXP(-LN(2)/2)*AB116+(1-EXP(-LN(2)/2))/(LN(2)/2)*V117*Y117*VLOOKUP('Données projet'!$B$9,Paramètres!$A$1:$I$89,3,0)*0.475*44/12</f>
        <v>1.0247315243824999E-13</v>
      </c>
      <c r="AC117" s="22">
        <f t="shared" si="57"/>
        <v>8.098813855751251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56.809999999999981</v>
      </c>
      <c r="D118" s="11">
        <f t="shared" si="86"/>
        <v>16.359190460575888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564.81480355532244</v>
      </c>
      <c r="H118" s="67">
        <f t="shared" si="56"/>
        <v>384.1030067188363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80.239844009379794</v>
      </c>
      <c r="T118" s="59">
        <f t="shared" si="88"/>
        <v>226.38486687660168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7.2092373629451263</v>
      </c>
      <c r="AA118" s="21">
        <f>EXP(-LN(2)/25)*AA117+(1-EXP(-LN(2)/25))/(LN(2)/25)*Calculateur!V118*Calculateur!X118*VLOOKUP('Données projet'!$B$9,Paramètres!$A$1:$I$89,3,0)*0.475*44/12</f>
        <v>0.72499768364367012</v>
      </c>
      <c r="AB118" s="21">
        <f>EXP(-LN(2)/2)*AB117+(1-EXP(-LN(2)/2))/(LN(2)/2)*V118*Y118*VLOOKUP('Données projet'!$B$9,Paramètres!$A$1:$I$89,3,0)*0.475*44/12</f>
        <v>7.2459460978649363E-14</v>
      </c>
      <c r="AC118" s="22">
        <f t="shared" si="57"/>
        <v>7.9342350465888689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57.303999999999981</v>
      </c>
      <c r="D119" s="11">
        <f t="shared" si="86"/>
        <v>16.484822536905565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569.59792835506039</v>
      </c>
      <c r="H119" s="67">
        <f t="shared" si="56"/>
        <v>385.18219925177721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80.239844009379794</v>
      </c>
      <c r="T119" s="59">
        <f t="shared" si="88"/>
        <v>226.38486687660168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7.0678686154583765</v>
      </c>
      <c r="AA119" s="21">
        <f>EXP(-LN(2)/25)*AA118+(1-EXP(-LN(2)/25))/(LN(2)/25)*Calculateur!V119*Calculateur!X119*VLOOKUP('Données projet'!$B$9,Paramètres!$A$1:$I$89,3,0)*0.475*44/12</f>
        <v>0.70517258385846282</v>
      </c>
      <c r="AB119" s="21">
        <f>EXP(-LN(2)/2)*AB118+(1-EXP(-LN(2)/2))/(LN(2)/2)*V119*Y119*VLOOKUP('Données projet'!$B$9,Paramètres!$A$1:$I$89,3,0)*0.475*44/12</f>
        <v>5.1236576219124995E-14</v>
      </c>
      <c r="AC119" s="22">
        <f t="shared" si="57"/>
        <v>7.7730411993168911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57.797999999999981</v>
      </c>
      <c r="D120" s="11">
        <f t="shared" si="86"/>
        <v>16.610328609522991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574.38008049456323</v>
      </c>
      <c r="H120" s="67">
        <f t="shared" si="56"/>
        <v>386.26117232825254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80.239844009379794</v>
      </c>
      <c r="T120" s="59">
        <f t="shared" si="88"/>
        <v>226.38486687660168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6.9292720228834197</v>
      </c>
      <c r="AA120" s="21">
        <f>EXP(-LN(2)/25)*AA119+(1-EXP(-LN(2)/25))/(LN(2)/25)*Calculateur!V120*Calculateur!X120*VLOOKUP('Données projet'!$B$9,Paramètres!$A$1:$I$89,3,0)*0.475*44/12</f>
        <v>0.68588960246943864</v>
      </c>
      <c r="AB120" s="21">
        <f>EXP(-LN(2)/2)*AB119+(1-EXP(-LN(2)/2))/(LN(2)/2)*V120*Y120*VLOOKUP('Données projet'!$B$9,Paramètres!$A$1:$I$89,3,0)*0.475*44/12</f>
        <v>3.6229730489324682E-14</v>
      </c>
      <c r="AC120" s="22">
        <f t="shared" si="57"/>
        <v>7.6151616253528944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58.29199999999998</v>
      </c>
      <c r="D121" s="11">
        <f t="shared" si="86"/>
        <v>16.735709880171999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579.16126925045035</v>
      </c>
      <c r="H121" s="67">
        <f t="shared" si="56"/>
        <v>387.33992804129957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80.239844009379794</v>
      </c>
      <c r="T121" s="59">
        <f t="shared" si="88"/>
        <v>226.38486687660168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6.7933932249532836</v>
      </c>
      <c r="AA121" s="21">
        <f>EXP(-LN(2)/25)*AA120+(1-EXP(-LN(2)/25))/(LN(2)/25)*Calculateur!V121*Calculateur!X121*VLOOKUP('Données projet'!$B$9,Paramètres!$A$1:$I$89,3,0)*0.475*44/12</f>
        <v>0.66713391522054521</v>
      </c>
      <c r="AB121" s="21">
        <f>EXP(-LN(2)/2)*AB120+(1-EXP(-LN(2)/2))/(LN(2)/2)*V121*Y121*VLOOKUP('Données projet'!$B$9,Paramètres!$A$1:$I$89,3,0)*0.475*44/12</f>
        <v>2.5618288109562497E-14</v>
      </c>
      <c r="AC121" s="22">
        <f t="shared" si="57"/>
        <v>7.4605271401738547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58.78599999999998</v>
      </c>
      <c r="D122" s="11">
        <f t="shared" si="86"/>
        <v>16.860967529052314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583.94150373303523</v>
      </c>
      <c r="H122" s="67">
        <f t="shared" si="56"/>
        <v>388.41846844643271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80.239844009379794</v>
      </c>
      <c r="T122" s="59">
        <f t="shared" si="88"/>
        <v>226.38486687660168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6.6601789273726739</v>
      </c>
      <c r="AA122" s="21">
        <f>EXP(-LN(2)/25)*AA121+(1-EXP(-LN(2)/25))/(LN(2)/25)*Calculateur!V122*Calculateur!X122*VLOOKUP('Données projet'!$B$9,Paramètres!$A$1:$I$89,3,0)*0.475*44/12</f>
        <v>0.64889110322579158</v>
      </c>
      <c r="AB122" s="21">
        <f>EXP(-LN(2)/2)*AB121+(1-EXP(-LN(2)/2))/(LN(2)/2)*V122*Y122*VLOOKUP('Données projet'!$B$9,Paramètres!$A$1:$I$89,3,0)*0.475*44/12</f>
        <v>1.8114865244662341E-14</v>
      </c>
      <c r="AC122" s="22">
        <f t="shared" si="57"/>
        <v>7.309070030598483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59.27999999999998</v>
      </c>
      <c r="D123" s="11">
        <f t="shared" si="86"/>
        <v>16.986102715383467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588.72079289067926</v>
      </c>
      <c r="H123" s="67">
        <f t="shared" si="56"/>
        <v>389.49679556262618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80.239844009379794</v>
      </c>
      <c r="T123" s="59">
        <f t="shared" si="88"/>
        <v>226.38486687660168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6.5295768809149219</v>
      </c>
      <c r="AA123" s="21">
        <f>EXP(-LN(2)/25)*AA122+(1-EXP(-LN(2)/25))/(LN(2)/25)*Calculateur!V123*Calculateur!X123*VLOOKUP('Données projet'!$B$9,Paramètres!$A$1:$I$89,3,0)*0.475*44/12</f>
        <v>0.63114714188438226</v>
      </c>
      <c r="AB123" s="21">
        <f>EXP(-LN(2)/2)*AB122+(1-EXP(-LN(2)/2))/(LN(2)/2)*V123*Y123*VLOOKUP('Données projet'!$B$9,Paramètres!$A$1:$I$89,3,0)*0.475*44/12</f>
        <v>1.2809144054781249E-14</v>
      </c>
      <c r="AC123" s="22">
        <f t="shared" si="57"/>
        <v>7.1607240227993163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59.77399999999998</v>
      </c>
      <c r="D124" s="11">
        <f t="shared" si="86"/>
        <v>17.111116577949474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593.49914551399581</v>
      </c>
      <c r="H124" s="67">
        <f t="shared" si="56"/>
        <v>390.57491137326201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80.239844009379794</v>
      </c>
      <c r="T124" s="59">
        <f t="shared" si="88"/>
        <v>226.38486687660168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6.4015358609288242</v>
      </c>
      <c r="AA124" s="21">
        <f>EXP(-LN(2)/25)*AA123+(1-EXP(-LN(2)/25))/(LN(2)/25)*Calculateur!V124*Calculateur!X124*VLOOKUP('Données projet'!$B$9,Paramètres!$A$1:$I$89,3,0)*0.475*44/12</f>
        <v>0.61388839009896812</v>
      </c>
      <c r="AB124" s="21">
        <f>EXP(-LN(2)/2)*AB123+(1-EXP(-LN(2)/2))/(LN(2)/2)*V124*Y124*VLOOKUP('Données projet'!$B$9,Paramètres!$A$1:$I$89,3,0)*0.475*44/12</f>
        <v>9.0574326223311704E-15</v>
      </c>
      <c r="AC124" s="22">
        <f t="shared" si="57"/>
        <v>7.0154242510278015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60.267999999999979</v>
      </c>
      <c r="D125" s="11">
        <f t="shared" si="86"/>
        <v>17.236010235624839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598.27657023991094</v>
      </c>
      <c r="H125" s="67">
        <f t="shared" si="56"/>
        <v>391.65281782704653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80.239844009379794</v>
      </c>
      <c r="T125" s="59">
        <f t="shared" si="88"/>
        <v>226.38486687660168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6.2760056472473424</v>
      </c>
      <c r="AA125" s="21">
        <f>EXP(-LN(2)/25)*AA124+(1-EXP(-LN(2)/25))/(LN(2)/25)*Calculateur!V125*Calculateur!X125*VLOOKUP('Données projet'!$B$9,Paramètres!$A$1:$I$89,3,0)*0.475*44/12</f>
        <v>0.59710157978872447</v>
      </c>
      <c r="AB125" s="21">
        <f>EXP(-LN(2)/2)*AB124+(1-EXP(-LN(2)/2))/(LN(2)/2)*V125*Y125*VLOOKUP('Données projet'!$B$9,Paramètres!$A$1:$I$89,3,0)*0.475*44/12</f>
        <v>6.4045720273906243E-15</v>
      </c>
      <c r="AC125" s="22">
        <f t="shared" si="57"/>
        <v>6.8731072270360736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60.761999999999979</v>
      </c>
      <c r="D126" s="11">
        <f t="shared" si="86"/>
        <v>17.360784787882967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603.05307555558772</v>
      </c>
      <c r="H126" s="67">
        <f t="shared" si="56"/>
        <v>392.73051683889616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80.239844009379794</v>
      </c>
      <c r="T126" s="59">
        <f t="shared" si="88"/>
        <v>226.38486687660168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6.1529370044902851</v>
      </c>
      <c r="AA126" s="21">
        <f>EXP(-LN(2)/25)*AA125+(1-EXP(-LN(2)/25))/(LN(2)/25)*Calculateur!V126*Calculateur!X126*VLOOKUP('Données projet'!$B$9,Paramètres!$A$1:$I$89,3,0)*0.475*44/12</f>
        <v>0.58077380568919446</v>
      </c>
      <c r="AB126" s="21">
        <f>EXP(-LN(2)/2)*AB125+(1-EXP(-LN(2)/2))/(LN(2)/2)*V126*Y126*VLOOKUP('Données projet'!$B$9,Paramètres!$A$1:$I$89,3,0)*0.475*44/12</f>
        <v>4.5287163111655852E-15</v>
      </c>
      <c r="AC126" s="22">
        <f t="shared" si="57"/>
        <v>6.7337108101794838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61.255999999999979</v>
      </c>
      <c r="D127" s="11">
        <f t="shared" si="86"/>
        <v>17.485441315287559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607.82866980221968</v>
      </c>
      <c r="H127" s="67">
        <f t="shared" si="56"/>
        <v>393.80801029079248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80.239844009379794</v>
      </c>
      <c r="T127" s="59">
        <f t="shared" si="88"/>
        <v>226.38486687660168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6.032281662753233</v>
      </c>
      <c r="AA127" s="21">
        <f>EXP(-LN(2)/25)*AA126+(1-EXP(-LN(2)/25))/(LN(2)/25)*Calculateur!V127*Calculateur!X127*VLOOKUP('Données projet'!$B$9,Paramètres!$A$1:$I$89,3,0)*0.475*44/12</f>
        <v>0.56489251543105634</v>
      </c>
      <c r="AB127" s="21">
        <f>EXP(-LN(2)/2)*AB126+(1-EXP(-LN(2)/2))/(LN(2)/2)*V127*Y127*VLOOKUP('Données projet'!$B$9,Paramètres!$A$1:$I$89,3,0)*0.475*44/12</f>
        <v>3.2022860136953122E-15</v>
      </c>
      <c r="AC127" s="22">
        <f t="shared" si="57"/>
        <v>6.597174178184293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61.749999999999979</v>
      </c>
      <c r="D128" s="11">
        <f t="shared" si="86"/>
        <v>17.609980879967505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612.60336117869633</v>
      </c>
      <c r="H128" s="67">
        <f t="shared" si="56"/>
        <v>394.88530003261008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80.239844009379794</v>
      </c>
      <c r="T128" s="59">
        <f t="shared" si="88"/>
        <v>226.38486687660168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5.9139922986751525</v>
      </c>
      <c r="AA128" s="21">
        <f>EXP(-LN(2)/25)*AA127+(1-EXP(-LN(2)/25))/(LN(2)/25)*Calculateur!V128*Calculateur!X128*VLOOKUP('Données projet'!$B$9,Paramètres!$A$1:$I$89,3,0)*0.475*44/12</f>
        <v>0.54944549989018776</v>
      </c>
      <c r="AB128" s="21">
        <f>EXP(-LN(2)/2)*AB127+(1-EXP(-LN(2)/2))/(LN(2)/2)*V128*Y128*VLOOKUP('Données projet'!$B$9,Paramètres!$A$1:$I$89,3,0)*0.475*44/12</f>
        <v>2.2643581555827926E-15</v>
      </c>
      <c r="AC128" s="22">
        <f t="shared" si="57"/>
        <v>6.4634377985653426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62.243999999999978</v>
      </c>
      <c r="D129" s="11">
        <f t="shared" si="86"/>
        <v>17.734404526076432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617.37715774515129</v>
      </c>
      <c r="H129" s="67">
        <f t="shared" si="56"/>
        <v>395.96238788291646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80.239844009379794</v>
      </c>
      <c r="T129" s="59">
        <f t="shared" si="88"/>
        <v>226.38486687660168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5.7980225168772552</v>
      </c>
      <c r="AA129" s="21">
        <f>EXP(-LN(2)/25)*AA128+(1-EXP(-LN(2)/25))/(LN(2)/25)*Calculateur!V129*Calculateur!X129*VLOOKUP('Données projet'!$B$9,Paramètres!$A$1:$I$89,3,0)*0.475*44/12</f>
        <v>0.53442088380160746</v>
      </c>
      <c r="AB129" s="21">
        <f>EXP(-LN(2)/2)*AB128+(1-EXP(-LN(2)/2))/(LN(2)/2)*V129*Y129*VLOOKUP('Données projet'!$B$9,Paramètres!$A$1:$I$89,3,0)*0.475*44/12</f>
        <v>1.6011430068476561E-15</v>
      </c>
      <c r="AC129" s="22">
        <f t="shared" si="57"/>
        <v>6.3324434006788648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62.737999999999978</v>
      </c>
      <c r="D130" s="11">
        <f t="shared" si="86"/>
        <v>17.858713280237058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622.15006742639116</v>
      </c>
      <c r="H130" s="67">
        <f t="shared" si="56"/>
        <v>397.03927562974616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80.239844009379794</v>
      </c>
      <c r="T130" s="59">
        <f t="shared" si="88"/>
        <v>226.38486687660168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5.6843268317658326</v>
      </c>
      <c r="AA130" s="21">
        <f>EXP(-LN(2)/25)*AA129+(1-EXP(-LN(2)/25))/(LN(2)/25)*Calculateur!V130*Calculateur!X130*VLOOKUP('Données projet'!$B$9,Paramètres!$A$1:$I$89,3,0)*0.475*44/12</f>
        <v>0.51980711663007961</v>
      </c>
      <c r="AB130" s="21">
        <f>EXP(-LN(2)/2)*AB129+(1-EXP(-LN(2)/2))/(LN(2)/2)*V130*Y130*VLOOKUP('Données projet'!$B$9,Paramètres!$A$1:$I$89,3,0)*0.475*44/12</f>
        <v>1.1321790777913963E-15</v>
      </c>
      <c r="AC130" s="22">
        <f t="shared" si="57"/>
        <v>6.2041339483959135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63.231999999999978</v>
      </c>
      <c r="D131" s="11">
        <f t="shared" si="86"/>
        <v>17.982908151971163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626.92209801521585</v>
      </c>
      <c r="H131" s="67">
        <f t="shared" si="56"/>
        <v>398.11596503134979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80.239844009379794</v>
      </c>
      <c r="T131" s="59">
        <f t="shared" si="88"/>
        <v>226.38486687660168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5.5728606496919246</v>
      </c>
      <c r="AA131" s="21">
        <f>EXP(-LN(2)/25)*AA130+(1-EXP(-LN(2)/25))/(LN(2)/25)*Calculateur!V131*Calculateur!X131*VLOOKUP('Données projet'!$B$9,Paramètres!$A$1:$I$89,3,0)*0.475*44/12</f>
        <v>0.50559296369036189</v>
      </c>
      <c r="AB131" s="21">
        <f>EXP(-LN(2)/2)*AB130+(1-EXP(-LN(2)/2))/(LN(2)/2)*V131*Y131*VLOOKUP('Données projet'!$B$9,Paramètres!$A$1:$I$89,3,0)*0.475*44/12</f>
        <v>8.0057150342382804E-16</v>
      </c>
      <c r="AC131" s="22">
        <f t="shared" si="57"/>
        <v>6.0784536133822877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63.725999999999978</v>
      </c>
      <c r="D132" s="11">
        <f t="shared" si="86"/>
        <v>18.106990134115833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631.69325717563095</v>
      </c>
      <c r="H132" s="67">
        <f t="shared" ref="H132:H195" si="110">(B132+E132+F132)*44/12+(C132+D132)*0.475*44/12</f>
        <v>399.19245781691836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80.239844009379794</v>
      </c>
      <c r="T132" s="59">
        <f t="shared" si="88"/>
        <v>226.38486687660168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5.4635802514608285</v>
      </c>
      <c r="AA132" s="21">
        <f>EXP(-LN(2)/25)*AA131+(1-EXP(-LN(2)/25))/(LN(2)/25)*Calculateur!V132*Calculateur!X132*VLOOKUP('Données projet'!$B$9,Paramètres!$A$1:$I$89,3,0)*0.475*44/12</f>
        <v>0.49176749751027055</v>
      </c>
      <c r="AB132" s="21">
        <f>EXP(-LN(2)/2)*AB131+(1-EXP(-LN(2)/2))/(LN(2)/2)*V132*Y132*VLOOKUP('Données projet'!$B$9,Paramètres!$A$1:$I$89,3,0)*0.475*44/12</f>
        <v>5.6608953889569815E-16</v>
      </c>
      <c r="AC132" s="22">
        <f t="shared" ref="AC132:AC153" si="111">SUM(Z132:AB132)</f>
        <v>5.9553477489711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64.219999999999985</v>
      </c>
      <c r="D133" s="11">
        <f t="shared" ref="D133:D196" si="140">IFERROR(EXP(-1.0587+0.8836*LN(C133)+0.284),0)</f>
        <v>18.230960203226296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636.46355244595725</v>
      </c>
      <c r="H133" s="67">
        <f t="shared" si="110"/>
        <v>400.26875568728576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80.239844009379794</v>
      </c>
      <c r="T133" s="59">
        <f t="shared" ref="T133:T196" si="142">$T$3</f>
        <v>226.38486687660168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5.3564427751845827</v>
      </c>
      <c r="AA133" s="21">
        <f>EXP(-LN(2)/25)*AA132+(1-EXP(-LN(2)/25))/(LN(2)/25)*Calculateur!V133*Calculateur!X133*VLOOKUP('Données projet'!$B$9,Paramètres!$A$1:$I$89,3,0)*0.475*44/12</f>
        <v>0.47832008942992343</v>
      </c>
      <c r="AB133" s="21">
        <f>EXP(-LN(2)/2)*AB132+(1-EXP(-LN(2)/2))/(LN(2)/2)*V133*Y133*VLOOKUP('Données projet'!$B$9,Paramètres!$A$1:$I$89,3,0)*0.475*44/12</f>
        <v>4.0028575171191402E-16</v>
      </c>
      <c r="AC133" s="22">
        <f t="shared" si="111"/>
        <v>5.8347628646145058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64.713999999999984</v>
      </c>
      <c r="D134" s="11">
        <f t="shared" si="140"/>
        <v>18.354819319966147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641.23299124184393</v>
      </c>
      <c r="H134" s="67">
        <f t="shared" si="110"/>
        <v>401.34486031560766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80.239844009379794</v>
      </c>
      <c r="T134" s="59">
        <f t="shared" si="142"/>
        <v>226.38486687660168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5.251406199470706</v>
      </c>
      <c r="AA134" s="21">
        <f>EXP(-LN(2)/25)*AA133+(1-EXP(-LN(2)/25))/(LN(2)/25)*Calculateur!V134*Calculateur!X134*VLOOKUP('Données projet'!$B$9,Paramètres!$A$1:$I$89,3,0)*0.475*44/12</f>
        <v>0.46524040143070189</v>
      </c>
      <c r="AB134" s="21">
        <f>EXP(-LN(2)/2)*AB133+(1-EXP(-LN(2)/2))/(LN(2)/2)*V134*Y134*VLOOKUP('Données projet'!$B$9,Paramètres!$A$1:$I$89,3,0)*0.475*44/12</f>
        <v>2.8304476944784908E-16</v>
      </c>
      <c r="AC134" s="22">
        <f t="shared" si="111"/>
        <v>5.7166466009014076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65.207999999999984</v>
      </c>
      <c r="D135" s="11">
        <f t="shared" si="140"/>
        <v>18.47856842948519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646.00158085918383</v>
      </c>
      <c r="H135" s="67">
        <f t="shared" si="110"/>
        <v>402.42077334802002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80.239844009379794</v>
      </c>
      <c r="T135" s="59">
        <f t="shared" si="142"/>
        <v>226.38486687660168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5.148429326940593</v>
      </c>
      <c r="AA135" s="21">
        <f>EXP(-LN(2)/25)*AA134+(1-EXP(-LN(2)/25))/(LN(2)/25)*Calculateur!V135*Calculateur!X135*VLOOKUP('Données projet'!$B$9,Paramètres!$A$1:$I$89,3,0)*0.475*44/12</f>
        <v>0.45251837818764995</v>
      </c>
      <c r="AB135" s="21">
        <f>EXP(-LN(2)/2)*AB134+(1-EXP(-LN(2)/2))/(LN(2)/2)*V135*Y135*VLOOKUP('Données projet'!$B$9,Paramètres!$A$1:$I$89,3,0)*0.475*44/12</f>
        <v>2.0014287585595701E-16</v>
      </c>
      <c r="AC135" s="22">
        <f t="shared" si="111"/>
        <v>5.6009477051282426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65.701999999999984</v>
      </c>
      <c r="D136" s="11">
        <f t="shared" si="140"/>
        <v>18.60220846178558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650.76932847694115</v>
      </c>
      <c r="H136" s="67">
        <f t="shared" si="110"/>
        <v>403.49649640427651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80.239844009379794</v>
      </c>
      <c r="T136" s="59">
        <f t="shared" si="142"/>
        <v>226.38486687660168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5.0474717680711052</v>
      </c>
      <c r="AA136" s="21">
        <f>EXP(-LN(2)/25)*AA135+(1-EXP(-LN(2)/25))/(LN(2)/25)*Calculateur!V136*Calculateur!X136*VLOOKUP('Données projet'!$B$9,Paramètres!$A$1:$I$89,3,0)*0.475*44/12</f>
        <v>0.44014423933920138</v>
      </c>
      <c r="AB136" s="21">
        <f>EXP(-LN(2)/2)*AB135+(1-EXP(-LN(2)/2))/(LN(2)/2)*V136*Y136*VLOOKUP('Données projet'!$B$9,Paramètres!$A$1:$I$89,3,0)*0.475*44/12</f>
        <v>1.4152238472392454E-16</v>
      </c>
      <c r="AC136" s="22">
        <f t="shared" si="111"/>
        <v>5.4876160074103062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66.195999999999984</v>
      </c>
      <c r="D137" s="11">
        <f t="shared" si="140"/>
        <v>18.725740332076615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655.53624115988953</v>
      </c>
      <c r="H137" s="67">
        <f t="shared" si="110"/>
        <v>404.57203107836676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80.239844009379794</v>
      </c>
      <c r="T137" s="59">
        <f t="shared" si="142"/>
        <v>226.38486687660168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4.9484939253530174</v>
      </c>
      <c r="AA137" s="21">
        <f>EXP(-LN(2)/25)*AA136+(1-EXP(-LN(2)/25))/(LN(2)/25)*Calculateur!V137*Calculateur!X137*VLOOKUP('Données projet'!$B$9,Paramètres!$A$1:$I$89,3,0)*0.475*44/12</f>
        <v>0.42810847196829133</v>
      </c>
      <c r="AB137" s="21">
        <f>EXP(-LN(2)/2)*AB136+(1-EXP(-LN(2)/2))/(LN(2)/2)*V137*Y137*VLOOKUP('Données projet'!$B$9,Paramètres!$A$1:$I$89,3,0)*0.475*44/12</f>
        <v>1.0007143792797851E-16</v>
      </c>
      <c r="AC137" s="22">
        <f t="shared" si="111"/>
        <v>5.3766023973213084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66.689999999999984</v>
      </c>
      <c r="D138" s="11">
        <f t="shared" si="140"/>
        <v>18.849164941118623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660.30232586126647</v>
      </c>
      <c r="H138" s="67">
        <f t="shared" si="110"/>
        <v>405.6473789391149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80.239844009379794</v>
      </c>
      <c r="T138" s="59">
        <f t="shared" si="142"/>
        <v>226.38486687660168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4.8514569777601082</v>
      </c>
      <c r="AA138" s="21">
        <f>EXP(-LN(2)/25)*AA137+(1-EXP(-LN(2)/25))/(LN(2)/25)*Calculateur!V138*Calculateur!X138*VLOOKUP('Données projet'!$B$9,Paramètres!$A$1:$I$89,3,0)*0.475*44/12</f>
        <v>0.41640182328907233</v>
      </c>
      <c r="AB138" s="21">
        <f>EXP(-LN(2)/2)*AB137+(1-EXP(-LN(2)/2))/(LN(2)/2)*V138*Y138*VLOOKUP('Données projet'!$B$9,Paramètres!$A$1:$I$89,3,0)*0.475*44/12</f>
        <v>7.0761192361962269E-17</v>
      </c>
      <c r="AC138" s="22">
        <f t="shared" si="111"/>
        <v>5.2678588010491803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67.183999999999983</v>
      </c>
      <c r="D139" s="11">
        <f t="shared" si="140"/>
        <v>18.972483175556398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665.06758942534759</v>
      </c>
      <c r="H139" s="67">
        <f t="shared" si="110"/>
        <v>406.72254153076074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80.239844009379794</v>
      </c>
      <c r="T139" s="59">
        <f t="shared" si="142"/>
        <v>226.38486687660168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4.7563228655228027</v>
      </c>
      <c r="AA139" s="21">
        <f>EXP(-LN(2)/25)*AA138+(1-EXP(-LN(2)/25))/(LN(2)/25)*Calculateur!V139*Calculateur!X139*VLOOKUP('Données projet'!$B$9,Paramètres!$A$1:$I$89,3,0)*0.475*44/12</f>
        <v>0.40501529353361243</v>
      </c>
      <c r="AB139" s="21">
        <f>EXP(-LN(2)/2)*AB138+(1-EXP(-LN(2)/2))/(LN(2)/2)*V139*Y139*VLOOKUP('Données projet'!$B$9,Paramètres!$A$1:$I$89,3,0)*0.475*44/12</f>
        <v>5.0035718963989253E-17</v>
      </c>
      <c r="AC139" s="22">
        <f t="shared" si="111"/>
        <v>5.1613381590564149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67.677999999999983</v>
      </c>
      <c r="D140" s="11">
        <f t="shared" si="140"/>
        <v>19.09569590824248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669.83203858994182</v>
      </c>
      <c r="H140" s="67">
        <f t="shared" si="110"/>
        <v>407.79752037352227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80.239844009379794</v>
      </c>
      <c r="T140" s="59">
        <f t="shared" si="142"/>
        <v>226.38486687660168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4.6630542752003912</v>
      </c>
      <c r="AA140" s="21">
        <f>EXP(-LN(2)/25)*AA139+(1-EXP(-LN(2)/25))/(LN(2)/25)*Calculateur!V140*Calculateur!X140*VLOOKUP('Données projet'!$B$9,Paramètres!$A$1:$I$89,3,0)*0.475*44/12</f>
        <v>0.39394012903310721</v>
      </c>
      <c r="AB140" s="21">
        <f>EXP(-LN(2)/2)*AB139+(1-EXP(-LN(2)/2))/(LN(2)/2)*V140*Y140*VLOOKUP('Données projet'!$B$9,Paramètres!$A$1:$I$89,3,0)*0.475*44/12</f>
        <v>3.5380596180981134E-17</v>
      </c>
      <c r="AC140" s="22">
        <f t="shared" si="111"/>
        <v>5.0569944042334987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68.171999999999983</v>
      </c>
      <c r="D141" s="11">
        <f t="shared" si="140"/>
        <v>19.21880399855084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674.59567998881346</v>
      </c>
      <c r="H141" s="67">
        <f t="shared" si="110"/>
        <v>408.87231696414267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80.239844009379794</v>
      </c>
      <c r="T141" s="59">
        <f t="shared" si="142"/>
        <v>226.38486687660168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4.5716146250459797</v>
      </c>
      <c r="AA141" s="21">
        <f>EXP(-LN(2)/25)*AA140+(1-EXP(-LN(2)/25))/(LN(2)/25)*Calculateur!V141*Calculateur!X141*VLOOKUP('Données projet'!$B$9,Paramètres!$A$1:$I$89,3,0)*0.475*44/12</f>
        <v>0.38316781548828588</v>
      </c>
      <c r="AB141" s="21">
        <f>EXP(-LN(2)/2)*AB140+(1-EXP(-LN(2)/2))/(LN(2)/2)*V141*Y141*VLOOKUP('Données projet'!$B$9,Paramètres!$A$1:$I$89,3,0)*0.475*44/12</f>
        <v>2.5017859481994626E-17</v>
      </c>
      <c r="AC141" s="22">
        <f t="shared" si="111"/>
        <v>4.9547824405342658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68.665999999999983</v>
      </c>
      <c r="D142" s="11">
        <f t="shared" si="140"/>
        <v>19.341808292681065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679.35852015402918</v>
      </c>
      <c r="H142" s="67">
        <f t="shared" si="110"/>
        <v>409.94693277641949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80.239844009379794</v>
      </c>
      <c r="T142" s="59">
        <f t="shared" si="142"/>
        <v>226.38486687660168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4.4819680506584163</v>
      </c>
      <c r="AA142" s="21">
        <f>EXP(-LN(2)/25)*AA141+(1-EXP(-LN(2)/25))/(LN(2)/25)*Calculateur!V142*Calculateur!X142*VLOOKUP('Données projet'!$B$9,Paramètres!$A$1:$I$89,3,0)*0.475*44/12</f>
        <v>0.37269007142383903</v>
      </c>
      <c r="AB142" s="21">
        <f>EXP(-LN(2)/2)*AB141+(1-EXP(-LN(2)/2))/(LN(2)/2)*V142*Y142*VLOOKUP('Données projet'!$B$9,Paramètres!$A$1:$I$89,3,0)*0.475*44/12</f>
        <v>1.7690298090490567E-17</v>
      </c>
      <c r="AC142" s="22">
        <f t="shared" si="111"/>
        <v>4.8546581220822551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69.159999999999982</v>
      </c>
      <c r="D143" s="11">
        <f t="shared" si="140"/>
        <v>19.464709623953723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684.12056551823923</v>
      </c>
      <c r="H143" s="67">
        <f t="shared" si="110"/>
        <v>411.02136926171943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80.239844009379794</v>
      </c>
      <c r="T143" s="59">
        <f t="shared" si="142"/>
        <v>226.38486687660168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4.3940793909155822</v>
      </c>
      <c r="AA143" s="21">
        <f>EXP(-LN(2)/25)*AA142+(1-EXP(-LN(2)/25))/(LN(2)/25)*Calculateur!V143*Calculateur!X143*VLOOKUP('Données projet'!$B$9,Paramètres!$A$1:$I$89,3,0)*0.475*44/12</f>
        <v>0.36249884182183512</v>
      </c>
      <c r="AB143" s="21">
        <f>EXP(-LN(2)/2)*AB142+(1-EXP(-LN(2)/2))/(LN(2)/2)*V143*Y143*VLOOKUP('Données projet'!$B$9,Paramètres!$A$1:$I$89,3,0)*0.475*44/12</f>
        <v>1.2508929740997313E-17</v>
      </c>
      <c r="AC143" s="22">
        <f t="shared" si="111"/>
        <v>4.7565782327374171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69.653999999999982</v>
      </c>
      <c r="D144" s="11">
        <f t="shared" si="140"/>
        <v>19.587508813096782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688.8818224168873</v>
      </c>
      <c r="H144" s="67">
        <f t="shared" si="110"/>
        <v>412.0956278494769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80.239844009379794</v>
      </c>
      <c r="T144" s="59">
        <f t="shared" si="142"/>
        <v>226.38486687660168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4.3079141741835159</v>
      </c>
      <c r="AA144" s="21">
        <f>EXP(-LN(2)/25)*AA143+(1-EXP(-LN(2)/25))/(LN(2)/25)*Calculateur!V144*Calculateur!X144*VLOOKUP('Données projet'!$B$9,Paramètres!$A$1:$I$89,3,0)*0.475*44/12</f>
        <v>0.35258629192923147</v>
      </c>
      <c r="AB144" s="21">
        <f>EXP(-LN(2)/2)*AB143+(1-EXP(-LN(2)/2))/(LN(2)/2)*V144*Y144*VLOOKUP('Données projet'!$B$9,Paramètres!$A$1:$I$89,3,0)*0.475*44/12</f>
        <v>8.8451490452452836E-18</v>
      </c>
      <c r="AC144" s="22">
        <f t="shared" si="111"/>
        <v>4.6605004661127474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70.147999999999982</v>
      </c>
      <c r="D145" s="11">
        <f t="shared" si="140"/>
        <v>19.710206668524005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693.64229709036078</v>
      </c>
      <c r="H145" s="67">
        <f t="shared" si="110"/>
        <v>413.16970994767928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80.239844009379794</v>
      </c>
      <c r="T145" s="59">
        <f t="shared" si="142"/>
        <v>226.38486687660168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4.2234386047959722</v>
      </c>
      <c r="AA145" s="21">
        <f>EXP(-LN(2)/25)*AA144+(1-EXP(-LN(2)/25))/(LN(2)/25)*Calculateur!V145*Calculateur!X145*VLOOKUP('Données projet'!$B$9,Paramètres!$A$1:$I$89,3,0)*0.475*44/12</f>
        <v>0.34294480123471938</v>
      </c>
      <c r="AB145" s="21">
        <f>EXP(-LN(2)/2)*AB144+(1-EXP(-LN(2)/2))/(LN(2)/2)*V145*Y145*VLOOKUP('Données projet'!$B$9,Paramètres!$A$1:$I$89,3,0)*0.475*44/12</f>
        <v>6.2544648704986566E-18</v>
      </c>
      <c r="AC145" s="22">
        <f t="shared" si="111"/>
        <v>4.5663834060306918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70.641999999999982</v>
      </c>
      <c r="D146" s="11">
        <f t="shared" si="140"/>
        <v>19.832803986604944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698.40199568607306</v>
      </c>
      <c r="H146" s="67">
        <f t="shared" si="110"/>
        <v>414.24361694333692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80.239844009379794</v>
      </c>
      <c r="T146" s="59">
        <f t="shared" si="142"/>
        <v>226.38486687660168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4.1406195497991094</v>
      </c>
      <c r="AA146" s="21">
        <f>EXP(-LN(2)/25)*AA145+(1-EXP(-LN(2)/25))/(LN(2)/25)*Calculateur!V146*Calculateur!X146*VLOOKUP('Données projet'!$B$9,Paramètres!$A$1:$I$89,3,0)*0.475*44/12</f>
        <v>0.33356695761027266</v>
      </c>
      <c r="AB146" s="21">
        <f>EXP(-LN(2)/2)*AB145+(1-EXP(-LN(2)/2))/(LN(2)/2)*V146*Y146*VLOOKUP('Données projet'!$B$9,Paramètres!$A$1:$I$89,3,0)*0.475*44/12</f>
        <v>4.4225745226226418E-18</v>
      </c>
      <c r="AC146" s="22">
        <f t="shared" si="111"/>
        <v>4.4741865074093816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71.135999999999981</v>
      </c>
      <c r="D147" s="11">
        <f t="shared" si="140"/>
        <v>19.955301551927469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703.16092426049261</v>
      </c>
      <c r="H147" s="67">
        <f t="shared" si="110"/>
        <v>415.3173502029403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80.239844009379794</v>
      </c>
      <c r="T147" s="59">
        <f t="shared" si="142"/>
        <v>226.38486687660168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4.059424525956099</v>
      </c>
      <c r="AA147" s="21">
        <f>EXP(-LN(2)/25)*AA146+(1-EXP(-LN(2)/25))/(LN(2)/25)*Calculateur!V147*Calculateur!X147*VLOOKUP('Données projet'!$B$9,Paramètres!$A$1:$I$89,3,0)*0.475*44/12</f>
        <v>0.32444555161289584</v>
      </c>
      <c r="AB147" s="21">
        <f>EXP(-LN(2)/2)*AB146+(1-EXP(-LN(2)/2))/(LN(2)/2)*V147*Y147*VLOOKUP('Données projet'!$B$9,Paramètres!$A$1:$I$89,3,0)*0.475*44/12</f>
        <v>3.1272324352493283E-18</v>
      </c>
      <c r="AC147" s="22">
        <f t="shared" si="111"/>
        <v>4.3838700775689947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71.629999999999981</v>
      </c>
      <c r="D148" s="11">
        <f t="shared" si="140"/>
        <v>20.077700137552494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707.91908878110689</v>
      </c>
      <c r="H148" s="67">
        <f t="shared" si="110"/>
        <v>416.39091107290392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80.239844009379794</v>
      </c>
      <c r="T148" s="59">
        <f t="shared" si="142"/>
        <v>226.38486687660168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3.9798216870065755</v>
      </c>
      <c r="AA148" s="21">
        <f>EXP(-LN(2)/25)*AA147+(1-EXP(-LN(2)/25))/(LN(2)/25)*Calculateur!V148*Calculateur!X148*VLOOKUP('Données projet'!$B$9,Paramètres!$A$1:$I$89,3,0)*0.475*44/12</f>
        <v>0.31557357094219118</v>
      </c>
      <c r="AB148" s="21">
        <f>EXP(-LN(2)/2)*AB147+(1-EXP(-LN(2)/2))/(LN(2)/2)*V148*Y148*VLOOKUP('Données projet'!$B$9,Paramètres!$A$1:$I$89,3,0)*0.475*44/12</f>
        <v>2.2112872613113209E-18</v>
      </c>
      <c r="AC148" s="22">
        <f t="shared" si="111"/>
        <v>4.2953952579487664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72.123999999999981</v>
      </c>
      <c r="D149" s="11">
        <f t="shared" si="140"/>
        <v>20.200000505261777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712.67649512833634</v>
      </c>
      <c r="H149" s="67">
        <f t="shared" si="110"/>
        <v>417.46430087999755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80.239844009379794</v>
      </c>
      <c r="T149" s="59">
        <f t="shared" si="142"/>
        <v>226.38486687660168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3.9017798111759148</v>
      </c>
      <c r="AA149" s="21">
        <f>EXP(-LN(2)/25)*AA148+(1-EXP(-LN(2)/25))/(LN(2)/25)*Calculateur!V149*Calculateur!X149*VLOOKUP('Données projet'!$B$9,Paramètres!$A$1:$I$89,3,0)*0.475*44/12</f>
        <v>0.30694419504948411</v>
      </c>
      <c r="AB149" s="21">
        <f>EXP(-LN(2)/2)*AB148+(1-EXP(-LN(2)/2))/(LN(2)/2)*V149*Y149*VLOOKUP('Données projet'!$B$9,Paramètres!$A$1:$I$89,3,0)*0.475*44/12</f>
        <v>1.5636162176246641E-18</v>
      </c>
      <c r="AC149" s="22">
        <f t="shared" si="111"/>
        <v>4.208724006225399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72.617999999999981</v>
      </c>
      <c r="D150" s="11">
        <f t="shared" si="140"/>
        <v>20.322203405798444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717.43314909739138</v>
      </c>
      <c r="H150" s="67">
        <f t="shared" si="110"/>
        <v>418.53752093176558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80.239844009379794</v>
      </c>
      <c r="T150" s="59">
        <f t="shared" si="142"/>
        <v>226.38486687660168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3.8252682889294491</v>
      </c>
      <c r="AA150" s="21">
        <f>EXP(-LN(2)/25)*AA149+(1-EXP(-LN(2)/25))/(LN(2)/25)*Calculateur!V150*Calculateur!X150*VLOOKUP('Données projet'!$B$9,Paramètres!$A$1:$I$89,3,0)*0.475*44/12</f>
        <v>0.29855078989436229</v>
      </c>
      <c r="AB150" s="21">
        <f>EXP(-LN(2)/2)*AB149+(1-EXP(-LN(2)/2))/(LN(2)/2)*V150*Y150*VLOOKUP('Données projet'!$B$9,Paramètres!$A$1:$I$89,3,0)*0.475*44/12</f>
        <v>1.1056436306556605E-18</v>
      </c>
      <c r="AC150" s="22">
        <f t="shared" si="111"/>
        <v>4.1238190788238116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73.111999999999981</v>
      </c>
      <c r="D151" s="11">
        <f t="shared" si="140"/>
        <v>20.444309579101066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722.18905640007824</v>
      </c>
      <c r="H151" s="67">
        <f t="shared" si="110"/>
        <v>419.61057251693433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80.239844009379794</v>
      </c>
      <c r="T151" s="59">
        <f t="shared" si="142"/>
        <v>226.38486687660168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3.7502571109668161</v>
      </c>
      <c r="AA151" s="21">
        <f>EXP(-LN(2)/25)*AA150+(1-EXP(-LN(2)/25))/(LN(2)/25)*Calculateur!V151*Calculateur!X151*VLOOKUP('Données projet'!$B$9,Paramètres!$A$1:$I$89,3,0)*0.475*44/12</f>
        <v>0.29038690284459728</v>
      </c>
      <c r="AB151" s="21">
        <f>EXP(-LN(2)/2)*AB150+(1-EXP(-LN(2)/2))/(LN(2)/2)*V151*Y151*VLOOKUP('Données projet'!$B$9,Paramètres!$A$1:$I$89,3,0)*0.475*44/12</f>
        <v>7.8180810881233207E-19</v>
      </c>
      <c r="AC151" s="22">
        <f t="shared" si="111"/>
        <v>4.0406440138114137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73.60599999999998</v>
      </c>
      <c r="D152" s="11">
        <f t="shared" si="140"/>
        <v>20.566319754530966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726.94422266655465</v>
      </c>
      <c r="H152" s="67">
        <f t="shared" si="110"/>
        <v>420.68345690580804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80.239844009379794</v>
      </c>
      <c r="T152" s="59">
        <f t="shared" si="142"/>
        <v>226.38486687660168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3.6767168564517294</v>
      </c>
      <c r="AA152" s="21">
        <f>EXP(-LN(2)/25)*AA151+(1-EXP(-LN(2)/25))/(LN(2)/25)*Calculateur!V152*Calculateur!X152*VLOOKUP('Données projet'!$B$9,Paramètres!$A$1:$I$89,3,0)*0.475*44/12</f>
        <v>0.28244625771552823</v>
      </c>
      <c r="AB152" s="21">
        <f>EXP(-LN(2)/2)*AB151+(1-EXP(-LN(2)/2))/(LN(2)/2)*V152*Y152*VLOOKUP('Données projet'!$B$9,Paramètres!$A$1:$I$89,3,0)*0.475*44/12</f>
        <v>5.5282181532783023E-19</v>
      </c>
      <c r="AC152" s="22">
        <f t="shared" si="111"/>
        <v>3.9591631141672576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74.09999999999998</v>
      </c>
      <c r="D153" s="11">
        <f t="shared" si="140"/>
        <v>20.688234651093431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731.69865344703669</v>
      </c>
      <c r="H153" s="67">
        <f t="shared" si="110"/>
        <v>421.75617535065436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80.239844009379794</v>
      </c>
      <c r="T153" s="59">
        <f t="shared" si="142"/>
        <v>226.38486687660168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3.6046186814725574</v>
      </c>
      <c r="AA153" s="21">
        <f>EXP(-LN(2)/25)*AA152+(1-EXP(-LN(2)/25))/(LN(2)/25)*Calculateur!V153*Calculateur!X153*VLOOKUP('Données projet'!$B$9,Paramètres!$A$1:$I$89,3,0)*0.475*44/12</f>
        <v>0.27472274994509394</v>
      </c>
      <c r="AB153" s="21">
        <f>EXP(-LN(2)/2)*AB152+(1-EXP(-LN(2)/2))/(LN(2)/2)*V153*Y153*VLOOKUP('Données projet'!$B$9,Paramètres!$A$1:$I$89,3,0)*0.475*44/12</f>
        <v>3.9090405440616604E-19</v>
      </c>
      <c r="AC153" s="22">
        <f t="shared" si="111"/>
        <v>3.8793414314176511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74.59399999999998</v>
      </c>
      <c r="D154" s="11">
        <f t="shared" si="140"/>
        <v>20.810054977652769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736.45235421345978</v>
      </c>
      <c r="H154" s="67">
        <f t="shared" si="110"/>
        <v>422.82872908607851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80.239844009379794</v>
      </c>
      <c r="T154" s="59">
        <f t="shared" si="142"/>
        <v>226.38486687660168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3.5339343077291825</v>
      </c>
      <c r="AA154" s="21">
        <f>EXP(-LN(2)/25)*AA153+(1-EXP(-LN(2)/25))/(LN(2)/25)*Calculateur!V154*Calculateur!X154*VLOOKUP('Données projet'!$B$9,Paramètres!$A$1:$I$89,3,0)*0.475*44/12</f>
        <v>0.26721044190080379</v>
      </c>
      <c r="AB154" s="21">
        <f>EXP(-LN(2)/2)*AB153+(1-EXP(-LN(2)/2))/(LN(2)/2)*V154*Y154*VLOOKUP('Données projet'!$B$9,Paramètres!$A$1:$I$89,3,0)*0.475*44/12</f>
        <v>2.7641090766391511E-19</v>
      </c>
      <c r="AC154" s="22">
        <f t="shared" ref="AC154:AC203" si="163">SUM(Z154:AB154)</f>
        <v>3.8011447496299864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75.08799999999998</v>
      </c>
      <c r="D155" s="11">
        <f t="shared" si="140"/>
        <v>20.931781433141548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741.20533036109248</v>
      </c>
      <c r="H155" s="67">
        <f t="shared" si="110"/>
        <v>423.90111932938817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80.239844009379794</v>
      </c>
      <c r="T155" s="59">
        <f t="shared" si="142"/>
        <v>226.38486687660168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3.4646360114417041</v>
      </c>
      <c r="AA155" s="21">
        <f>EXP(-LN(2)/25)*AA154+(1-EXP(-LN(2)/25))/(LN(2)/25)*Calculateur!V155*Calculateur!X155*VLOOKUP('Données projet'!$B$9,Paramètres!$A$1:$I$89,3,0)*0.475*44/12</f>
        <v>0.25990355831503986</v>
      </c>
      <c r="AB155" s="21">
        <f>EXP(-LN(2)/2)*AB154+(1-EXP(-LN(2)/2))/(LN(2)/2)*V155*Y155*VLOOKUP('Données projet'!$B$9,Paramètres!$A$1:$I$89,3,0)*0.475*44/12</f>
        <v>1.9545202720308302E-19</v>
      </c>
      <c r="AC155" s="22">
        <f t="shared" si="163"/>
        <v>3.7245395697567441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75.581999999999979</v>
      </c>
      <c r="D156" s="11">
        <f t="shared" si="140"/>
        <v>21.053414706764119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745.95758721010895</v>
      </c>
      <c r="H156" s="67">
        <f t="shared" si="110"/>
        <v>424.97334728094745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80.239844009379794</v>
      </c>
      <c r="T156" s="59">
        <f t="shared" si="142"/>
        <v>226.38486687660168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3.396696612476636</v>
      </c>
      <c r="AA156" s="21">
        <f>EXP(-LN(2)/25)*AA155+(1-EXP(-LN(2)/25))/(LN(2)/25)*Calculateur!V156*Calculateur!X156*VLOOKUP('Données projet'!$B$9,Paramètres!$A$1:$I$89,3,0)*0.475*44/12</f>
        <v>0.252796481845181</v>
      </c>
      <c r="AB156" s="21">
        <f>EXP(-LN(2)/2)*AB155+(1-EXP(-LN(2)/2))/(LN(2)/2)*V156*Y156*VLOOKUP('Données projet'!$B$9,Paramètres!$A$1:$I$89,3,0)*0.475*44/12</f>
        <v>1.3820545383195756E-19</v>
      </c>
      <c r="AC156" s="22">
        <f t="shared" si="163"/>
        <v>3.6494930943218171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76.075999999999979</v>
      </c>
      <c r="D157" s="11">
        <f t="shared" si="140"/>
        <v>21.174955478194743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750.70913000711732</v>
      </c>
      <c r="H157" s="67">
        <f t="shared" si="110"/>
        <v>426.04541412452249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80.239844009379794</v>
      </c>
      <c r="T157" s="59">
        <f t="shared" si="142"/>
        <v>226.38486687660168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3.3300894636863316</v>
      </c>
      <c r="AA157" s="21">
        <f>EXP(-LN(2)/25)*AA156+(1-EXP(-LN(2)/25))/(LN(2)/25)*Calculateur!V157*Calculateur!X157*VLOOKUP('Données projet'!$B$9,Paramètres!$A$1:$I$89,3,0)*0.475*44/12</f>
        <v>0.24588374875513533</v>
      </c>
      <c r="AB157" s="21">
        <f>EXP(-LN(2)/2)*AB156+(1-EXP(-LN(2)/2))/(LN(2)/2)*V157*Y157*VLOOKUP('Données projet'!$B$9,Paramètres!$A$1:$I$89,3,0)*0.475*44/12</f>
        <v>9.7726013601541509E-20</v>
      </c>
      <c r="AC157" s="22">
        <f t="shared" si="163"/>
        <v>3.5759732124414669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76.569999999999979</v>
      </c>
      <c r="D158" s="11">
        <f t="shared" si="140"/>
        <v>21.296404417770301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755.4599639266479</v>
      </c>
      <c r="H158" s="67">
        <f t="shared" si="110"/>
        <v>427.11732102761664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80.239844009379794</v>
      </c>
      <c r="T158" s="59">
        <f t="shared" si="142"/>
        <v>226.38486687660168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3.2647884404574556</v>
      </c>
      <c r="AA158" s="21">
        <f>EXP(-LN(2)/25)*AA157+(1-EXP(-LN(2)/25))/(LN(2)/25)*Calculateur!V158*Calculateur!X158*VLOOKUP('Données projet'!$B$9,Paramètres!$A$1:$I$89,3,0)*0.475*44/12</f>
        <v>0.23916004471496177</v>
      </c>
      <c r="AB158" s="21">
        <f>EXP(-LN(2)/2)*AB157+(1-EXP(-LN(2)/2))/(LN(2)/2)*V158*Y158*VLOOKUP('Données projet'!$B$9,Paramètres!$A$1:$I$89,3,0)*0.475*44/12</f>
        <v>6.9102726915978778E-20</v>
      </c>
      <c r="AC158" s="22">
        <f t="shared" si="163"/>
        <v>3.5039484851724172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77.063999999999979</v>
      </c>
      <c r="D159" s="11">
        <f t="shared" si="140"/>
        <v>21.417762186678065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760.21009407260237</v>
      </c>
      <c r="H159" s="67">
        <f t="shared" si="110"/>
        <v>428.18906914179763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80.239844009379794</v>
      </c>
      <c r="T159" s="59">
        <f t="shared" si="142"/>
        <v>226.38486687660168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3.2007679304644068</v>
      </c>
      <c r="AA159" s="21">
        <f>EXP(-LN(2)/25)*AA158+(1-EXP(-LN(2)/25))/(LN(2)/25)*Calculateur!V159*Calculateur!X159*VLOOKUP('Données projet'!$B$9,Paramètres!$A$1:$I$89,3,0)*0.475*44/12</f>
        <v>0.232620200715351</v>
      </c>
      <c r="AB159" s="21">
        <f>EXP(-LN(2)/2)*AB158+(1-EXP(-LN(2)/2))/(LN(2)/2)*V159*Y159*VLOOKUP('Données projet'!$B$9,Paramètres!$A$1:$I$89,3,0)*0.475*44/12</f>
        <v>4.8863006800770754E-20</v>
      </c>
      <c r="AC159" s="22">
        <f t="shared" si="163"/>
        <v>3.4333881311797576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77.557999999999979</v>
      </c>
      <c r="D160" s="11">
        <f t="shared" si="140"/>
        <v>21.539029437138336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764.95952547966419</v>
      </c>
      <c r="H160" s="67">
        <f t="shared" si="110"/>
        <v>429.26065960301594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80.239844009379794</v>
      </c>
      <c r="T160" s="59">
        <f t="shared" si="142"/>
        <v>226.38486687660168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3.1380028236236663</v>
      </c>
      <c r="AA160" s="21">
        <f>EXP(-LN(2)/25)*AA159+(1-EXP(-LN(2)/25))/(LN(2)/25)*Calculateur!V160*Calculateur!X160*VLOOKUP('Données projet'!$B$9,Paramètres!$A$1:$I$89,3,0)*0.475*44/12</f>
        <v>0.22625918909382503</v>
      </c>
      <c r="AB160" s="21">
        <f>EXP(-LN(2)/2)*AB159+(1-EXP(-LN(2)/2))/(LN(2)/2)*V160*Y160*VLOOKUP('Données projet'!$B$9,Paramètres!$A$1:$I$89,3,0)*0.475*44/12</f>
        <v>3.4551363457989389E-20</v>
      </c>
      <c r="AC160" s="22">
        <f t="shared" si="163"/>
        <v>3.3642620127174911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78.051999999999978</v>
      </c>
      <c r="D161" s="11">
        <f t="shared" si="140"/>
        <v>21.660206812582402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769.70826311467101</v>
      </c>
      <c r="H161" s="67">
        <f t="shared" si="110"/>
        <v>430.33209353191432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80.239844009379794</v>
      </c>
      <c r="T161" s="59">
        <f t="shared" si="142"/>
        <v>226.38486687660168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3.0764685022451377</v>
      </c>
      <c r="AA161" s="21">
        <f>EXP(-LN(2)/25)*AA160+(1-EXP(-LN(2)/25))/(LN(2)/25)*Calculateur!V161*Calculateur!X161*VLOOKUP('Données projet'!$B$9,Paramètres!$A$1:$I$89,3,0)*0.475*44/12</f>
        <v>0.22007211966960075</v>
      </c>
      <c r="AB161" s="21">
        <f>EXP(-LN(2)/2)*AB160+(1-EXP(-LN(2)/2))/(LN(2)/2)*V161*Y161*VLOOKUP('Données projet'!$B$9,Paramètres!$A$1:$I$89,3,0)*0.475*44/12</f>
        <v>2.4431503400385377E-20</v>
      </c>
      <c r="AC161" s="22">
        <f t="shared" si="163"/>
        <v>3.2965406219147386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78.545999999999978</v>
      </c>
      <c r="D162" s="11">
        <f t="shared" si="140"/>
        <v>21.781294947825838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774.45631187795368</v>
      </c>
      <c r="H162" s="67">
        <f t="shared" si="110"/>
        <v>431.40337203412997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80.239844009379794</v>
      </c>
      <c r="T162" s="59">
        <f t="shared" si="142"/>
        <v>226.38486687660168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3.0161408313766116</v>
      </c>
      <c r="AA162" s="21">
        <f>EXP(-LN(2)/25)*AA161+(1-EXP(-LN(2)/25))/(LN(2)/25)*Calculateur!V162*Calculateur!X162*VLOOKUP('Données projet'!$B$9,Paramètres!$A$1:$I$89,3,0)*0.475*44/12</f>
        <v>0.21405423598414572</v>
      </c>
      <c r="AB162" s="21">
        <f>EXP(-LN(2)/2)*AB161+(1-EXP(-LN(2)/2))/(LN(2)/2)*V162*Y162*VLOOKUP('Données projet'!$B$9,Paramètres!$A$1:$I$89,3,0)*0.475*44/12</f>
        <v>1.7275681728994695E-20</v>
      </c>
      <c r="AC162" s="22">
        <f t="shared" si="163"/>
        <v>3.2301950673607571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79.039999999999978</v>
      </c>
      <c r="D163" s="11">
        <f t="shared" si="140"/>
        <v>21.902294469237312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779.20367660463887</v>
      </c>
      <c r="H163" s="67">
        <f t="shared" si="110"/>
        <v>432.47449620058831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80.239844009379794</v>
      </c>
      <c r="T163" s="59">
        <f t="shared" si="142"/>
        <v>226.38486687660168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2.9569961493375718</v>
      </c>
      <c r="AA163" s="21">
        <f>EXP(-LN(2)/25)*AA162+(1-EXP(-LN(2)/25))/(LN(2)/25)*Calculateur!V163*Calculateur!X163*VLOOKUP('Données projet'!$B$9,Paramètres!$A$1:$I$89,3,0)*0.475*44/12</f>
        <v>0.20820091164453622</v>
      </c>
      <c r="AB163" s="21">
        <f>EXP(-LN(2)/2)*AB162+(1-EXP(-LN(2)/2))/(LN(2)/2)*V163*Y163*VLOOKUP('Données projet'!$B$9,Paramètres!$A$1:$I$89,3,0)*0.475*44/12</f>
        <v>1.2215751700192689E-20</v>
      </c>
      <c r="AC163" s="22">
        <f t="shared" si="163"/>
        <v>3.1651970609821078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79.533999999999978</v>
      </c>
      <c r="D164" s="11">
        <f t="shared" si="140"/>
        <v>22.023205994903069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783.95036206591828</v>
      </c>
      <c r="H164" s="67">
        <f t="shared" si="110"/>
        <v>433.54546710778948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80.239844009379794</v>
      </c>
      <c r="T164" s="59">
        <f t="shared" si="142"/>
        <v>226.38486687660168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2.8990112584386236</v>
      </c>
      <c r="AA164" s="21">
        <f>EXP(-LN(2)/25)*AA163+(1-EXP(-LN(2)/25))/(LN(2)/25)*Calculateur!V164*Calculateur!X164*VLOOKUP('Données projet'!$B$9,Paramètres!$A$1:$I$89,3,0)*0.475*44/12</f>
        <v>0.20250764676680627</v>
      </c>
      <c r="AB164" s="21">
        <f>EXP(-LN(2)/2)*AB163+(1-EXP(-LN(2)/2))/(LN(2)/2)*V164*Y164*VLOOKUP('Données projet'!$B$9,Paramètres!$A$1:$I$89,3,0)*0.475*44/12</f>
        <v>8.6378408644973473E-21</v>
      </c>
      <c r="AC164" s="22">
        <f t="shared" si="163"/>
        <v>3.1015189052054297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80.027999999999977</v>
      </c>
      <c r="D165" s="11">
        <f t="shared" si="140"/>
        <v>22.144030134787155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788.69637297028669</v>
      </c>
      <c r="H165" s="67">
        <f t="shared" si="110"/>
        <v>434.61628581808759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80.239844009379794</v>
      </c>
      <c r="T165" s="59">
        <f t="shared" si="142"/>
        <v>226.38486687660168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2.8421634158829123</v>
      </c>
      <c r="AA165" s="21">
        <f>EXP(-LN(2)/25)*AA164+(1-EXP(-LN(2)/25))/(LN(2)/25)*Calculateur!V165*Calculateur!X165*VLOOKUP('Données projet'!$B$9,Paramètres!$A$1:$I$89,3,0)*0.475*44/12</f>
        <v>0.19697006451655363</v>
      </c>
      <c r="AB165" s="21">
        <f>EXP(-LN(2)/2)*AB164+(1-EXP(-LN(2)/2))/(LN(2)/2)*V165*Y165*VLOOKUP('Données projet'!$B$9,Paramètres!$A$1:$I$89,3,0)*0.475*44/12</f>
        <v>6.1078758500963443E-21</v>
      </c>
      <c r="AC165" s="22">
        <f t="shared" si="163"/>
        <v>3.0391334803994661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80.521999999999977</v>
      </c>
      <c r="D166" s="11">
        <f t="shared" si="140"/>
        <v>22.264767490887625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793.44171396474633</v>
      </c>
      <c r="H166" s="67">
        <f t="shared" si="110"/>
        <v>435.68695337996257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80.239844009379794</v>
      </c>
      <c r="T166" s="59">
        <f t="shared" si="142"/>
        <v>226.38486687660168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2.7864303248459583</v>
      </c>
      <c r="AA166" s="21">
        <f>EXP(-LN(2)/25)*AA165+(1-EXP(-LN(2)/25))/(LN(2)/25)*Calculateur!V166*Calculateur!X166*VLOOKUP('Données projet'!$B$9,Paramètres!$A$1:$I$89,3,0)*0.475*44/12</f>
        <v>0.19158390774414297</v>
      </c>
      <c r="AB166" s="21">
        <f>EXP(-LN(2)/2)*AB165+(1-EXP(-LN(2)/2))/(LN(2)/2)*V166*Y166*VLOOKUP('Données projet'!$B$9,Paramètres!$A$1:$I$89,3,0)*0.475*44/12</f>
        <v>4.3189204322486736E-21</v>
      </c>
      <c r="AC166" s="22">
        <f t="shared" si="163"/>
        <v>2.9780142325901013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81.015999999999977</v>
      </c>
      <c r="D167" s="11">
        <f t="shared" si="140"/>
        <v>22.385418657388872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798.18638963598414</v>
      </c>
      <c r="H167" s="67">
        <f t="shared" si="110"/>
        <v>436.75747082828559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80.239844009379794</v>
      </c>
      <c r="T167" s="59">
        <f t="shared" si="142"/>
        <v>226.38486687660168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2.7317901257304102</v>
      </c>
      <c r="AA167" s="21">
        <f>EXP(-LN(2)/25)*AA166+(1-EXP(-LN(2)/25))/(LN(2)/25)*Calculateur!V167*Calculateur!X167*VLOOKUP('Données projet'!$B$9,Paramètres!$A$1:$I$89,3,0)*0.475*44/12</f>
        <v>0.18634503571191954</v>
      </c>
      <c r="AB167" s="21">
        <f>EXP(-LN(2)/2)*AB166+(1-EXP(-LN(2)/2))/(LN(2)/2)*V167*Y167*VLOOKUP('Données projet'!$B$9,Paramètres!$A$1:$I$89,3,0)*0.475*44/12</f>
        <v>3.0539379250481722E-21</v>
      </c>
      <c r="AC167" s="22">
        <f t="shared" si="163"/>
        <v>2.9181351614423297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81.509999999999977</v>
      </c>
      <c r="D168" s="11">
        <f t="shared" si="140"/>
        <v>22.505984220809903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802.93040451151501</v>
      </c>
      <c r="H168" s="67">
        <f t="shared" si="110"/>
        <v>437.82783918457721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80.239844009379794</v>
      </c>
      <c r="T168" s="59">
        <f t="shared" si="142"/>
        <v>226.38486687660168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2.6782213875922873</v>
      </c>
      <c r="AA168" s="21">
        <f>EXP(-LN(2)/25)*AA167+(1-EXP(-LN(2)/25))/(LN(2)/25)*Calculateur!V168*Calculateur!X168*VLOOKUP('Données projet'!$B$9,Paramètres!$A$1:$I$89,3,0)*0.475*44/12</f>
        <v>0.18124942091091759</v>
      </c>
      <c r="AB168" s="21">
        <f>EXP(-LN(2)/2)*AB167+(1-EXP(-LN(2)/2))/(LN(2)/2)*V168*Y168*VLOOKUP('Données projet'!$B$9,Paramètres!$A$1:$I$89,3,0)*0.475*44/12</f>
        <v>2.1594602161243368E-21</v>
      </c>
      <c r="AC168" s="22">
        <f t="shared" si="163"/>
        <v>2.8594708085032048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82.003999999999976</v>
      </c>
      <c r="D169" s="11">
        <f t="shared" si="140"/>
        <v>22.626464760149261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807.67376306080121</v>
      </c>
      <c r="H169" s="67">
        <f t="shared" si="110"/>
        <v>438.89805945725993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80.239844009379794</v>
      </c>
      <c r="T169" s="59">
        <f t="shared" si="142"/>
        <v>226.38486687660168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2.625703099735349</v>
      </c>
      <c r="AA169" s="21">
        <f>EXP(-LN(2)/25)*AA168+(1-EXP(-LN(2)/25))/(LN(2)/25)*Calculateur!V169*Calculateur!X169*VLOOKUP('Données projet'!$B$9,Paramètres!$A$1:$I$89,3,0)*0.475*44/12</f>
        <v>0.17629314596461576</v>
      </c>
      <c r="AB169" s="21">
        <f>EXP(-LN(2)/2)*AB168+(1-EXP(-LN(2)/2))/(LN(2)/2)*V169*Y169*VLOOKUP('Données projet'!$B$9,Paramètres!$A$1:$I$89,3,0)*0.475*44/12</f>
        <v>1.5269689625240861E-21</v>
      </c>
      <c r="AC169" s="22">
        <f t="shared" si="163"/>
        <v>2.8019962456999647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82.497999999999976</v>
      </c>
      <c r="D170" s="11">
        <f t="shared" si="140"/>
        <v>22.746860847025957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812.41646969634064</v>
      </c>
      <c r="H170" s="67">
        <f t="shared" si="110"/>
        <v>439.96813264190348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80.239844009379794</v>
      </c>
      <c r="T170" s="59">
        <f t="shared" si="142"/>
        <v>226.38486687660168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2.5742146634702925</v>
      </c>
      <c r="AA170" s="21">
        <f>EXP(-LN(2)/25)*AA169+(1-EXP(-LN(2)/25))/(LN(2)/25)*Calculateur!V170*Calculateur!X170*VLOOKUP('Données projet'!$B$9,Paramètres!$A$1:$I$89,3,0)*0.475*44/12</f>
        <v>0.17147240061735972</v>
      </c>
      <c r="AB170" s="21">
        <f>EXP(-LN(2)/2)*AB169+(1-EXP(-LN(2)/2))/(LN(2)/2)*V170*Y170*VLOOKUP('Données projet'!$B$9,Paramètres!$A$1:$I$89,3,0)*0.475*44/12</f>
        <v>1.0797301080621684E-21</v>
      </c>
      <c r="AC170" s="22">
        <f t="shared" si="163"/>
        <v>2.7456870640876523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82.991999999999976</v>
      </c>
      <c r="D171" s="11">
        <f t="shared" si="140"/>
        <v>22.867173045817303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817.1585287747298</v>
      </c>
      <c r="H171" s="67">
        <f t="shared" si="110"/>
        <v>441.03805972146512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80.239844009379794</v>
      </c>
      <c r="T171" s="59">
        <f t="shared" si="142"/>
        <v>226.38486687660168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2.5237358840355486</v>
      </c>
      <c r="AA171" s="21">
        <f>EXP(-LN(2)/25)*AA170+(1-EXP(-LN(2)/25))/(LN(2)/25)*Calculateur!V171*Calculateur!X171*VLOOKUP('Données projet'!$B$9,Paramètres!$A$1:$I$89,3,0)*0.475*44/12</f>
        <v>0.16678347880513636</v>
      </c>
      <c r="AB171" s="21">
        <f>EXP(-LN(2)/2)*AB170+(1-EXP(-LN(2)/2))/(LN(2)/2)*V171*Y171*VLOOKUP('Données projet'!$B$9,Paramètres!$A$1:$I$89,3,0)*0.475*44/12</f>
        <v>7.6348448126204304E-22</v>
      </c>
      <c r="AC171" s="22">
        <f t="shared" si="163"/>
        <v>2.6905193628406852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83.485999999999976</v>
      </c>
      <c r="D172" s="11">
        <f t="shared" si="140"/>
        <v>22.987401913793153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821.89994459770139</v>
      </c>
      <c r="H172" s="67">
        <f t="shared" si="110"/>
        <v>442.10784166652303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80.239844009379794</v>
      </c>
      <c r="T172" s="59">
        <f t="shared" si="142"/>
        <v>226.38486687660168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2.4742469626765047</v>
      </c>
      <c r="AA172" s="21">
        <f>EXP(-LN(2)/25)*AA171+(1-EXP(-LN(2)/25))/(LN(2)/25)*Calculateur!V172*Calculateur!X172*VLOOKUP('Données projet'!$B$9,Paramètres!$A$1:$I$89,3,0)*0.475*44/12</f>
        <v>0.16222277580644795</v>
      </c>
      <c r="AB172" s="21">
        <f>EXP(-LN(2)/2)*AB171+(1-EXP(-LN(2)/2))/(LN(2)/2)*V172*Y172*VLOOKUP('Données projet'!$B$9,Paramètres!$A$1:$I$89,3,0)*0.475*44/12</f>
        <v>5.398650540310842E-22</v>
      </c>
      <c r="AC172" s="22">
        <f t="shared" si="163"/>
        <v>2.6364697384829525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83.979999999999976</v>
      </c>
      <c r="D173" s="11">
        <f t="shared" si="140"/>
        <v>23.10754800124684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826.64072141313329</v>
      </c>
      <c r="H173" s="67">
        <f t="shared" si="110"/>
        <v>443.17747943550489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80.239844009379794</v>
      </c>
      <c r="T173" s="59">
        <f t="shared" si="142"/>
        <v>226.38486687660168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2.4257284888800501</v>
      </c>
      <c r="AA173" s="21">
        <f>EXP(-LN(2)/25)*AA172+(1-EXP(-LN(2)/25))/(LN(2)/25)*Calculateur!V173*Calculateur!X173*VLOOKUP('Données projet'!$B$9,Paramètres!$A$1:$I$89,3,0)*0.475*44/12</f>
        <v>0.15778678547109562</v>
      </c>
      <c r="AB173" s="21">
        <f>EXP(-LN(2)/2)*AB172+(1-EXP(-LN(2)/2))/(LN(2)/2)*V173*Y173*VLOOKUP('Données projet'!$B$9,Paramètres!$A$1:$I$89,3,0)*0.475*44/12</f>
        <v>3.8174224063102152E-22</v>
      </c>
      <c r="AC173" s="22">
        <f t="shared" si="163"/>
        <v>2.5835152743511456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84.473999999999975</v>
      </c>
      <c r="D174" s="11">
        <f t="shared" si="140"/>
        <v>23.22761185162317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831.38086341603832</v>
      </c>
      <c r="H174" s="67">
        <f t="shared" si="110"/>
        <v>444.2469739749103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80.239844009379794</v>
      </c>
      <c r="T174" s="59">
        <f t="shared" si="142"/>
        <v>226.38486687660168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2.3781614327613974</v>
      </c>
      <c r="AA174" s="21">
        <f>EXP(-LN(2)/25)*AA173+(1-EXP(-LN(2)/25))/(LN(2)/25)*Calculateur!V174*Calculateur!X174*VLOOKUP('Données projet'!$B$9,Paramètres!$A$1:$I$89,3,0)*0.475*44/12</f>
        <v>0.15347209752474208</v>
      </c>
      <c r="AB174" s="21">
        <f>EXP(-LN(2)/2)*AB173+(1-EXP(-LN(2)/2))/(LN(2)/2)*V174*Y174*VLOOKUP('Données projet'!$B$9,Paramètres!$A$1:$I$89,3,0)*0.475*44/12</f>
        <v>2.699325270155421E-22</v>
      </c>
      <c r="AC174" s="22">
        <f t="shared" si="163"/>
        <v>2.5316335302861392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84.967999999999975</v>
      </c>
      <c r="D175" s="11">
        <f t="shared" si="140"/>
        <v>23.347594001643046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836.12037474952513</v>
      </c>
      <c r="H175" s="67">
        <f t="shared" si="110"/>
        <v>445.31632621952826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80.239844009379794</v>
      </c>
      <c r="T175" s="59">
        <f t="shared" si="142"/>
        <v>226.38486687660168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2.331527137600192</v>
      </c>
      <c r="AA175" s="21">
        <f>EXP(-LN(2)/25)*AA174+(1-EXP(-LN(2)/25))/(LN(2)/25)*Calculateur!V175*Calculateur!X175*VLOOKUP('Données projet'!$B$9,Paramètres!$A$1:$I$89,3,0)*0.475*44/12</f>
        <v>0.14927539494718117</v>
      </c>
      <c r="AB175" s="21">
        <f>EXP(-LN(2)/2)*AB174+(1-EXP(-LN(2)/2))/(LN(2)/2)*V175*Y175*VLOOKUP('Données projet'!$B$9,Paramètres!$A$1:$I$89,3,0)*0.475*44/12</f>
        <v>1.9087112031551076E-22</v>
      </c>
      <c r="AC175" s="22">
        <f t="shared" si="163"/>
        <v>2.480802532547373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85.461999999999975</v>
      </c>
      <c r="D176" s="11">
        <f t="shared" si="140"/>
        <v>23.467494981425435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840.85925950573994</v>
      </c>
      <c r="H176" s="67">
        <f t="shared" si="110"/>
        <v>446.38553709264926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80.239844009379794</v>
      </c>
      <c r="T176" s="59">
        <f t="shared" si="142"/>
        <v>226.38486687660168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2.2858073125229863</v>
      </c>
      <c r="AA176" s="21">
        <f>EXP(-LN(2)/25)*AA175+(1-EXP(-LN(2)/25))/(LN(2)/25)*Calculateur!V176*Calculateur!X176*VLOOKUP('Données projet'!$B$9,Paramètres!$A$1:$I$89,3,0)*0.475*44/12</f>
        <v>0.14519345142229867</v>
      </c>
      <c r="AB176" s="21">
        <f>EXP(-LN(2)/2)*AB175+(1-EXP(-LN(2)/2))/(LN(2)/2)*V176*Y176*VLOOKUP('Données projet'!$B$9,Paramètres!$A$1:$I$89,3,0)*0.475*44/12</f>
        <v>1.3496626350777105E-22</v>
      </c>
      <c r="AC176" s="22">
        <f t="shared" si="163"/>
        <v>2.4310007639452849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85.955999999999975</v>
      </c>
      <c r="D177" s="11">
        <f t="shared" si="140"/>
        <v>23.587315314606048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845.59752172678338</v>
      </c>
      <c r="H177" s="67">
        <f t="shared" si="110"/>
        <v>447.45460750627217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80.239844009379794</v>
      </c>
      <c r="T177" s="59">
        <f t="shared" si="142"/>
        <v>226.38486687660168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2.240984025329205</v>
      </c>
      <c r="AA177" s="21">
        <f>EXP(-LN(2)/25)*AA176+(1-EXP(-LN(2)/25))/(LN(2)/25)*Calculateur!V177*Calculateur!X177*VLOOKUP('Données projet'!$B$9,Paramètres!$A$1:$I$89,3,0)*0.475*44/12</f>
        <v>0.14122312885776414</v>
      </c>
      <c r="AB177" s="21">
        <f>EXP(-LN(2)/2)*AB176+(1-EXP(-LN(2)/2))/(LN(2)/2)*V177*Y177*VLOOKUP('Données projet'!$B$9,Paramètres!$A$1:$I$89,3,0)*0.475*44/12</f>
        <v>9.543556015775538E-23</v>
      </c>
      <c r="AC177" s="22">
        <f t="shared" si="163"/>
        <v>2.3822071541869692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86.449999999999974</v>
      </c>
      <c r="D178" s="11">
        <f t="shared" si="140"/>
        <v>23.707055518453593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850.33516540560652</v>
      </c>
      <c r="H178" s="67">
        <f t="shared" si="110"/>
        <v>448.52353836130663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80.239844009379794</v>
      </c>
      <c r="T178" s="59">
        <f t="shared" si="142"/>
        <v>226.38486687660168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2.197039695457788</v>
      </c>
      <c r="AA178" s="21">
        <f>EXP(-LN(2)/25)*AA177+(1-EXP(-LN(2)/25))/(LN(2)/25)*Calculateur!V178*Calculateur!X178*VLOOKUP('Données projet'!$B$9,Paramètres!$A$1:$I$89,3,0)*0.475*44/12</f>
        <v>0.137361374972547</v>
      </c>
      <c r="AB178" s="21">
        <f>EXP(-LN(2)/2)*AB177+(1-EXP(-LN(2)/2))/(LN(2)/2)*V178*Y178*VLOOKUP('Données projet'!$B$9,Paramètres!$A$1:$I$89,3,0)*0.475*44/12</f>
        <v>6.7483131753885526E-23</v>
      </c>
      <c r="AC178" s="22">
        <f t="shared" si="163"/>
        <v>2.3344010704303351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86.943999999999974</v>
      </c>
      <c r="D179" s="11">
        <f t="shared" si="140"/>
        <v>23.82671610398301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855.07219448688613</v>
      </c>
      <c r="H179" s="67">
        <f t="shared" si="110"/>
        <v>449.59233054777036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80.239844009379794</v>
      </c>
      <c r="T179" s="59">
        <f t="shared" si="142"/>
        <v>226.38486687660168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2.1539570870917548</v>
      </c>
      <c r="AA179" s="21">
        <f>EXP(-LN(2)/25)*AA178+(1-EXP(-LN(2)/25))/(LN(2)/25)*Calculateur!V179*Calculateur!X179*VLOOKUP('Données projet'!$B$9,Paramètres!$A$1:$I$89,3,0)*0.475*44/12</f>
        <v>0.13360522095040192</v>
      </c>
      <c r="AB179" s="21">
        <f>EXP(-LN(2)/2)*AB178+(1-EXP(-LN(2)/2))/(LN(2)/2)*V179*Y179*VLOOKUP('Données projet'!$B$9,Paramètres!$A$1:$I$89,3,0)*0.475*44/12</f>
        <v>4.771778007887769E-23</v>
      </c>
      <c r="AC179" s="22">
        <f t="shared" si="163"/>
        <v>2.2875623080421565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87.437999999999974</v>
      </c>
      <c r="D180" s="11">
        <f t="shared" si="140"/>
        <v>23.946297576066275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859.80861286787979</v>
      </c>
      <c r="H180" s="67">
        <f t="shared" si="110"/>
        <v>450.66098494498203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80.239844009379794</v>
      </c>
      <c r="T180" s="59">
        <f t="shared" si="142"/>
        <v>226.38486687660168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2.1117193023979834</v>
      </c>
      <c r="AA180" s="21">
        <f>EXP(-LN(2)/25)*AA179+(1-EXP(-LN(2)/25))/(LN(2)/25)*Calculateur!V180*Calculateur!X180*VLOOKUP('Données projet'!$B$9,Paramètres!$A$1:$I$89,3,0)*0.475*44/12</f>
        <v>0.12995177915751996</v>
      </c>
      <c r="AB180" s="21">
        <f>EXP(-LN(2)/2)*AB179+(1-EXP(-LN(2)/2))/(LN(2)/2)*V180*Y180*VLOOKUP('Données projet'!$B$9,Paramètres!$A$1:$I$89,3,0)*0.475*44/12</f>
        <v>3.3741565876942763E-23</v>
      </c>
      <c r="AC180" s="22">
        <f t="shared" si="163"/>
        <v>2.2416710815555034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87.931999999999974</v>
      </c>
      <c r="D181" s="11">
        <f t="shared" si="140"/>
        <v>24.065800433540435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864.54442439925936</v>
      </c>
      <c r="H181" s="67">
        <f t="shared" si="110"/>
        <v>451.72950242174954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80.239844009379794</v>
      </c>
      <c r="T181" s="59">
        <f t="shared" si="142"/>
        <v>226.38486687660168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2.070309774899552</v>
      </c>
      <c r="AA181" s="21">
        <f>EXP(-LN(2)/25)*AA180+(1-EXP(-LN(2)/25))/(LN(2)/25)*Calculateur!V181*Calculateur!X181*VLOOKUP('Données projet'!$B$9,Paramètres!$A$1:$I$89,3,0)*0.475*44/12</f>
        <v>0.12639824092259053</v>
      </c>
      <c r="AB181" s="21">
        <f>EXP(-LN(2)/2)*AB180+(1-EXP(-LN(2)/2))/(LN(2)/2)*V181*Y181*VLOOKUP('Données projet'!$B$9,Paramètres!$A$1:$I$89,3,0)*0.475*44/12</f>
        <v>2.3858890039438845E-23</v>
      </c>
      <c r="AC181" s="22">
        <f t="shared" si="163"/>
        <v>2.1967080158221424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88.425999999999974</v>
      </c>
      <c r="D182" s="11">
        <f t="shared" si="140"/>
        <v>24.185225169313263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869.27963288592673</v>
      </c>
      <c r="H182" s="67">
        <f t="shared" si="110"/>
        <v>452.79788383655386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80.239844009379794</v>
      </c>
      <c r="T182" s="59">
        <f t="shared" si="142"/>
        <v>226.38486687660168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2.0297122629780469</v>
      </c>
      <c r="AA182" s="21">
        <f>EXP(-LN(2)/25)*AA181+(1-EXP(-LN(2)/25))/(LN(2)/25)*Calculateur!V182*Calculateur!X182*VLOOKUP('Données projet'!$B$9,Paramètres!$A$1:$I$89,3,0)*0.475*44/12</f>
        <v>0.12294187437756769</v>
      </c>
      <c r="AB182" s="21">
        <f>EXP(-LN(2)/2)*AB181+(1-EXP(-LN(2)/2))/(LN(2)/2)*V182*Y182*VLOOKUP('Données projet'!$B$9,Paramètres!$A$1:$I$89,3,0)*0.475*44/12</f>
        <v>1.6870782938471381E-23</v>
      </c>
      <c r="AC182" s="22">
        <f t="shared" si="163"/>
        <v>2.1526541373556145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88.919999999999973</v>
      </c>
      <c r="D183" s="11">
        <f t="shared" si="140"/>
        <v>24.30457227046648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874.01424208781134</v>
      </c>
      <c r="H183" s="67">
        <f t="shared" si="110"/>
        <v>453.86613003772908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80.239844009379794</v>
      </c>
      <c r="T183" s="59">
        <f t="shared" si="142"/>
        <v>226.38486687660168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1.9899108435032853</v>
      </c>
      <c r="AA183" s="21">
        <f>EXP(-LN(2)/25)*AA182+(1-EXP(-LN(2)/25))/(LN(2)/25)*Calculateur!V183*Calculateur!X183*VLOOKUP('Données projet'!$B$9,Paramètres!$A$1:$I$89,3,0)*0.475*44/12</f>
        <v>0.11958002235748091</v>
      </c>
      <c r="AB183" s="21">
        <f>EXP(-LN(2)/2)*AB182+(1-EXP(-LN(2)/2))/(LN(2)/2)*V183*Y183*VLOOKUP('Données projet'!$B$9,Paramètres!$A$1:$I$89,3,0)*0.475*44/12</f>
        <v>1.1929445019719422E-23</v>
      </c>
      <c r="AC183" s="22">
        <f t="shared" si="163"/>
        <v>2.1094908658607663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89.413999999999973</v>
      </c>
      <c r="D184" s="11">
        <f t="shared" si="140"/>
        <v>24.42384221835654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878.74825572064674</v>
      </c>
      <c r="H184" s="67">
        <f t="shared" si="110"/>
        <v>454.93424186363757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80.239844009379794</v>
      </c>
      <c r="T184" s="59">
        <f t="shared" si="142"/>
        <v>226.38486687660168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1.9508899055879549</v>
      </c>
      <c r="AA184" s="21">
        <f>EXP(-LN(2)/25)*AA183+(1-EXP(-LN(2)/25))/(LN(2)/25)*Calculateur!V184*Calculateur!X184*VLOOKUP('Données projet'!$B$9,Paramètres!$A$1:$I$89,3,0)*0.475*44/12</f>
        <v>0.11631010035767553</v>
      </c>
      <c r="AB184" s="21">
        <f>EXP(-LN(2)/2)*AB183+(1-EXP(-LN(2)/2))/(LN(2)/2)*V184*Y184*VLOOKUP('Données projet'!$B$9,Paramètres!$A$1:$I$89,3,0)*0.475*44/12</f>
        <v>8.4353914692356907E-24</v>
      </c>
      <c r="AC184" s="22">
        <f t="shared" si="163"/>
        <v>2.0672000059456304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89.907999999999973</v>
      </c>
      <c r="D185" s="11">
        <f t="shared" si="140"/>
        <v>24.543035488713222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883.48167745673345</v>
      </c>
      <c r="H185" s="67">
        <f t="shared" si="110"/>
        <v>456.00222014284213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80.239844009379794</v>
      </c>
      <c r="T185" s="59">
        <f t="shared" si="142"/>
        <v>226.38486687660168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1.9126341444647221</v>
      </c>
      <c r="AA185" s="21">
        <f>EXP(-LN(2)/25)*AA184+(1-EXP(-LN(2)/25))/(LN(2)/25)*Calculateur!V185*Calculateur!X185*VLOOKUP('Données projet'!$B$9,Paramètres!$A$1:$I$89,3,0)*0.475*44/12</f>
        <v>0.11312959454691254</v>
      </c>
      <c r="AB185" s="21">
        <f>EXP(-LN(2)/2)*AB184+(1-EXP(-LN(2)/2))/(LN(2)/2)*V185*Y185*VLOOKUP('Données projet'!$B$9,Paramètres!$A$1:$I$89,3,0)*0.475*44/12</f>
        <v>5.9647225098597112E-24</v>
      </c>
      <c r="AC185" s="22">
        <f t="shared" si="163"/>
        <v>2.0257637390116345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90.401999999999973</v>
      </c>
      <c r="D186" s="11">
        <f t="shared" si="140"/>
        <v>24.662152551735971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888.21451092568088</v>
      </c>
      <c r="H186" s="67">
        <f t="shared" si="110"/>
        <v>457.07006569427347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80.239844009379794</v>
      </c>
      <c r="T186" s="59">
        <f t="shared" si="142"/>
        <v>226.38486687660168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1.8751285554834056</v>
      </c>
      <c r="AA186" s="21">
        <f>EXP(-LN(2)/25)*AA185+(1-EXP(-LN(2)/25))/(LN(2)/25)*Calculateur!V186*Calculateur!X186*VLOOKUP('Données projet'!$B$9,Paramètres!$A$1:$I$89,3,0)*0.475*44/12</f>
        <v>0.1100360598348004</v>
      </c>
      <c r="AB186" s="21">
        <f>EXP(-LN(2)/2)*AB185+(1-EXP(-LN(2)/2))/(LN(2)/2)*V186*Y186*VLOOKUP('Données projet'!$B$9,Paramètres!$A$1:$I$89,3,0)*0.475*44/12</f>
        <v>4.2176957346178453E-24</v>
      </c>
      <c r="AC186" s="22">
        <f t="shared" si="163"/>
        <v>1.9851646153182061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90.895999999999972</v>
      </c>
      <c r="D187" s="11">
        <f t="shared" si="140"/>
        <v>24.781193872187952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892.94675971513482</v>
      </c>
      <c r="H187" s="67">
        <f t="shared" si="110"/>
        <v>458.13777932739401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80.239844009379794</v>
      </c>
      <c r="T187" s="59">
        <f t="shared" si="142"/>
        <v>226.38486687660168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1.8383584282258623</v>
      </c>
      <c r="AA187" s="21">
        <f>EXP(-LN(2)/25)*AA186+(1-EXP(-LN(2)/25))/(LN(2)/25)*Calculateur!V187*Calculateur!X187*VLOOKUP('Données projet'!$B$9,Paramètres!$A$1:$I$89,3,0)*0.475*44/12</f>
        <v>0.10702711799207289</v>
      </c>
      <c r="AB187" s="21">
        <f>EXP(-LN(2)/2)*AB186+(1-EXP(-LN(2)/2))/(LN(2)/2)*V187*Y187*VLOOKUP('Données projet'!$B$9,Paramètres!$A$1:$I$89,3,0)*0.475*44/12</f>
        <v>2.9823612549298556E-24</v>
      </c>
      <c r="AC187" s="22">
        <f t="shared" si="163"/>
        <v>1.9453855462179352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91.389999999999972</v>
      </c>
      <c r="D188" s="11">
        <f t="shared" si="140"/>
        <v>24.900159909488185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897.67842737148749</v>
      </c>
      <c r="H188" s="67">
        <f t="shared" si="110"/>
        <v>459.20536184235857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80.239844009379794</v>
      </c>
      <c r="T188" s="59">
        <f t="shared" si="142"/>
        <v>226.38486687660168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1.8023093407362762</v>
      </c>
      <c r="AA188" s="21">
        <f>EXP(-LN(2)/25)*AA187+(1-EXP(-LN(2)/25))/(LN(2)/25)*Calculateur!V188*Calculateur!X188*VLOOKUP('Données projet'!$B$9,Paramètres!$A$1:$I$89,3,0)*0.475*44/12</f>
        <v>0.10410045582226814</v>
      </c>
      <c r="AB188" s="21">
        <f>EXP(-LN(2)/2)*AB187+(1-EXP(-LN(2)/2))/(LN(2)/2)*V188*Y188*VLOOKUP('Données projet'!$B$9,Paramètres!$A$1:$I$89,3,0)*0.475*44/12</f>
        <v>2.1088478673089227E-24</v>
      </c>
      <c r="AC188" s="22">
        <f t="shared" si="163"/>
        <v>1.9064097965585445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91.883999999999972</v>
      </c>
      <c r="D189" s="11">
        <f t="shared" si="140"/>
        <v>25.019051117801563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902.40951740057335</v>
      </c>
      <c r="H189" s="67">
        <f t="shared" si="110"/>
        <v>460.27281403017105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80.239844009379794</v>
      </c>
      <c r="T189" s="59">
        <f t="shared" si="142"/>
        <v>226.38486687660168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1.7669671538645888</v>
      </c>
      <c r="AA189" s="21">
        <f>EXP(-LN(2)/25)*AA188+(1-EXP(-LN(2)/25))/(LN(2)/25)*Calculateur!V189*Calculateur!X189*VLOOKUP('Données projet'!$B$9,Paramètres!$A$1:$I$89,3,0)*0.475*44/12</f>
        <v>0.10125382338340316</v>
      </c>
      <c r="AB189" s="21">
        <f>EXP(-LN(2)/2)*AB188+(1-EXP(-LN(2)/2))/(LN(2)/2)*V189*Y189*VLOOKUP('Données projet'!$B$9,Paramètres!$A$1:$I$89,3,0)*0.475*44/12</f>
        <v>1.4911806274649278E-24</v>
      </c>
      <c r="AC189" s="22">
        <f t="shared" si="163"/>
        <v>1.8682209772479919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92.377999999999972</v>
      </c>
      <c r="D190" s="11">
        <f t="shared" si="140"/>
        <v>25.137867946126693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907.14003326834609</v>
      </c>
      <c r="H190" s="67">
        <f t="shared" si="110"/>
        <v>461.34013667283728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80.239844009379794</v>
      </c>
      <c r="T190" s="59">
        <f t="shared" si="142"/>
        <v>226.38486687660168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1.7323180057208498</v>
      </c>
      <c r="AA190" s="21">
        <f>EXP(-LN(2)/25)*AA189+(1-EXP(-LN(2)/25))/(LN(2)/25)*Calculateur!V190*Calculateur!X190*VLOOKUP('Données projet'!$B$9,Paramètres!$A$1:$I$89,3,0)*0.475*44/12</f>
        <v>9.8485032258276844E-2</v>
      </c>
      <c r="AB190" s="21">
        <f>EXP(-LN(2)/2)*AB189+(1-EXP(-LN(2)/2))/(LN(2)/2)*V190*Y190*VLOOKUP('Données projet'!$B$9,Paramètres!$A$1:$I$89,3,0)*0.475*44/12</f>
        <v>1.0544239336544613E-24</v>
      </c>
      <c r="AC190" s="22">
        <f t="shared" si="163"/>
        <v>1.8308030379791267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92.871999999999971</v>
      </c>
      <c r="D191" s="11">
        <f t="shared" si="140"/>
        <v>25.256610838382159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911.86997840154629</v>
      </c>
      <c r="H191" s="67">
        <f t="shared" si="110"/>
        <v>462.40733054351557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80.239844009379794</v>
      </c>
      <c r="T191" s="59">
        <f t="shared" si="142"/>
        <v>226.38486687660168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1.698348306238316</v>
      </c>
      <c r="AA191" s="21">
        <f>EXP(-LN(2)/25)*AA190+(1-EXP(-LN(2)/25))/(LN(2)/25)*Calculateur!V191*Calculateur!X191*VLOOKUP('Données projet'!$B$9,Paramètres!$A$1:$I$89,3,0)*0.475*44/12</f>
        <v>9.5791953872071511E-2</v>
      </c>
      <c r="AB191" s="21">
        <f>EXP(-LN(2)/2)*AB190+(1-EXP(-LN(2)/2))/(LN(2)/2)*V191*Y191*VLOOKUP('Données projet'!$B$9,Paramètres!$A$1:$I$89,3,0)*0.475*44/12</f>
        <v>7.455903137324639E-25</v>
      </c>
      <c r="AC191" s="22">
        <f t="shared" si="163"/>
        <v>1.7941402601103875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93.365999999999971</v>
      </c>
      <c r="D192" s="11">
        <f t="shared" si="140"/>
        <v>25.375280233490678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916.59935618834879</v>
      </c>
      <c r="H192" s="67">
        <f t="shared" si="110"/>
        <v>463.47439640666289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80.239844009379794</v>
      </c>
      <c r="T192" s="59">
        <f t="shared" si="142"/>
        <v>226.38486687660168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1.6650447318431638</v>
      </c>
      <c r="AA192" s="21">
        <f>EXP(-LN(2)/25)*AA191+(1-EXP(-LN(2)/25))/(LN(2)/25)*Calculateur!V192*Calculateur!X192*VLOOKUP('Données projet'!$B$9,Paramètres!$A$1:$I$89,3,0)*0.475*44/12</f>
        <v>9.3172517855959799E-2</v>
      </c>
      <c r="AB192" s="21">
        <f>EXP(-LN(2)/2)*AB191+(1-EXP(-LN(2)/2))/(LN(2)/2)*V192*Y192*VLOOKUP('Données projet'!$B$9,Paramètres!$A$1:$I$89,3,0)*0.475*44/12</f>
        <v>5.2721196682723067E-25</v>
      </c>
      <c r="AC192" s="22">
        <f t="shared" si="163"/>
        <v>1.7582172496991235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93.859999999999971</v>
      </c>
      <c r="D193" s="11">
        <f t="shared" si="140"/>
        <v>25.493876565461285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921.3281699789992</v>
      </c>
      <c r="H193" s="67">
        <f t="shared" si="110"/>
        <v>464.54133501817836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80.239844009379794</v>
      </c>
      <c r="T193" s="59">
        <f t="shared" si="142"/>
        <v>226.38486687660168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1.6323942202287258</v>
      </c>
      <c r="AA193" s="21">
        <f>EXP(-LN(2)/25)*AA192+(1-EXP(-LN(2)/25))/(LN(2)/25)*Calculateur!V193*Calculateur!X193*VLOOKUP('Données projet'!$B$9,Paramètres!$A$1:$I$89,3,0)*0.475*44/12</f>
        <v>9.0624710455458807E-2</v>
      </c>
      <c r="AB193" s="21">
        <f>EXP(-LN(2)/2)*AB192+(1-EXP(-LN(2)/2))/(LN(2)/2)*V193*Y193*VLOOKUP('Données projet'!$B$9,Paramètres!$A$1:$I$89,3,0)*0.475*44/12</f>
        <v>3.7279515686623195E-25</v>
      </c>
      <c r="AC193" s="22">
        <f t="shared" si="163"/>
        <v>1.7230189306841845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94.353999999999971</v>
      </c>
      <c r="D194" s="11">
        <f t="shared" si="140"/>
        <v>25.612400263470157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926.05642308643598</v>
      </c>
      <c r="H194" s="67">
        <f t="shared" si="110"/>
        <v>465.60814712554384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80.239844009379794</v>
      </c>
      <c r="T194" s="59">
        <f t="shared" si="142"/>
        <v>226.38486687660168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1.6003839652322014</v>
      </c>
      <c r="AA194" s="21">
        <f>EXP(-LN(2)/25)*AA193+(1-EXP(-LN(2)/25))/(LN(2)/25)*Calculateur!V194*Calculateur!X194*VLOOKUP('Données projet'!$B$9,Paramètres!$A$1:$I$89,3,0)*0.475*44/12</f>
        <v>8.8146572982307894E-2</v>
      </c>
      <c r="AB194" s="21">
        <f>EXP(-LN(2)/2)*AB193+(1-EXP(-LN(2)/2))/(LN(2)/2)*V194*Y194*VLOOKUP('Données projet'!$B$9,Paramètres!$A$1:$I$89,3,0)*0.475*44/12</f>
        <v>2.6360598341361533E-25</v>
      </c>
      <c r="AC194" s="22">
        <f t="shared" si="163"/>
        <v>1.6885305382145093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94.847999999999971</v>
      </c>
      <c r="D195" s="11">
        <f t="shared" si="140"/>
        <v>25.730851751939202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930.78411878689894</v>
      </c>
      <c r="H195" s="67">
        <f t="shared" si="110"/>
        <v>466.67483346796075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80.239844009379794</v>
      </c>
      <c r="T195" s="59">
        <f t="shared" si="142"/>
        <v>226.38486687660168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1.5690014118118312</v>
      </c>
      <c r="AA195" s="21">
        <f>EXP(-LN(2)/25)*AA194+(1-EXP(-LN(2)/25))/(LN(2)/25)*Calculateur!V195*Calculateur!X195*VLOOKUP('Données projet'!$B$9,Paramètres!$A$1:$I$89,3,0)*0.475*44/12</f>
        <v>8.5736200308679872E-2</v>
      </c>
      <c r="AB195" s="21">
        <f>EXP(-LN(2)/2)*AB194+(1-EXP(-LN(2)/2))/(LN(2)/2)*V195*Y195*VLOOKUP('Données projet'!$B$9,Paramètres!$A$1:$I$89,3,0)*0.475*44/12</f>
        <v>1.8639757843311598E-25</v>
      </c>
      <c r="AC195" s="22">
        <f t="shared" si="163"/>
        <v>1.6547376121205111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95.34199999999997</v>
      </c>
      <c r="D196" s="11">
        <f t="shared" si="140"/>
        <v>25.849231450613374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935.511260320524</v>
      </c>
      <c r="H196" s="67">
        <f t="shared" ref="H196:H203" si="192">(B196+E196+F196)*44/12+(C196+D196)*0.475*44/12</f>
        <v>467.74139477648492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80.239844009379794</v>
      </c>
      <c r="T196" s="59">
        <f t="shared" si="142"/>
        <v>226.38486687660168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1.5382342511225668</v>
      </c>
      <c r="AA196" s="21">
        <f>EXP(-LN(2)/25)*AA195+(1-EXP(-LN(2)/25))/(LN(2)/25)*Calculateur!V196*Calculateur!X196*VLOOKUP('Données projet'!$B$9,Paramètres!$A$1:$I$89,3,0)*0.475*44/12</f>
        <v>8.3391739402568194E-2</v>
      </c>
      <c r="AB196" s="21">
        <f>EXP(-LN(2)/2)*AB195+(1-EXP(-LN(2)/2))/(LN(2)/2)*V196*Y196*VLOOKUP('Données projet'!$B$9,Paramètres!$A$1:$I$89,3,0)*0.475*44/12</f>
        <v>1.3180299170680767E-25</v>
      </c>
      <c r="AC196" s="22">
        <f t="shared" si="163"/>
        <v>1.6216259905251351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95.83599999999997</v>
      </c>
      <c r="D197" s="11">
        <f t="shared" ref="D197:D203" si="202">IFERROR(EXP(-1.0587+0.8836*LN(C197)+0.284),0)</f>
        <v>25.967539774636116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940.23785089192768</v>
      </c>
      <c r="H197" s="67">
        <f t="shared" si="192"/>
        <v>468.80783177415788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80.239844009379794</v>
      </c>
      <c r="T197" s="59">
        <f t="shared" ref="T197:T203" si="204">$T$3</f>
        <v>226.38486687660168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1.508070415688304</v>
      </c>
      <c r="AA197" s="21">
        <f>EXP(-LN(2)/25)*AA196+(1-EXP(-LN(2)/25))/(LN(2)/25)*Calculateur!V197*Calculateur!X197*VLOOKUP('Données projet'!$B$9,Paramètres!$A$1:$I$89,3,0)*0.475*44/12</f>
        <v>8.1111387903223989E-2</v>
      </c>
      <c r="AB197" s="21">
        <f>EXP(-LN(2)/2)*AB196+(1-EXP(-LN(2)/2))/(LN(2)/2)*V197*Y197*VLOOKUP('Données projet'!$B$9,Paramètres!$A$1:$I$89,3,0)*0.475*44/12</f>
        <v>9.3198789216557988E-26</v>
      </c>
      <c r="AC197" s="22">
        <f t="shared" si="163"/>
        <v>1.5891818035915279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96.32999999999997</v>
      </c>
      <c r="D198" s="11">
        <f t="shared" si="202"/>
        <v>26.08577713462325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944.96389367077575</v>
      </c>
      <c r="H198" s="67">
        <f t="shared" si="192"/>
        <v>469.87414517613547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80.239844009379794</v>
      </c>
      <c r="T198" s="59">
        <f t="shared" si="204"/>
        <v>226.38486687660168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1.4784980746687841</v>
      </c>
      <c r="AA198" s="21">
        <f>EXP(-LN(2)/25)*AA197+(1-EXP(-LN(2)/25))/(LN(2)/25)*Calculateur!V198*Calculateur!X198*VLOOKUP('Données projet'!$B$9,Paramètres!$A$1:$I$89,3,0)*0.475*44/12</f>
        <v>7.8893392735547824E-2</v>
      </c>
      <c r="AB198" s="21">
        <f>EXP(-LN(2)/2)*AB197+(1-EXP(-LN(2)/2))/(LN(2)/2)*V198*Y198*VLOOKUP('Données projet'!$B$9,Paramètres!$A$1:$I$89,3,0)*0.475*44/12</f>
        <v>6.5901495853403834E-26</v>
      </c>
      <c r="AC198" s="22">
        <f t="shared" si="163"/>
        <v>1.5573914674043319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96.82399999999997</v>
      </c>
      <c r="D199" s="11">
        <f t="shared" si="202"/>
        <v>26.203943936735264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949.68939179234212</v>
      </c>
      <c r="H199" s="67">
        <f t="shared" si="192"/>
        <v>470.94033568981388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80.239844009379794</v>
      </c>
      <c r="T199" s="59">
        <f t="shared" si="204"/>
        <v>226.38486687660168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1.44950562921931</v>
      </c>
      <c r="AA199" s="21">
        <f>EXP(-LN(2)/25)*AA198+(1-EXP(-LN(2)/25))/(LN(2)/25)*Calculateur!V199*Calculateur!X199*VLOOKUP('Données projet'!$B$9,Paramètres!$A$1:$I$89,3,0)*0.475*44/12</f>
        <v>7.6736048762371056E-2</v>
      </c>
      <c r="AB199" s="21">
        <f>EXP(-LN(2)/2)*AB198+(1-EXP(-LN(2)/2))/(LN(2)/2)*V199*Y199*VLOOKUP('Données projet'!$B$9,Paramètres!$A$1:$I$89,3,0)*0.475*44/12</f>
        <v>4.6599394608278994E-26</v>
      </c>
      <c r="AC199" s="22">
        <f t="shared" si="163"/>
        <v>1.5262416779816812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97.317999999999969</v>
      </c>
      <c r="D200" s="11">
        <f t="shared" si="202"/>
        <v>26.32204058274829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954.4143483580566</v>
      </c>
      <c r="H200" s="67">
        <f t="shared" si="192"/>
        <v>472.0064040149532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80.239844009379794</v>
      </c>
      <c r="T200" s="59">
        <f t="shared" si="204"/>
        <v>226.38486687660168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1.4210817079414544</v>
      </c>
      <c r="AA200" s="21">
        <f>EXP(-LN(2)/25)*AA199+(1-EXP(-LN(2)/25))/(LN(2)/25)*Calculateur!V200*Calculateur!X200*VLOOKUP('Données projet'!$B$9,Paramètres!$A$1:$I$89,3,0)*0.475*44/12</f>
        <v>7.46376974735906E-2</v>
      </c>
      <c r="AB200" s="21">
        <f>EXP(-LN(2)/2)*AB199+(1-EXP(-LN(2)/2))/(LN(2)/2)*V200*Y200*VLOOKUP('Données projet'!$B$9,Paramètres!$A$1:$I$89,3,0)*0.475*44/12</f>
        <v>3.2950747926701917E-26</v>
      </c>
      <c r="AC200" s="22">
        <f t="shared" si="163"/>
        <v>1.4957194054150449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97.811999999999969</v>
      </c>
      <c r="D201" s="11">
        <f t="shared" si="202"/>
        <v>26.44006747012326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959.13876643603896</v>
      </c>
      <c r="H201" s="67">
        <f t="shared" si="192"/>
        <v>473.07235084379795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80.239844009379794</v>
      </c>
      <c r="T201" s="59">
        <f t="shared" si="204"/>
        <v>226.38486687660168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1.3932151624229774</v>
      </c>
      <c r="AA201" s="21">
        <f>EXP(-LN(2)/25)*AA200+(1-EXP(-LN(2)/25))/(LN(2)/25)*Calculateur!V201*Calculateur!X201*VLOOKUP('Données projet'!$B$9,Paramètres!$A$1:$I$89,3,0)*0.475*44/12</f>
        <v>7.2596725711149349E-2</v>
      </c>
      <c r="AB201" s="21">
        <f>EXP(-LN(2)/2)*AB200+(1-EXP(-LN(2)/2))/(LN(2)/2)*V201*Y201*VLOOKUP('Données projet'!$B$9,Paramètres!$A$1:$I$89,3,0)*0.475*44/12</f>
        <v>2.3299697304139497E-26</v>
      </c>
      <c r="AC201" s="22">
        <f t="shared" si="163"/>
        <v>1.4658118881341267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98.305999999999969</v>
      </c>
      <c r="D202" s="11">
        <f t="shared" si="202"/>
        <v>26.558024992073921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963.86264906162307</v>
      </c>
      <c r="H202" s="67">
        <f t="shared" si="192"/>
        <v>474.13817686119535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80.239844009379794</v>
      </c>
      <c r="T202" s="59">
        <f t="shared" si="204"/>
        <v>226.38486687660168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1.3658950628652033</v>
      </c>
      <c r="AA202" s="21">
        <f>EXP(-LN(2)/25)*AA201+(1-EXP(-LN(2)/25))/(LN(2)/25)*Calculateur!V202*Calculateur!X202*VLOOKUP('Données projet'!$B$9,Paramètres!$A$1:$I$89,3,0)*0.475*44/12</f>
        <v>7.0611564428882084E-2</v>
      </c>
      <c r="AB202" s="21">
        <f>EXP(-LN(2)/2)*AB201+(1-EXP(-LN(2)/2))/(LN(2)/2)*V202*Y202*VLOOKUP('Données projet'!$B$9,Paramètres!$A$1:$I$89,3,0)*0.475*44/12</f>
        <v>1.6475373963350958E-26</v>
      </c>
      <c r="AC202" s="22">
        <f t="shared" si="163"/>
        <v>1.4365066272940854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98.799999999999969</v>
      </c>
      <c r="D203" s="11">
        <f t="shared" si="202"/>
        <v>26.675913537633271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968.58599923787062</v>
      </c>
      <c r="H203" s="67">
        <f t="shared" si="192"/>
        <v>475.20388274471122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80.239844009379794</v>
      </c>
      <c r="T203" s="59">
        <f t="shared" si="204"/>
        <v>226.38486687660168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1.3391106937961419</v>
      </c>
      <c r="AA203" s="21">
        <f>EXP(-LN(2)/25)*AA202+(1-EXP(-LN(2)/25))/(LN(2)/25)*Calculateur!V203*Calculateur!X203*VLOOKUP('Données projet'!$B$9,Paramètres!$A$1:$I$89,3,0)*0.475*44/12</f>
        <v>6.8680687486273512E-2</v>
      </c>
      <c r="AB203" s="21">
        <f>EXP(-LN(2)/2)*AB202+(1-EXP(-LN(2)/2))/(LN(2)/2)*V203*Y203*VLOOKUP('Données projet'!$B$9,Paramètres!$A$1:$I$89,3,0)*0.475*44/12</f>
        <v>1.1649848652069749E-26</v>
      </c>
      <c r="AC203" s="22">
        <f t="shared" si="163"/>
        <v>1.4077913812824154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99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99</v>
      </c>
      <c r="BA204" s="81" t="s">
        <v>99</v>
      </c>
      <c r="BV204" s="81" t="s">
        <v>99</v>
      </c>
      <c r="CQ204" s="81" t="s">
        <v>99</v>
      </c>
      <c r="DL204" s="81" t="s">
        <v>99</v>
      </c>
      <c r="EG204" s="81" t="s">
        <v>99</v>
      </c>
      <c r="FB204" s="81" t="s">
        <v>99</v>
      </c>
      <c r="FW204" s="81" t="s">
        <v>99</v>
      </c>
      <c r="GR204" s="81" t="s">
        <v>99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1.3094437062921891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100</v>
      </c>
      <c r="B1" s="112" t="s">
        <v>101</v>
      </c>
      <c r="C1" s="113" t="s">
        <v>102</v>
      </c>
      <c r="D1" s="112" t="s">
        <v>103</v>
      </c>
      <c r="E1" s="113" t="s">
        <v>104</v>
      </c>
      <c r="F1" s="113" t="s">
        <v>103</v>
      </c>
      <c r="G1" s="113" t="s">
        <v>105</v>
      </c>
      <c r="H1" s="113" t="s">
        <v>103</v>
      </c>
      <c r="I1" s="114" t="s">
        <v>106</v>
      </c>
      <c r="J1" s="78"/>
      <c r="K1" s="78"/>
      <c r="L1" s="78"/>
      <c r="M1" s="78"/>
      <c r="N1" s="78"/>
    </row>
    <row r="2" spans="1:16" x14ac:dyDescent="0.35">
      <c r="A2" s="115" t="s">
        <v>107</v>
      </c>
      <c r="B2" s="116" t="s">
        <v>108</v>
      </c>
      <c r="C2" s="117">
        <v>0.62</v>
      </c>
      <c r="D2" s="117" t="s">
        <v>109</v>
      </c>
      <c r="E2" s="117">
        <v>1.56</v>
      </c>
      <c r="F2" s="117" t="s">
        <v>110</v>
      </c>
      <c r="G2" s="118">
        <v>0.43</v>
      </c>
      <c r="H2" s="119" t="s">
        <v>111</v>
      </c>
      <c r="I2" s="120">
        <v>0.25</v>
      </c>
      <c r="J2" s="78"/>
      <c r="K2" s="78"/>
      <c r="L2" s="78"/>
      <c r="M2" s="78"/>
      <c r="N2" s="78"/>
      <c r="O2" s="281" t="s">
        <v>112</v>
      </c>
      <c r="P2" s="121">
        <v>0</v>
      </c>
    </row>
    <row r="3" spans="1:16" ht="15" thickBot="1" x14ac:dyDescent="0.4">
      <c r="A3" s="122" t="s">
        <v>113</v>
      </c>
      <c r="B3" s="123" t="s">
        <v>114</v>
      </c>
      <c r="C3" s="124">
        <v>0.64</v>
      </c>
      <c r="D3" s="124" t="s">
        <v>109</v>
      </c>
      <c r="E3" s="124">
        <v>1.56</v>
      </c>
      <c r="F3" s="125" t="s">
        <v>110</v>
      </c>
      <c r="G3" s="126">
        <v>0.43</v>
      </c>
      <c r="H3" s="124" t="s">
        <v>111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115</v>
      </c>
      <c r="B4" s="123" t="s">
        <v>116</v>
      </c>
      <c r="C4" s="124">
        <v>0.42</v>
      </c>
      <c r="D4" s="124" t="s">
        <v>109</v>
      </c>
      <c r="E4" s="124">
        <v>1.56</v>
      </c>
      <c r="F4" s="125" t="s">
        <v>110</v>
      </c>
      <c r="G4" s="126">
        <v>0.43</v>
      </c>
      <c r="H4" s="124" t="s">
        <v>111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117</v>
      </c>
      <c r="B5" s="123" t="s">
        <v>118</v>
      </c>
      <c r="C5" s="124">
        <v>0.42</v>
      </c>
      <c r="D5" s="124" t="s">
        <v>109</v>
      </c>
      <c r="E5" s="124">
        <v>1.56</v>
      </c>
      <c r="F5" s="125" t="s">
        <v>110</v>
      </c>
      <c r="G5" s="126">
        <v>0.43</v>
      </c>
      <c r="H5" s="124" t="s">
        <v>111</v>
      </c>
      <c r="I5" s="127">
        <v>0.25</v>
      </c>
      <c r="J5" s="78"/>
      <c r="K5" s="78"/>
      <c r="L5" s="78"/>
      <c r="M5" s="78"/>
      <c r="N5" s="78"/>
      <c r="O5" s="281" t="s">
        <v>119</v>
      </c>
      <c r="P5" s="121">
        <v>0</v>
      </c>
    </row>
    <row r="6" spans="1:16" x14ac:dyDescent="0.35">
      <c r="A6" s="122" t="s">
        <v>120</v>
      </c>
      <c r="B6" s="123" t="s">
        <v>121</v>
      </c>
      <c r="C6" s="124">
        <v>0.42</v>
      </c>
      <c r="D6" s="124" t="s">
        <v>109</v>
      </c>
      <c r="E6" s="124">
        <v>1.56</v>
      </c>
      <c r="F6" s="125" t="s">
        <v>110</v>
      </c>
      <c r="G6" s="126">
        <v>0.43</v>
      </c>
      <c r="H6" s="124" t="s">
        <v>111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122</v>
      </c>
      <c r="B7" s="123" t="s">
        <v>123</v>
      </c>
      <c r="C7" s="124">
        <v>0.52</v>
      </c>
      <c r="D7" s="124" t="s">
        <v>109</v>
      </c>
      <c r="E7" s="124">
        <v>1.56</v>
      </c>
      <c r="F7" s="125" t="s">
        <v>110</v>
      </c>
      <c r="G7" s="126">
        <v>0.43</v>
      </c>
      <c r="H7" s="124" t="s">
        <v>111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124</v>
      </c>
      <c r="B8" s="123" t="s">
        <v>125</v>
      </c>
      <c r="C8" s="124">
        <v>0.36</v>
      </c>
      <c r="D8" s="124" t="s">
        <v>109</v>
      </c>
      <c r="E8" s="124">
        <v>1.3</v>
      </c>
      <c r="F8" s="125" t="s">
        <v>110</v>
      </c>
      <c r="G8" s="126">
        <v>0.55000000000000004</v>
      </c>
      <c r="H8" s="124" t="s">
        <v>126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127</v>
      </c>
      <c r="B9" s="123" t="s">
        <v>128</v>
      </c>
      <c r="C9" s="124">
        <v>0.61</v>
      </c>
      <c r="D9" s="124" t="s">
        <v>109</v>
      </c>
      <c r="E9" s="124">
        <v>1.56</v>
      </c>
      <c r="F9" s="125" t="s">
        <v>110</v>
      </c>
      <c r="G9" s="126">
        <v>0.43</v>
      </c>
      <c r="H9" s="124" t="s">
        <v>111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129</v>
      </c>
      <c r="B10" s="123" t="s">
        <v>130</v>
      </c>
      <c r="C10" s="124">
        <v>0.66</v>
      </c>
      <c r="D10" s="124" t="s">
        <v>109</v>
      </c>
      <c r="E10" s="124">
        <v>1.56</v>
      </c>
      <c r="F10" s="125" t="s">
        <v>110</v>
      </c>
      <c r="G10" s="126">
        <v>0.43</v>
      </c>
      <c r="H10" s="124" t="s">
        <v>111</v>
      </c>
      <c r="I10" s="127">
        <v>0.25</v>
      </c>
      <c r="J10" s="78"/>
      <c r="K10" s="78"/>
      <c r="L10" s="78"/>
      <c r="M10" s="78"/>
      <c r="N10" s="78"/>
      <c r="O10" s="281" t="s">
        <v>131</v>
      </c>
      <c r="P10" s="121">
        <v>0</v>
      </c>
    </row>
    <row r="11" spans="1:16" ht="15" thickBot="1" x14ac:dyDescent="0.4">
      <c r="A11" s="122" t="s">
        <v>132</v>
      </c>
      <c r="B11" s="123" t="s">
        <v>133</v>
      </c>
      <c r="C11" s="124">
        <v>0.47</v>
      </c>
      <c r="D11" s="124" t="s">
        <v>109</v>
      </c>
      <c r="E11" s="124">
        <v>1.56</v>
      </c>
      <c r="F11" s="125" t="s">
        <v>110</v>
      </c>
      <c r="G11" s="126">
        <v>0.43</v>
      </c>
      <c r="H11" s="124" t="s">
        <v>111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134</v>
      </c>
      <c r="B12" s="123" t="s">
        <v>135</v>
      </c>
      <c r="C12" s="124">
        <v>0.67</v>
      </c>
      <c r="D12" s="124" t="s">
        <v>109</v>
      </c>
      <c r="E12" s="124">
        <v>1.56</v>
      </c>
      <c r="F12" s="125" t="s">
        <v>110</v>
      </c>
      <c r="G12" s="126">
        <v>0.43</v>
      </c>
      <c r="H12" s="124" t="s">
        <v>136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137</v>
      </c>
      <c r="B13" s="123" t="s">
        <v>138</v>
      </c>
      <c r="C13" s="124">
        <v>0.7</v>
      </c>
      <c r="D13" s="124" t="s">
        <v>109</v>
      </c>
      <c r="E13" s="124">
        <v>1.56</v>
      </c>
      <c r="F13" s="125" t="s">
        <v>110</v>
      </c>
      <c r="G13" s="126">
        <v>0.43</v>
      </c>
      <c r="H13" s="124" t="s">
        <v>136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139</v>
      </c>
      <c r="B14" s="123" t="s">
        <v>140</v>
      </c>
      <c r="C14" s="124">
        <v>0.54</v>
      </c>
      <c r="D14" s="124" t="s">
        <v>109</v>
      </c>
      <c r="E14" s="124">
        <v>1.56</v>
      </c>
      <c r="F14" s="125" t="s">
        <v>110</v>
      </c>
      <c r="G14" s="126">
        <v>0.43</v>
      </c>
      <c r="H14" s="124" t="s">
        <v>136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141</v>
      </c>
      <c r="B15" s="123" t="s">
        <v>142</v>
      </c>
      <c r="C15" s="124">
        <v>0.65</v>
      </c>
      <c r="D15" s="124" t="s">
        <v>109</v>
      </c>
      <c r="E15" s="124">
        <v>1.56</v>
      </c>
      <c r="F15" s="125" t="s">
        <v>110</v>
      </c>
      <c r="G15" s="126">
        <v>0.43</v>
      </c>
      <c r="H15" s="124" t="s">
        <v>136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143</v>
      </c>
      <c r="B16" s="123" t="s">
        <v>144</v>
      </c>
      <c r="C16" s="124">
        <v>0.56000000000000005</v>
      </c>
      <c r="D16" s="124" t="s">
        <v>109</v>
      </c>
      <c r="E16" s="124">
        <v>1.56</v>
      </c>
      <c r="F16" s="125" t="s">
        <v>110</v>
      </c>
      <c r="G16" s="126">
        <v>0.43</v>
      </c>
      <c r="H16" s="124" t="s">
        <v>136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145</v>
      </c>
      <c r="B17" s="123" t="s">
        <v>146</v>
      </c>
      <c r="C17" s="124">
        <v>0.57999999999999996</v>
      </c>
      <c r="D17" s="124" t="s">
        <v>109</v>
      </c>
      <c r="E17" s="124">
        <v>1.56</v>
      </c>
      <c r="F17" s="125" t="s">
        <v>110</v>
      </c>
      <c r="G17" s="126">
        <v>0.43</v>
      </c>
      <c r="H17" s="124" t="s">
        <v>136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147</v>
      </c>
      <c r="B18" s="123" t="s">
        <v>148</v>
      </c>
      <c r="C18" s="124">
        <v>0.64</v>
      </c>
      <c r="D18" s="124" t="s">
        <v>109</v>
      </c>
      <c r="E18" s="124">
        <v>1.56</v>
      </c>
      <c r="F18" s="125" t="s">
        <v>110</v>
      </c>
      <c r="G18" s="126">
        <v>0.43</v>
      </c>
      <c r="H18" s="124" t="s">
        <v>136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149</v>
      </c>
      <c r="B19" s="123" t="s">
        <v>150</v>
      </c>
      <c r="C19" s="124">
        <v>0.73</v>
      </c>
      <c r="D19" s="124" t="s">
        <v>109</v>
      </c>
      <c r="E19" s="124">
        <v>1.56</v>
      </c>
      <c r="F19" s="125" t="s">
        <v>110</v>
      </c>
      <c r="G19" s="126">
        <v>0.43</v>
      </c>
      <c r="H19" s="124" t="s">
        <v>136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151</v>
      </c>
      <c r="B20" s="123" t="s">
        <v>152</v>
      </c>
      <c r="C20" s="124">
        <v>0.69</v>
      </c>
      <c r="D20" s="124" t="s">
        <v>153</v>
      </c>
      <c r="E20" s="124">
        <v>1.56</v>
      </c>
      <c r="F20" s="125" t="s">
        <v>110</v>
      </c>
      <c r="G20" s="126">
        <v>0.43</v>
      </c>
      <c r="H20" s="124" t="s">
        <v>154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155</v>
      </c>
      <c r="B21" s="123" t="s">
        <v>156</v>
      </c>
      <c r="C21" s="124">
        <v>0.36</v>
      </c>
      <c r="D21" s="124" t="s">
        <v>109</v>
      </c>
      <c r="E21" s="124">
        <v>1.3</v>
      </c>
      <c r="F21" s="125" t="s">
        <v>110</v>
      </c>
      <c r="G21" s="126">
        <v>0.55000000000000004</v>
      </c>
      <c r="H21" s="124" t="s">
        <v>126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157</v>
      </c>
      <c r="B22" s="123" t="s">
        <v>158</v>
      </c>
      <c r="C22" s="124">
        <v>0.4</v>
      </c>
      <c r="D22" s="124" t="s">
        <v>109</v>
      </c>
      <c r="E22" s="124">
        <v>1.3</v>
      </c>
      <c r="F22" s="125" t="s">
        <v>110</v>
      </c>
      <c r="G22" s="126">
        <v>0.55000000000000004</v>
      </c>
      <c r="H22" s="124" t="s">
        <v>126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159</v>
      </c>
      <c r="B23" s="123" t="s">
        <v>160</v>
      </c>
      <c r="C23" s="124">
        <v>0.43</v>
      </c>
      <c r="D23" s="124" t="s">
        <v>109</v>
      </c>
      <c r="E23" s="124">
        <v>1.3</v>
      </c>
      <c r="F23" s="125" t="s">
        <v>110</v>
      </c>
      <c r="G23" s="126">
        <v>0.55000000000000004</v>
      </c>
      <c r="H23" s="124" t="s">
        <v>126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161</v>
      </c>
      <c r="B24" s="123" t="s">
        <v>162</v>
      </c>
      <c r="C24" s="124">
        <v>0.37</v>
      </c>
      <c r="D24" s="124" t="s">
        <v>109</v>
      </c>
      <c r="E24" s="124">
        <v>1.3</v>
      </c>
      <c r="F24" s="125" t="s">
        <v>110</v>
      </c>
      <c r="G24" s="126">
        <v>0.55000000000000004</v>
      </c>
      <c r="H24" s="124" t="s">
        <v>136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163</v>
      </c>
      <c r="B25" s="123" t="s">
        <v>164</v>
      </c>
      <c r="C25" s="124">
        <v>0.36</v>
      </c>
      <c r="D25" s="124" t="s">
        <v>109</v>
      </c>
      <c r="E25" s="124">
        <v>1.3</v>
      </c>
      <c r="F25" s="125" t="s">
        <v>110</v>
      </c>
      <c r="G25" s="126">
        <v>0.55000000000000004</v>
      </c>
      <c r="H25" s="124" t="s">
        <v>136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165</v>
      </c>
      <c r="B26" s="123" t="s">
        <v>166</v>
      </c>
      <c r="C26" s="124">
        <v>0.56000000000000005</v>
      </c>
      <c r="D26" s="124" t="s">
        <v>109</v>
      </c>
      <c r="E26" s="124">
        <v>1.56</v>
      </c>
      <c r="F26" s="125" t="s">
        <v>110</v>
      </c>
      <c r="G26" s="126">
        <v>0.53</v>
      </c>
      <c r="H26" s="124" t="s">
        <v>167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168</v>
      </c>
      <c r="B27" s="123" t="s">
        <v>169</v>
      </c>
      <c r="C27" s="124">
        <v>0.51</v>
      </c>
      <c r="D27" s="124" t="s">
        <v>109</v>
      </c>
      <c r="E27" s="124">
        <v>1.56</v>
      </c>
      <c r="F27" s="125" t="s">
        <v>110</v>
      </c>
      <c r="G27" s="126">
        <v>0.53</v>
      </c>
      <c r="H27" s="124" t="s">
        <v>167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170</v>
      </c>
      <c r="B28" s="123" t="s">
        <v>171</v>
      </c>
      <c r="C28" s="124">
        <v>0.51</v>
      </c>
      <c r="D28" s="124" t="s">
        <v>109</v>
      </c>
      <c r="E28" s="124">
        <v>1.56</v>
      </c>
      <c r="F28" s="125" t="s">
        <v>110</v>
      </c>
      <c r="G28" s="126">
        <v>0.53</v>
      </c>
      <c r="H28" s="124" t="s">
        <v>167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172</v>
      </c>
      <c r="B29" s="123" t="s">
        <v>172</v>
      </c>
      <c r="C29" s="124">
        <v>0.56000000000000005</v>
      </c>
      <c r="D29" s="124" t="s">
        <v>109</v>
      </c>
      <c r="E29" s="124">
        <v>1.56</v>
      </c>
      <c r="F29" s="125" t="s">
        <v>110</v>
      </c>
      <c r="G29" s="126">
        <v>0.53</v>
      </c>
      <c r="H29" s="124" t="s">
        <v>167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173</v>
      </c>
      <c r="B30" s="123" t="s">
        <v>174</v>
      </c>
      <c r="C30" s="124">
        <v>0.55000000000000004</v>
      </c>
      <c r="D30" s="124" t="s">
        <v>109</v>
      </c>
      <c r="E30" s="124">
        <v>1.56</v>
      </c>
      <c r="F30" s="125" t="s">
        <v>110</v>
      </c>
      <c r="G30" s="126">
        <v>0.53</v>
      </c>
      <c r="H30" s="124" t="s">
        <v>136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175</v>
      </c>
      <c r="B31" s="123" t="s">
        <v>176</v>
      </c>
      <c r="C31" s="124">
        <v>0.56000000000000005</v>
      </c>
      <c r="D31" s="124" t="s">
        <v>109</v>
      </c>
      <c r="E31" s="124">
        <v>1.56</v>
      </c>
      <c r="F31" s="125" t="s">
        <v>110</v>
      </c>
      <c r="G31" s="126">
        <v>0.43</v>
      </c>
      <c r="H31" s="124" t="s">
        <v>111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177</v>
      </c>
      <c r="B32" s="123" t="s">
        <v>178</v>
      </c>
      <c r="C32" s="124">
        <v>0.48</v>
      </c>
      <c r="D32" s="124" t="s">
        <v>109</v>
      </c>
      <c r="E32" s="124">
        <v>1.3</v>
      </c>
      <c r="F32" s="125" t="s">
        <v>110</v>
      </c>
      <c r="G32" s="126">
        <v>0.6</v>
      </c>
      <c r="H32" s="124" t="s">
        <v>179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180</v>
      </c>
      <c r="B33" s="123" t="s">
        <v>181</v>
      </c>
      <c r="C33" s="124">
        <v>0.42</v>
      </c>
      <c r="D33" s="124" t="s">
        <v>109</v>
      </c>
      <c r="E33" s="124">
        <v>1.3</v>
      </c>
      <c r="F33" s="125" t="s">
        <v>110</v>
      </c>
      <c r="G33" s="126">
        <v>0.6</v>
      </c>
      <c r="H33" s="124" t="s">
        <v>179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182</v>
      </c>
      <c r="B34" s="123" t="s">
        <v>183</v>
      </c>
      <c r="C34" s="124">
        <v>0.42</v>
      </c>
      <c r="D34" s="124" t="s">
        <v>184</v>
      </c>
      <c r="E34" s="124">
        <v>1.3</v>
      </c>
      <c r="F34" s="125" t="s">
        <v>110</v>
      </c>
      <c r="G34" s="126">
        <v>0.6</v>
      </c>
      <c r="H34" s="123" t="s">
        <v>185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186</v>
      </c>
      <c r="B35" s="123" t="s">
        <v>187</v>
      </c>
      <c r="C35" s="124">
        <v>0.5</v>
      </c>
      <c r="D35" s="124" t="s">
        <v>109</v>
      </c>
      <c r="E35" s="124">
        <v>1.56</v>
      </c>
      <c r="F35" s="125" t="s">
        <v>110</v>
      </c>
      <c r="G35" s="126">
        <v>0.43</v>
      </c>
      <c r="H35" s="124" t="s">
        <v>111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188</v>
      </c>
      <c r="B36" s="123" t="s">
        <v>189</v>
      </c>
      <c r="C36" s="124">
        <v>0.55000000000000004</v>
      </c>
      <c r="D36" s="124" t="s">
        <v>109</v>
      </c>
      <c r="E36" s="124">
        <v>1.56</v>
      </c>
      <c r="F36" s="125" t="s">
        <v>110</v>
      </c>
      <c r="G36" s="126">
        <v>0.53</v>
      </c>
      <c r="H36" s="124" t="s">
        <v>167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190</v>
      </c>
      <c r="B37" s="123" t="s">
        <v>191</v>
      </c>
      <c r="C37" s="124">
        <v>0.52</v>
      </c>
      <c r="D37" s="124" t="s">
        <v>109</v>
      </c>
      <c r="E37" s="124">
        <v>1.56</v>
      </c>
      <c r="F37" s="125" t="s">
        <v>110</v>
      </c>
      <c r="G37" s="126">
        <v>0.53</v>
      </c>
      <c r="H37" s="124" t="s">
        <v>167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192</v>
      </c>
      <c r="B38" s="123" t="s">
        <v>193</v>
      </c>
      <c r="C38" s="124">
        <v>0.52</v>
      </c>
      <c r="D38" s="124" t="s">
        <v>109</v>
      </c>
      <c r="E38" s="124">
        <v>1.56</v>
      </c>
      <c r="F38" s="125" t="s">
        <v>110</v>
      </c>
      <c r="G38" s="126">
        <v>0.43</v>
      </c>
      <c r="H38" s="124" t="s">
        <v>111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194</v>
      </c>
      <c r="B39" s="123" t="s">
        <v>195</v>
      </c>
      <c r="C39" s="124">
        <v>0.313</v>
      </c>
      <c r="D39" s="124" t="s">
        <v>196</v>
      </c>
      <c r="E39" s="124">
        <v>1.56</v>
      </c>
      <c r="F39" s="125" t="s">
        <v>110</v>
      </c>
      <c r="G39" s="126">
        <v>0.6</v>
      </c>
      <c r="H39" s="124" t="s">
        <v>197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198</v>
      </c>
      <c r="B40" s="123" t="s">
        <v>195</v>
      </c>
      <c r="C40" s="124">
        <v>0.35199999999999998</v>
      </c>
      <c r="D40" s="124" t="s">
        <v>196</v>
      </c>
      <c r="E40" s="124">
        <v>1.56</v>
      </c>
      <c r="F40" s="125" t="s">
        <v>110</v>
      </c>
      <c r="G40" s="126">
        <v>0.6</v>
      </c>
      <c r="H40" s="124" t="s">
        <v>197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199</v>
      </c>
      <c r="B41" s="123" t="s">
        <v>195</v>
      </c>
      <c r="C41" s="124">
        <v>0.32200000000000001</v>
      </c>
      <c r="D41" s="124" t="s">
        <v>196</v>
      </c>
      <c r="E41" s="124">
        <v>1.56</v>
      </c>
      <c r="F41" s="125" t="s">
        <v>110</v>
      </c>
      <c r="G41" s="126">
        <v>0.6</v>
      </c>
      <c r="H41" s="124" t="s">
        <v>197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200</v>
      </c>
      <c r="B42" s="123" t="s">
        <v>195</v>
      </c>
      <c r="C42" s="124">
        <v>0.311</v>
      </c>
      <c r="D42" s="124" t="s">
        <v>196</v>
      </c>
      <c r="E42" s="124">
        <v>1.56</v>
      </c>
      <c r="F42" s="125" t="s">
        <v>110</v>
      </c>
      <c r="G42" s="126">
        <v>0.6</v>
      </c>
      <c r="H42" s="124" t="s">
        <v>197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201</v>
      </c>
      <c r="B43" s="123" t="s">
        <v>195</v>
      </c>
      <c r="C43" s="124">
        <v>0.33900000000000002</v>
      </c>
      <c r="D43" s="124" t="s">
        <v>196</v>
      </c>
      <c r="E43" s="124">
        <v>1.56</v>
      </c>
      <c r="F43" s="125" t="s">
        <v>110</v>
      </c>
      <c r="G43" s="126">
        <v>0.6</v>
      </c>
      <c r="H43" s="124" t="s">
        <v>197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202</v>
      </c>
      <c r="B44" s="123" t="s">
        <v>195</v>
      </c>
      <c r="C44" s="124">
        <v>0.33600000000000002</v>
      </c>
      <c r="D44" s="124" t="s">
        <v>196</v>
      </c>
      <c r="E44" s="124">
        <v>1.56</v>
      </c>
      <c r="F44" s="125" t="s">
        <v>110</v>
      </c>
      <c r="G44" s="126">
        <v>0.6</v>
      </c>
      <c r="H44" s="124" t="s">
        <v>197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203</v>
      </c>
      <c r="B45" s="123" t="s">
        <v>195</v>
      </c>
      <c r="C45" s="124">
        <v>0.32900000000000001</v>
      </c>
      <c r="D45" s="124" t="s">
        <v>196</v>
      </c>
      <c r="E45" s="124">
        <v>1.56</v>
      </c>
      <c r="F45" s="125" t="s">
        <v>110</v>
      </c>
      <c r="G45" s="126">
        <v>0.6</v>
      </c>
      <c r="H45" s="124" t="s">
        <v>197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204</v>
      </c>
      <c r="B46" s="123" t="s">
        <v>195</v>
      </c>
      <c r="C46" s="124">
        <v>0.34300000000000003</v>
      </c>
      <c r="D46" s="124" t="s">
        <v>196</v>
      </c>
      <c r="E46" s="124">
        <v>1.56</v>
      </c>
      <c r="F46" s="125" t="s">
        <v>110</v>
      </c>
      <c r="G46" s="126">
        <v>0.6</v>
      </c>
      <c r="H46" s="124" t="s">
        <v>197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205</v>
      </c>
      <c r="B47" s="123" t="s">
        <v>195</v>
      </c>
      <c r="C47" s="124">
        <v>0.32500000000000001</v>
      </c>
      <c r="D47" s="124" t="s">
        <v>196</v>
      </c>
      <c r="E47" s="124">
        <v>1.56</v>
      </c>
      <c r="F47" s="125" t="s">
        <v>110</v>
      </c>
      <c r="G47" s="126">
        <v>0.6</v>
      </c>
      <c r="H47" s="124" t="s">
        <v>197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206</v>
      </c>
      <c r="B48" s="123" t="s">
        <v>195</v>
      </c>
      <c r="C48" s="124">
        <v>0.32</v>
      </c>
      <c r="D48" s="124" t="s">
        <v>196</v>
      </c>
      <c r="E48" s="124">
        <v>1.56</v>
      </c>
      <c r="F48" s="125" t="s">
        <v>110</v>
      </c>
      <c r="G48" s="126">
        <v>0.6</v>
      </c>
      <c r="H48" s="124" t="s">
        <v>197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207</v>
      </c>
      <c r="B49" s="123" t="s">
        <v>195</v>
      </c>
      <c r="C49" s="124">
        <v>0.28199999999999997</v>
      </c>
      <c r="D49" s="124" t="s">
        <v>196</v>
      </c>
      <c r="E49" s="124">
        <v>1.56</v>
      </c>
      <c r="F49" s="125" t="s">
        <v>110</v>
      </c>
      <c r="G49" s="126">
        <v>0.6</v>
      </c>
      <c r="H49" s="124" t="s">
        <v>197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208</v>
      </c>
      <c r="B50" s="123" t="s">
        <v>195</v>
      </c>
      <c r="C50" s="124">
        <v>0.32800000000000001</v>
      </c>
      <c r="D50" s="124" t="s">
        <v>196</v>
      </c>
      <c r="E50" s="124">
        <v>1.56</v>
      </c>
      <c r="F50" s="125" t="s">
        <v>110</v>
      </c>
      <c r="G50" s="126">
        <v>0.6</v>
      </c>
      <c r="H50" s="124" t="s">
        <v>197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16</v>
      </c>
      <c r="B51" s="123" t="s">
        <v>195</v>
      </c>
      <c r="C51" s="124">
        <v>0.32600000000000001</v>
      </c>
      <c r="D51" s="124" t="s">
        <v>196</v>
      </c>
      <c r="E51" s="124">
        <v>1.56</v>
      </c>
      <c r="F51" s="125" t="s">
        <v>110</v>
      </c>
      <c r="G51" s="126">
        <v>0.6</v>
      </c>
      <c r="H51" s="124" t="s">
        <v>197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209</v>
      </c>
      <c r="B52" s="123" t="s">
        <v>195</v>
      </c>
      <c r="C52" s="124">
        <v>0.35899999999999999</v>
      </c>
      <c r="D52" s="124" t="s">
        <v>196</v>
      </c>
      <c r="E52" s="124">
        <v>1.56</v>
      </c>
      <c r="F52" s="125" t="s">
        <v>110</v>
      </c>
      <c r="G52" s="126">
        <v>0.6</v>
      </c>
      <c r="H52" s="124" t="s">
        <v>197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210</v>
      </c>
      <c r="B53" s="123" t="s">
        <v>195</v>
      </c>
      <c r="C53" s="124">
        <v>0.34599999999999997</v>
      </c>
      <c r="D53" s="124" t="s">
        <v>196</v>
      </c>
      <c r="E53" s="124">
        <v>1.56</v>
      </c>
      <c r="F53" s="125" t="s">
        <v>110</v>
      </c>
      <c r="G53" s="126">
        <v>0.6</v>
      </c>
      <c r="H53" s="124" t="s">
        <v>197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211</v>
      </c>
      <c r="B54" s="123" t="s">
        <v>195</v>
      </c>
      <c r="C54" s="124">
        <v>0.32600000000000001</v>
      </c>
      <c r="D54" s="124" t="s">
        <v>196</v>
      </c>
      <c r="E54" s="124">
        <v>1.56</v>
      </c>
      <c r="F54" s="125" t="s">
        <v>110</v>
      </c>
      <c r="G54" s="126">
        <v>0.6</v>
      </c>
      <c r="H54" s="124" t="s">
        <v>197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212</v>
      </c>
      <c r="B55" s="123" t="s">
        <v>195</v>
      </c>
      <c r="C55" s="124">
        <v>0.30499999999999999</v>
      </c>
      <c r="D55" s="124" t="s">
        <v>196</v>
      </c>
      <c r="E55" s="124">
        <v>1.56</v>
      </c>
      <c r="F55" s="125" t="s">
        <v>110</v>
      </c>
      <c r="G55" s="126">
        <v>0.6</v>
      </c>
      <c r="H55" s="124" t="s">
        <v>197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213</v>
      </c>
      <c r="B56" s="123" t="s">
        <v>195</v>
      </c>
      <c r="C56" s="124">
        <v>0.32300000000000001</v>
      </c>
      <c r="D56" s="124" t="s">
        <v>196</v>
      </c>
      <c r="E56" s="124">
        <v>1.56</v>
      </c>
      <c r="F56" s="125" t="s">
        <v>110</v>
      </c>
      <c r="G56" s="126">
        <v>0.6</v>
      </c>
      <c r="H56" s="124" t="s">
        <v>197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214</v>
      </c>
      <c r="B57" s="123" t="s">
        <v>195</v>
      </c>
      <c r="C57" s="124">
        <v>0.36699999999999999</v>
      </c>
      <c r="D57" s="124" t="s">
        <v>196</v>
      </c>
      <c r="E57" s="124">
        <v>1.56</v>
      </c>
      <c r="F57" s="125" t="s">
        <v>110</v>
      </c>
      <c r="G57" s="126">
        <v>0.6</v>
      </c>
      <c r="H57" s="124" t="s">
        <v>197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215</v>
      </c>
      <c r="B58" s="123" t="s">
        <v>195</v>
      </c>
      <c r="C58" s="124">
        <v>0.36</v>
      </c>
      <c r="D58" s="124" t="s">
        <v>196</v>
      </c>
      <c r="E58" s="124">
        <v>1.56</v>
      </c>
      <c r="F58" s="125" t="s">
        <v>110</v>
      </c>
      <c r="G58" s="126">
        <v>0.6</v>
      </c>
      <c r="H58" s="124" t="s">
        <v>197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216</v>
      </c>
      <c r="B59" s="123" t="s">
        <v>195</v>
      </c>
      <c r="C59" s="124">
        <v>0.36799999999999999</v>
      </c>
      <c r="D59" s="124" t="s">
        <v>196</v>
      </c>
      <c r="E59" s="124">
        <v>1.56</v>
      </c>
      <c r="F59" s="125" t="s">
        <v>110</v>
      </c>
      <c r="G59" s="126">
        <v>0.6</v>
      </c>
      <c r="H59" s="124" t="s">
        <v>197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217</v>
      </c>
      <c r="B60" s="123" t="s">
        <v>195</v>
      </c>
      <c r="C60" s="124">
        <v>0.30599999999999999</v>
      </c>
      <c r="D60" s="124" t="s">
        <v>196</v>
      </c>
      <c r="E60" s="124">
        <v>1.56</v>
      </c>
      <c r="F60" s="125" t="s">
        <v>110</v>
      </c>
      <c r="G60" s="126">
        <v>0.6</v>
      </c>
      <c r="H60" s="124" t="s">
        <v>197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218</v>
      </c>
      <c r="B61" s="123" t="s">
        <v>195</v>
      </c>
      <c r="C61" s="124">
        <v>0.313</v>
      </c>
      <c r="D61" s="124" t="s">
        <v>196</v>
      </c>
      <c r="E61" s="124">
        <v>1.56</v>
      </c>
      <c r="F61" s="125" t="s">
        <v>110</v>
      </c>
      <c r="G61" s="126">
        <v>0.6</v>
      </c>
      <c r="H61" s="124" t="s">
        <v>197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219</v>
      </c>
      <c r="B62" s="123" t="s">
        <v>220</v>
      </c>
      <c r="C62" s="124">
        <v>0.37</v>
      </c>
      <c r="D62" s="124" t="s">
        <v>109</v>
      </c>
      <c r="E62" s="124">
        <v>1.56</v>
      </c>
      <c r="F62" s="125" t="s">
        <v>110</v>
      </c>
      <c r="G62" s="126">
        <v>0.6</v>
      </c>
      <c r="H62" s="124" t="s">
        <v>197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221</v>
      </c>
      <c r="B63" s="123" t="s">
        <v>222</v>
      </c>
      <c r="C63" s="124">
        <v>0.45</v>
      </c>
      <c r="D63" s="124" t="s">
        <v>109</v>
      </c>
      <c r="E63" s="124">
        <v>1.3</v>
      </c>
      <c r="F63" s="125" t="s">
        <v>110</v>
      </c>
      <c r="G63" s="126">
        <v>0.45</v>
      </c>
      <c r="H63" s="124" t="s">
        <v>223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224</v>
      </c>
      <c r="B64" s="123" t="s">
        <v>225</v>
      </c>
      <c r="C64" s="124">
        <v>0.39</v>
      </c>
      <c r="D64" s="124" t="s">
        <v>109</v>
      </c>
      <c r="E64" s="124">
        <v>1.3</v>
      </c>
      <c r="F64" s="125" t="s">
        <v>110</v>
      </c>
      <c r="G64" s="126">
        <v>0.45</v>
      </c>
      <c r="H64" s="124" t="s">
        <v>223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226</v>
      </c>
      <c r="B65" s="123" t="s">
        <v>227</v>
      </c>
      <c r="C65" s="124">
        <v>0.44</v>
      </c>
      <c r="D65" s="124" t="s">
        <v>109</v>
      </c>
      <c r="E65" s="124">
        <v>1.3</v>
      </c>
      <c r="F65" s="125" t="s">
        <v>110</v>
      </c>
      <c r="G65" s="126">
        <v>0.45</v>
      </c>
      <c r="H65" s="124" t="s">
        <v>223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228</v>
      </c>
      <c r="B66" s="123" t="s">
        <v>229</v>
      </c>
      <c r="C66" s="124">
        <v>0.46</v>
      </c>
      <c r="D66" s="124" t="s">
        <v>109</v>
      </c>
      <c r="E66" s="124">
        <v>1.3</v>
      </c>
      <c r="F66" s="125" t="s">
        <v>110</v>
      </c>
      <c r="G66" s="126">
        <v>0.45</v>
      </c>
      <c r="H66" s="124" t="s">
        <v>223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230</v>
      </c>
      <c r="B67" s="123" t="s">
        <v>231</v>
      </c>
      <c r="C67" s="124">
        <v>0.46</v>
      </c>
      <c r="D67" s="124" t="s">
        <v>109</v>
      </c>
      <c r="E67" s="124">
        <v>1.3</v>
      </c>
      <c r="F67" s="125" t="s">
        <v>110</v>
      </c>
      <c r="G67" s="126">
        <v>0.45</v>
      </c>
      <c r="H67" s="124" t="s">
        <v>136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232</v>
      </c>
      <c r="B68" s="123" t="s">
        <v>233</v>
      </c>
      <c r="C68" s="124">
        <v>0.44</v>
      </c>
      <c r="D68" s="124" t="s">
        <v>109</v>
      </c>
      <c r="E68" s="124">
        <v>1.3</v>
      </c>
      <c r="F68" s="125" t="s">
        <v>110</v>
      </c>
      <c r="G68" s="126">
        <v>0.45</v>
      </c>
      <c r="H68" s="124" t="s">
        <v>223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234</v>
      </c>
      <c r="B69" s="123" t="s">
        <v>235</v>
      </c>
      <c r="C69" s="124">
        <v>0.46</v>
      </c>
      <c r="D69" s="124" t="s">
        <v>109</v>
      </c>
      <c r="E69" s="124">
        <v>1.3</v>
      </c>
      <c r="F69" s="125" t="s">
        <v>110</v>
      </c>
      <c r="G69" s="126">
        <v>0.45</v>
      </c>
      <c r="H69" s="124" t="s">
        <v>223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236</v>
      </c>
      <c r="B70" s="123" t="s">
        <v>237</v>
      </c>
      <c r="C70" s="124">
        <v>0.48</v>
      </c>
      <c r="D70" s="124" t="s">
        <v>109</v>
      </c>
      <c r="E70" s="124">
        <v>2.4</v>
      </c>
      <c r="F70" s="124" t="s">
        <v>238</v>
      </c>
      <c r="G70" s="126">
        <v>0.45</v>
      </c>
      <c r="H70" s="124" t="s">
        <v>223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239</v>
      </c>
      <c r="B71" s="123" t="s">
        <v>240</v>
      </c>
      <c r="C71" s="124">
        <v>0.46</v>
      </c>
      <c r="D71" s="124" t="s">
        <v>241</v>
      </c>
      <c r="E71" s="124">
        <v>1.3</v>
      </c>
      <c r="F71" s="125" t="s">
        <v>110</v>
      </c>
      <c r="G71" s="126">
        <v>0.45</v>
      </c>
      <c r="H71" s="124" t="s">
        <v>223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242</v>
      </c>
      <c r="B72" s="123" t="s">
        <v>243</v>
      </c>
      <c r="C72" s="124">
        <v>0.44</v>
      </c>
      <c r="D72" s="124" t="s">
        <v>109</v>
      </c>
      <c r="E72" s="124">
        <v>1.3</v>
      </c>
      <c r="F72" s="125" t="s">
        <v>110</v>
      </c>
      <c r="G72" s="126">
        <v>0.45</v>
      </c>
      <c r="H72" s="124" t="s">
        <v>223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244</v>
      </c>
      <c r="B73" s="123" t="s">
        <v>245</v>
      </c>
      <c r="C73" s="124">
        <v>0.46</v>
      </c>
      <c r="D73" s="124" t="s">
        <v>246</v>
      </c>
      <c r="E73" s="124">
        <v>1.3</v>
      </c>
      <c r="F73" s="125" t="s">
        <v>110</v>
      </c>
      <c r="G73" s="126">
        <v>0.45</v>
      </c>
      <c r="H73" s="124" t="s">
        <v>223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247</v>
      </c>
      <c r="B74" s="123" t="s">
        <v>248</v>
      </c>
      <c r="C74" s="124">
        <v>0.34</v>
      </c>
      <c r="D74" s="124" t="s">
        <v>109</v>
      </c>
      <c r="E74" s="124">
        <v>1.3</v>
      </c>
      <c r="F74" s="125" t="s">
        <v>110</v>
      </c>
      <c r="G74" s="126">
        <v>0.45</v>
      </c>
      <c r="H74" s="124" t="s">
        <v>223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249</v>
      </c>
      <c r="B75" s="123" t="s">
        <v>250</v>
      </c>
      <c r="C75" s="124">
        <v>0.5</v>
      </c>
      <c r="D75" s="124" t="s">
        <v>109</v>
      </c>
      <c r="E75" s="124">
        <v>1.56</v>
      </c>
      <c r="F75" s="125" t="s">
        <v>110</v>
      </c>
      <c r="G75" s="126">
        <v>0.53</v>
      </c>
      <c r="H75" s="124" t="s">
        <v>167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251</v>
      </c>
      <c r="B76" s="123" t="s">
        <v>252</v>
      </c>
      <c r="C76" s="124">
        <v>0.57999999999999996</v>
      </c>
      <c r="D76" s="124" t="s">
        <v>109</v>
      </c>
      <c r="E76" s="124">
        <v>1.56</v>
      </c>
      <c r="F76" s="125" t="s">
        <v>110</v>
      </c>
      <c r="G76" s="126">
        <v>0.3</v>
      </c>
      <c r="H76" s="124" t="s">
        <v>253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254</v>
      </c>
      <c r="B77" s="123" t="s">
        <v>255</v>
      </c>
      <c r="C77" s="124">
        <v>0.37</v>
      </c>
      <c r="D77" s="124" t="s">
        <v>109</v>
      </c>
      <c r="E77" s="124">
        <v>1.3</v>
      </c>
      <c r="F77" s="125" t="s">
        <v>110</v>
      </c>
      <c r="G77" s="126">
        <v>0.55000000000000004</v>
      </c>
      <c r="H77" s="124" t="s">
        <v>136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256</v>
      </c>
      <c r="B78" s="123" t="s">
        <v>257</v>
      </c>
      <c r="C78" s="124">
        <v>0.37</v>
      </c>
      <c r="D78" s="124" t="s">
        <v>109</v>
      </c>
      <c r="E78" s="124">
        <v>1.3</v>
      </c>
      <c r="F78" s="125" t="s">
        <v>110</v>
      </c>
      <c r="G78" s="126">
        <v>0.55000000000000004</v>
      </c>
      <c r="H78" s="124" t="s">
        <v>136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258</v>
      </c>
      <c r="B79" s="123" t="s">
        <v>259</v>
      </c>
      <c r="C79" s="124">
        <v>0.38</v>
      </c>
      <c r="D79" s="124" t="s">
        <v>109</v>
      </c>
      <c r="E79" s="124">
        <v>1.3</v>
      </c>
      <c r="F79" s="125" t="s">
        <v>110</v>
      </c>
      <c r="G79" s="126">
        <v>0.55000000000000004</v>
      </c>
      <c r="H79" s="124" t="s">
        <v>126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260</v>
      </c>
      <c r="B80" s="123" t="s">
        <v>261</v>
      </c>
      <c r="C80" s="124">
        <v>0.36</v>
      </c>
      <c r="D80" s="124" t="s">
        <v>109</v>
      </c>
      <c r="E80" s="124">
        <v>1.3</v>
      </c>
      <c r="F80" s="125" t="s">
        <v>110</v>
      </c>
      <c r="G80" s="126">
        <v>0.55000000000000004</v>
      </c>
      <c r="H80" s="124" t="s">
        <v>126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262</v>
      </c>
      <c r="B81" s="123" t="s">
        <v>263</v>
      </c>
      <c r="C81" s="124">
        <v>0.37</v>
      </c>
      <c r="D81" s="124" t="s">
        <v>109</v>
      </c>
      <c r="E81" s="124">
        <v>1.56</v>
      </c>
      <c r="F81" s="125" t="s">
        <v>110</v>
      </c>
      <c r="G81" s="126">
        <v>0.43</v>
      </c>
      <c r="H81" s="124" t="s">
        <v>111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264</v>
      </c>
      <c r="B82" s="123" t="s">
        <v>265</v>
      </c>
      <c r="C82" s="124">
        <v>0.35</v>
      </c>
      <c r="D82" s="124" t="s">
        <v>266</v>
      </c>
      <c r="E82" s="124">
        <v>1.3</v>
      </c>
      <c r="F82" s="125" t="s">
        <v>110</v>
      </c>
      <c r="G82" s="126">
        <v>0.55000000000000004</v>
      </c>
      <c r="H82" s="124" t="s">
        <v>126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267</v>
      </c>
      <c r="B83" s="123" t="s">
        <v>268</v>
      </c>
      <c r="C83" s="124">
        <v>0.34</v>
      </c>
      <c r="D83" s="124" t="s">
        <v>109</v>
      </c>
      <c r="E83" s="124">
        <v>1.3</v>
      </c>
      <c r="F83" s="125" t="s">
        <v>110</v>
      </c>
      <c r="G83" s="126">
        <v>0.55000000000000004</v>
      </c>
      <c r="H83" s="124" t="s">
        <v>126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269</v>
      </c>
      <c r="B84" s="123" t="s">
        <v>270</v>
      </c>
      <c r="C84" s="124">
        <v>0.31</v>
      </c>
      <c r="D84" s="124" t="s">
        <v>109</v>
      </c>
      <c r="E84" s="124">
        <v>1.3</v>
      </c>
      <c r="F84" s="125" t="s">
        <v>110</v>
      </c>
      <c r="G84" s="126">
        <v>0.55000000000000004</v>
      </c>
      <c r="H84" s="124" t="s">
        <v>126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271</v>
      </c>
      <c r="B85" s="123" t="s">
        <v>272</v>
      </c>
      <c r="C85" s="124">
        <v>0.43</v>
      </c>
      <c r="D85" s="124" t="s">
        <v>109</v>
      </c>
      <c r="E85" s="124">
        <v>1.56</v>
      </c>
      <c r="F85" s="125" t="s">
        <v>110</v>
      </c>
      <c r="G85" s="126">
        <v>0.53</v>
      </c>
      <c r="H85" s="124" t="s">
        <v>167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273</v>
      </c>
      <c r="B86" s="123" t="s">
        <v>274</v>
      </c>
      <c r="C86" s="124">
        <v>0.38</v>
      </c>
      <c r="D86" s="124" t="s">
        <v>109</v>
      </c>
      <c r="E86" s="124">
        <v>1.56</v>
      </c>
      <c r="F86" s="125" t="s">
        <v>110</v>
      </c>
      <c r="G86" s="126">
        <v>0.6</v>
      </c>
      <c r="H86" s="124" t="s">
        <v>275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276</v>
      </c>
      <c r="B87" s="252" t="s">
        <v>277</v>
      </c>
      <c r="C87" s="253">
        <v>0.41</v>
      </c>
      <c r="D87" s="253" t="s">
        <v>278</v>
      </c>
      <c r="E87" s="253">
        <v>1.56</v>
      </c>
      <c r="F87" s="254" t="s">
        <v>110</v>
      </c>
      <c r="G87" s="255">
        <v>0.43</v>
      </c>
      <c r="H87" s="253" t="s">
        <v>111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69</v>
      </c>
      <c r="B88" s="130"/>
      <c r="C88" s="124">
        <v>0.42</v>
      </c>
      <c r="D88" s="124" t="s">
        <v>109</v>
      </c>
      <c r="E88" s="124">
        <v>1.3</v>
      </c>
      <c r="F88" s="125" t="s">
        <v>110</v>
      </c>
      <c r="G88" s="131"/>
      <c r="H88" s="130"/>
      <c r="I88" s="132"/>
    </row>
    <row r="89" spans="1:14" ht="15" thickBot="1" x14ac:dyDescent="0.4">
      <c r="A89" s="133" t="s">
        <v>279</v>
      </c>
      <c r="B89" s="134"/>
      <c r="C89" s="135">
        <v>0.56999999999999995</v>
      </c>
      <c r="D89" s="136" t="s">
        <v>109</v>
      </c>
      <c r="E89" s="135">
        <v>1.56</v>
      </c>
      <c r="F89" s="135" t="s">
        <v>110</v>
      </c>
      <c r="G89" s="134"/>
      <c r="H89" s="134"/>
      <c r="I89" s="137"/>
    </row>
    <row r="93" spans="1:14" x14ac:dyDescent="0.35">
      <c r="A93" s="122" t="s">
        <v>70</v>
      </c>
    </row>
    <row r="94" spans="1:14" x14ac:dyDescent="0.35">
      <c r="A94" s="122" t="s">
        <v>71</v>
      </c>
    </row>
    <row r="95" spans="1:14" x14ac:dyDescent="0.35">
      <c r="A95" s="122" t="s">
        <v>72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N6" sqref="N6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280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281</v>
      </c>
      <c r="B5" s="139" t="s">
        <v>282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283</v>
      </c>
      <c r="F5" s="140" t="s">
        <v>284</v>
      </c>
      <c r="G5" s="140" t="s">
        <v>285</v>
      </c>
      <c r="H5" s="141" t="s">
        <v>286</v>
      </c>
      <c r="I5" s="142" t="s">
        <v>287</v>
      </c>
      <c r="J5" s="143" t="s">
        <v>288</v>
      </c>
      <c r="K5" s="144" t="s">
        <v>289</v>
      </c>
      <c r="L5" s="84" t="s">
        <v>290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Peuplier Koster</v>
      </c>
      <c r="B6" s="146">
        <f>'Données projet'!D9</f>
        <v>2</v>
      </c>
      <c r="C6" s="147">
        <f ca="1">IF(OR('Données projet'!B9="",'Données projet'!C9="",'Données projet'!C9=0%),0,Calculateur!S3)</f>
        <v>80.239844009379794</v>
      </c>
      <c r="D6" s="147">
        <f>IF(OR('Données projet'!B9="",'Données projet'!C9="",'Données projet'!C9=0%),0,Calculateur!T3)</f>
        <v>226.38486687660168</v>
      </c>
      <c r="E6" s="147">
        <f ca="1">MIN(C6,D6)</f>
        <v>80.239844009379794</v>
      </c>
      <c r="F6" s="147">
        <f ca="1">E6*B6</f>
        <v>160.47968801875959</v>
      </c>
      <c r="G6" s="147">
        <f ca="1">F6*(100%-'Données projet'!$C$24)*(100%-'Données projet'!$C$25)*(100%-'Données projet'!$C$26)*(100%-'Données projet'!$C$27)</f>
        <v>122.76696133435108</v>
      </c>
      <c r="H6" s="148">
        <f>IF(OR('Données projet'!B9="",'Données projet'!C9="",'Données projet'!C9=0%),0,AVERAGE(Calculateur!$AC$3:$AC$33)*B6)</f>
        <v>39.839838667697556</v>
      </c>
      <c r="I6" s="149">
        <f>H6*(100%-'Données projet'!$C$24)*(100%-'Données projet'!$C$25)*(100%-'Données projet'!$C$26)*(100%-'Données projet'!$C$27)</f>
        <v>30.477476580788629</v>
      </c>
      <c r="J6" s="150">
        <f>IF(OR('Données projet'!B9="",'Données projet'!C9="",'Données projet'!C9=0%),0,SUM(Calculateur!$V$3:$V$33)*VLOOKUP('Données projet'!$B$9,Paramètres!$A$1:$I$89,9,0)*B6)</f>
        <v>412.76167179487175</v>
      </c>
      <c r="K6" s="151">
        <f>J6*(100%-'Données projet'!$C$24)*(100%-'Données projet'!$C$25)*(100%-'Données projet'!$C$26)*(100%-'Données projet'!$C$27)</f>
        <v>315.76267892307686</v>
      </c>
      <c r="L6" s="152">
        <f ca="1">G6+I6+K6</f>
        <v>469.00711683821658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160.47968801875959</v>
      </c>
      <c r="G16" s="166">
        <f t="shared" ca="1" si="3"/>
        <v>122.76696133435108</v>
      </c>
      <c r="H16" s="167">
        <f t="shared" si="3"/>
        <v>39.839838667697556</v>
      </c>
      <c r="I16" s="167">
        <f t="shared" si="3"/>
        <v>30.477476580788629</v>
      </c>
      <c r="J16" s="168">
        <f t="shared" si="3"/>
        <v>412.76167179487175</v>
      </c>
      <c r="K16" s="168">
        <f t="shared" si="3"/>
        <v>315.76267892307686</v>
      </c>
      <c r="L16" s="169">
        <f t="shared" ca="1" si="3"/>
        <v>469.00711683821658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291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G16" zoomScale="60" zoomScaleNormal="80" workbookViewId="0">
      <selection activeCell="Z38" sqref="Z38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292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293</v>
      </c>
      <c r="I4" s="262"/>
      <c r="K4" s="286" t="s">
        <v>294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55</v>
      </c>
      <c r="O7" s="247"/>
      <c r="P7" s="248"/>
      <c r="Q7" s="249"/>
      <c r="R7" s="296" t="s">
        <v>295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296</v>
      </c>
      <c r="C9" s="23"/>
      <c r="D9" s="23"/>
      <c r="E9" s="23"/>
      <c r="F9" s="230"/>
      <c r="G9" s="93" t="s">
        <v>297</v>
      </c>
      <c r="J9" s="200"/>
      <c r="K9" s="208"/>
      <c r="O9" s="23"/>
      <c r="P9" s="23"/>
      <c r="Q9" s="234"/>
      <c r="R9" s="23"/>
      <c r="S9" s="4"/>
      <c r="T9" s="36" t="s">
        <v>298</v>
      </c>
      <c r="U9" s="176" t="s">
        <v>299</v>
      </c>
      <c r="V9" s="36" t="s">
        <v>300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301</v>
      </c>
      <c r="C10" s="23"/>
      <c r="D10" s="23"/>
      <c r="E10" s="23"/>
      <c r="F10" s="230"/>
      <c r="G10" s="93" t="s">
        <v>302</v>
      </c>
      <c r="J10" s="200"/>
      <c r="K10" s="208"/>
      <c r="O10" s="23"/>
      <c r="P10" s="23"/>
      <c r="Q10" s="234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2121.9117878700868</v>
      </c>
      <c r="U10" s="178">
        <f>'Données projet'!D9</f>
        <v>2</v>
      </c>
      <c r="V10" s="177">
        <f>U10*T10</f>
        <v>4243.8235757401735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303</v>
      </c>
      <c r="B11" s="23"/>
      <c r="C11" s="23"/>
      <c r="D11" s="23"/>
      <c r="E11" s="23"/>
      <c r="F11" s="230"/>
      <c r="G11" s="93" t="s">
        <v>304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305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Peuplier Koster</v>
      </c>
      <c r="C14" s="4"/>
      <c r="D14" s="4"/>
      <c r="E14" s="4"/>
      <c r="F14" s="230"/>
      <c r="G14" s="23"/>
      <c r="H14" s="36" t="s">
        <v>74</v>
      </c>
      <c r="I14" s="36" t="s">
        <v>306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307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45</v>
      </c>
      <c r="B16" s="48" t="s">
        <v>308</v>
      </c>
      <c r="C16" s="48" t="s">
        <v>309</v>
      </c>
      <c r="D16" s="36" t="s">
        <v>310</v>
      </c>
      <c r="E16" s="36" t="s">
        <v>311</v>
      </c>
      <c r="F16" s="230"/>
      <c r="G16" s="289"/>
      <c r="H16" s="190"/>
      <c r="I16" s="191"/>
      <c r="J16" s="202"/>
      <c r="K16" s="208"/>
      <c r="L16" s="286" t="s">
        <v>312</v>
      </c>
      <c r="M16" s="287"/>
      <c r="N16" s="2">
        <v>30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195</v>
      </c>
      <c r="C17" s="198" t="s">
        <v>195</v>
      </c>
      <c r="D17" s="197" t="s">
        <v>195</v>
      </c>
      <c r="E17" s="193"/>
      <c r="F17" s="230"/>
      <c r="G17" s="289"/>
      <c r="J17" s="202"/>
      <c r="K17" s="208"/>
      <c r="L17" s="259" t="s">
        <v>313</v>
      </c>
      <c r="M17" s="261"/>
      <c r="N17" s="175">
        <f>VLOOKUP(N16,Calculateur!$A$2:$H$153,3,0)/VLOOKUP('Scénario référence'!$G$15,Paramètres!A1:I89,3,0)/VLOOKUP('Scénario référence'!$G$15,Paramètres!A1:I89,5,0)</f>
        <v>29.999999999999993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195</v>
      </c>
      <c r="C18" s="198" t="s">
        <v>195</v>
      </c>
      <c r="D18" s="197" t="s">
        <v>195</v>
      </c>
      <c r="E18" s="193"/>
      <c r="F18" s="230"/>
      <c r="G18" s="289"/>
      <c r="J18" s="202"/>
      <c r="K18" s="208"/>
      <c r="L18" s="259" t="s">
        <v>309</v>
      </c>
      <c r="M18" s="261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195</v>
      </c>
      <c r="C19" s="198" t="s">
        <v>195</v>
      </c>
      <c r="D19" s="197" t="s">
        <v>195</v>
      </c>
      <c r="E19" s="193"/>
      <c r="F19" s="230"/>
      <c r="G19" s="289"/>
      <c r="H19" s="212" t="s">
        <v>74</v>
      </c>
      <c r="I19" s="212" t="s">
        <v>314</v>
      </c>
      <c r="J19" s="93"/>
      <c r="K19" s="173"/>
      <c r="L19" s="286" t="s">
        <v>315</v>
      </c>
      <c r="M19" s="287"/>
      <c r="N19" s="179">
        <f>N17*N18</f>
        <v>899.99999999999977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195</v>
      </c>
      <c r="C20" s="198" t="s">
        <v>195</v>
      </c>
      <c r="D20" s="197" t="s">
        <v>195</v>
      </c>
      <c r="E20" s="193"/>
      <c r="F20" s="230"/>
      <c r="G20" s="289"/>
      <c r="H20" s="190">
        <v>1</v>
      </c>
      <c r="I20" s="191">
        <v>1589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195</v>
      </c>
      <c r="C21" s="198" t="s">
        <v>195</v>
      </c>
      <c r="D21" s="197" t="s">
        <v>195</v>
      </c>
      <c r="E21" s="193"/>
      <c r="F21" s="230"/>
      <c r="H21" s="190">
        <v>2</v>
      </c>
      <c r="I21" s="191">
        <v>577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195</v>
      </c>
      <c r="C22" s="198" t="s">
        <v>195</v>
      </c>
      <c r="D22" s="197" t="s">
        <v>195</v>
      </c>
      <c r="E22" s="193"/>
      <c r="F22" s="230"/>
      <c r="H22" s="190">
        <v>3</v>
      </c>
      <c r="I22" s="191">
        <v>577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4</v>
      </c>
      <c r="B23" s="181">
        <f>'Données projet'!D36</f>
        <v>0</v>
      </c>
      <c r="C23" s="193"/>
      <c r="D23" s="182">
        <f>B23*C23</f>
        <v>0</v>
      </c>
      <c r="E23" s="193">
        <v>150</v>
      </c>
      <c r="F23" s="230"/>
      <c r="H23" s="190">
        <v>4</v>
      </c>
      <c r="I23" s="191">
        <v>577</v>
      </c>
      <c r="K23" s="208"/>
      <c r="L23" s="288" t="s">
        <v>316</v>
      </c>
      <c r="M23" s="288"/>
      <c r="N23" s="288"/>
      <c r="O23" s="23"/>
      <c r="P23" s="23"/>
      <c r="Q23" s="234"/>
      <c r="R23" s="23"/>
      <c r="S23" s="36" t="s">
        <v>317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-2759.0516925943393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5</v>
      </c>
      <c r="B24" s="181">
        <f>'Données projet'!D37</f>
        <v>0</v>
      </c>
      <c r="C24" s="193"/>
      <c r="D24" s="182">
        <f t="shared" ref="D24:D42" si="2">B24*C24</f>
        <v>0</v>
      </c>
      <c r="E24" s="193">
        <v>150</v>
      </c>
      <c r="F24" s="233"/>
      <c r="H24" s="190">
        <v>5</v>
      </c>
      <c r="I24" s="191">
        <v>577</v>
      </c>
      <c r="K24" s="208"/>
      <c r="O24" s="23"/>
      <c r="P24" s="23"/>
      <c r="Q24" s="234"/>
      <c r="R24" s="23"/>
      <c r="S24" s="36" t="s">
        <v>318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480.6000279126053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6</v>
      </c>
      <c r="B25" s="181">
        <f>'Données projet'!D38</f>
        <v>0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319</v>
      </c>
      <c r="M25" s="130"/>
      <c r="N25" s="130"/>
      <c r="O25" s="130"/>
      <c r="P25" s="192"/>
      <c r="Q25" s="234"/>
      <c r="R25" s="23"/>
      <c r="S25" s="186" t="s">
        <v>320</v>
      </c>
      <c r="T25" s="303">
        <f ca="1">T23-T24</f>
        <v>-3239.6517205069445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7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0" t="s">
        <v>321</v>
      </c>
      <c r="M26" s="291"/>
      <c r="N26" s="291"/>
      <c r="O26" s="291"/>
      <c r="P26" s="292"/>
      <c r="Q26" s="234"/>
      <c r="R26" s="23"/>
      <c r="S26" s="186" t="s">
        <v>322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8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323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9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10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11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324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12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13</v>
      </c>
      <c r="B32" s="181">
        <f>'Données projet'!D45</f>
        <v>0</v>
      </c>
      <c r="C32" s="193"/>
      <c r="D32" s="182">
        <f>B32*C32</f>
        <v>0</v>
      </c>
      <c r="E32" s="193"/>
      <c r="F32" s="233"/>
      <c r="G32" s="203"/>
      <c r="H32" s="190"/>
      <c r="I32" s="191"/>
      <c r="K32" s="173"/>
      <c r="N32" s="4"/>
      <c r="O32" s="85" t="s">
        <v>74</v>
      </c>
      <c r="P32" s="85" t="s">
        <v>310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14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15</v>
      </c>
      <c r="B34" s="181">
        <f>'Données projet'!D47</f>
        <v>0</v>
      </c>
      <c r="C34" s="193"/>
      <c r="D34" s="182">
        <f>B34*C34</f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16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17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18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19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20</v>
      </c>
      <c r="B39" s="181">
        <f>'Données projet'!D52</f>
        <v>200.36974358974356</v>
      </c>
      <c r="C39" s="193">
        <v>30</v>
      </c>
      <c r="D39" s="182">
        <f t="shared" si="2"/>
        <v>6011.0923076923073</v>
      </c>
      <c r="E39" s="193">
        <v>300</v>
      </c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45</v>
      </c>
      <c r="B47" s="48" t="s">
        <v>308</v>
      </c>
      <c r="C47" s="48" t="s">
        <v>309</v>
      </c>
      <c r="D47" s="36" t="s">
        <v>310</v>
      </c>
      <c r="E47" s="36" t="s">
        <v>311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195</v>
      </c>
      <c r="C48" s="198" t="s">
        <v>195</v>
      </c>
      <c r="D48" s="197" t="s">
        <v>195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195</v>
      </c>
      <c r="C49" s="198" t="s">
        <v>195</v>
      </c>
      <c r="D49" s="197" t="s">
        <v>195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195</v>
      </c>
      <c r="C50" s="198" t="s">
        <v>195</v>
      </c>
      <c r="D50" s="197" t="s">
        <v>195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195</v>
      </c>
      <c r="C51" s="198" t="s">
        <v>195</v>
      </c>
      <c r="D51" s="197" t="s">
        <v>195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195</v>
      </c>
      <c r="C52" s="198" t="s">
        <v>195</v>
      </c>
      <c r="D52" s="197" t="s">
        <v>195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195</v>
      </c>
      <c r="C53" s="198" t="s">
        <v>195</v>
      </c>
      <c r="D53" s="197" t="s">
        <v>195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3"/>
        <v>#VALUE!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3"/>
        <v>#VALUE!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3"/>
        <v>#VALUE!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3"/>
        <v>#VALUE!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3"/>
        <v>#VALUE!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3"/>
        <v>#VALUE!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3"/>
        <v>#VALUE!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3"/>
        <v>#VALUE!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3"/>
        <v>#VALUE!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3"/>
        <v>#VALUE!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19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45</v>
      </c>
      <c r="B78" s="48" t="s">
        <v>308</v>
      </c>
      <c r="C78" s="48" t="s">
        <v>309</v>
      </c>
      <c r="D78" s="36" t="s">
        <v>310</v>
      </c>
      <c r="E78" s="36" t="s">
        <v>311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195</v>
      </c>
      <c r="C79" s="198" t="s">
        <v>195</v>
      </c>
      <c r="D79" s="197" t="s">
        <v>195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195</v>
      </c>
      <c r="C80" s="198" t="s">
        <v>195</v>
      </c>
      <c r="D80" s="197" t="s">
        <v>195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195</v>
      </c>
      <c r="C81" s="198" t="s">
        <v>195</v>
      </c>
      <c r="D81" s="197" t="s">
        <v>195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195</v>
      </c>
      <c r="C82" s="198" t="s">
        <v>195</v>
      </c>
      <c r="D82" s="197" t="s">
        <v>195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195</v>
      </c>
      <c r="C83" s="198" t="s">
        <v>195</v>
      </c>
      <c r="D83" s="197" t="s">
        <v>195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195</v>
      </c>
      <c r="C84" s="198" t="s">
        <v>195</v>
      </c>
      <c r="D84" s="197" t="s">
        <v>195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20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45</v>
      </c>
      <c r="B109" s="48" t="s">
        <v>308</v>
      </c>
      <c r="C109" s="48" t="s">
        <v>309</v>
      </c>
      <c r="D109" s="36" t="s">
        <v>310</v>
      </c>
      <c r="E109" s="36" t="s">
        <v>311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195</v>
      </c>
      <c r="C110" s="198" t="s">
        <v>195</v>
      </c>
      <c r="D110" s="197" t="s">
        <v>195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195</v>
      </c>
      <c r="C111" s="198" t="s">
        <v>195</v>
      </c>
      <c r="D111" s="197" t="s">
        <v>195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195</v>
      </c>
      <c r="C112" s="198" t="s">
        <v>195</v>
      </c>
      <c r="D112" s="197" t="s">
        <v>195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195</v>
      </c>
      <c r="C113" s="198" t="s">
        <v>195</v>
      </c>
      <c r="D113" s="197" t="s">
        <v>195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195</v>
      </c>
      <c r="C114" s="198" t="s">
        <v>195</v>
      </c>
      <c r="D114" s="197" t="s">
        <v>195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195</v>
      </c>
      <c r="C115" s="198" t="s">
        <v>195</v>
      </c>
      <c r="D115" s="197" t="s">
        <v>195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21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45</v>
      </c>
      <c r="B140" s="48" t="s">
        <v>308</v>
      </c>
      <c r="C140" s="48" t="s">
        <v>309</v>
      </c>
      <c r="D140" s="36" t="s">
        <v>310</v>
      </c>
      <c r="E140" s="36" t="s">
        <v>311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195</v>
      </c>
      <c r="C141" s="198" t="s">
        <v>195</v>
      </c>
      <c r="D141" s="197" t="s">
        <v>195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195</v>
      </c>
      <c r="C142" s="198" t="s">
        <v>195</v>
      </c>
      <c r="D142" s="197" t="s">
        <v>195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195</v>
      </c>
      <c r="C143" s="198" t="s">
        <v>195</v>
      </c>
      <c r="D143" s="197" t="s">
        <v>195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195</v>
      </c>
      <c r="C144" s="198" t="s">
        <v>195</v>
      </c>
      <c r="D144" s="197" t="s">
        <v>195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195</v>
      </c>
      <c r="C145" s="198" t="s">
        <v>195</v>
      </c>
      <c r="D145" s="197" t="s">
        <v>195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195</v>
      </c>
      <c r="C146" s="198" t="s">
        <v>195</v>
      </c>
      <c r="D146" s="197" t="s">
        <v>195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22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45</v>
      </c>
      <c r="B171" s="48" t="s">
        <v>308</v>
      </c>
      <c r="C171" s="48" t="s">
        <v>309</v>
      </c>
      <c r="D171" s="36" t="s">
        <v>310</v>
      </c>
      <c r="E171" s="36" t="s">
        <v>311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195</v>
      </c>
      <c r="C172" s="198" t="s">
        <v>195</v>
      </c>
      <c r="D172" s="197" t="s">
        <v>195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195</v>
      </c>
      <c r="C173" s="198" t="s">
        <v>195</v>
      </c>
      <c r="D173" s="197" t="s">
        <v>195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195</v>
      </c>
      <c r="C174" s="198" t="s">
        <v>195</v>
      </c>
      <c r="D174" s="197" t="s">
        <v>195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195</v>
      </c>
      <c r="C175" s="198" t="s">
        <v>195</v>
      </c>
      <c r="D175" s="197" t="s">
        <v>195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195</v>
      </c>
      <c r="C176" s="198" t="s">
        <v>195</v>
      </c>
      <c r="D176" s="197" t="s">
        <v>195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195</v>
      </c>
      <c r="C177" s="198" t="s">
        <v>195</v>
      </c>
      <c r="D177" s="197" t="s">
        <v>195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23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45</v>
      </c>
      <c r="B202" s="48" t="s">
        <v>308</v>
      </c>
      <c r="C202" s="48" t="s">
        <v>309</v>
      </c>
      <c r="D202" s="36" t="s">
        <v>310</v>
      </c>
      <c r="E202" s="36" t="s">
        <v>311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195</v>
      </c>
      <c r="C203" s="198" t="s">
        <v>195</v>
      </c>
      <c r="D203" s="197" t="s">
        <v>195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195</v>
      </c>
      <c r="C204" s="198" t="s">
        <v>195</v>
      </c>
      <c r="D204" s="197" t="s">
        <v>195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195</v>
      </c>
      <c r="C205" s="198" t="s">
        <v>195</v>
      </c>
      <c r="D205" s="197" t="s">
        <v>195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195</v>
      </c>
      <c r="C206" s="198" t="s">
        <v>195</v>
      </c>
      <c r="D206" s="197" t="s">
        <v>195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195</v>
      </c>
      <c r="C207" s="198" t="s">
        <v>195</v>
      </c>
      <c r="D207" s="197" t="s">
        <v>195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195</v>
      </c>
      <c r="C208" s="198" t="s">
        <v>195</v>
      </c>
      <c r="D208" s="197" t="s">
        <v>195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24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45</v>
      </c>
      <c r="B233" s="48" t="s">
        <v>308</v>
      </c>
      <c r="C233" s="48" t="s">
        <v>309</v>
      </c>
      <c r="D233" s="36" t="s">
        <v>310</v>
      </c>
      <c r="E233" s="36" t="s">
        <v>311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195</v>
      </c>
      <c r="C234" s="198" t="s">
        <v>195</v>
      </c>
      <c r="D234" s="197" t="s">
        <v>195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195</v>
      </c>
      <c r="C235" s="198" t="s">
        <v>195</v>
      </c>
      <c r="D235" s="197" t="s">
        <v>195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195</v>
      </c>
      <c r="C236" s="198" t="s">
        <v>195</v>
      </c>
      <c r="D236" s="197" t="s">
        <v>195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195</v>
      </c>
      <c r="C237" s="198" t="s">
        <v>195</v>
      </c>
      <c r="D237" s="197" t="s">
        <v>195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195</v>
      </c>
      <c r="C238" s="198" t="s">
        <v>195</v>
      </c>
      <c r="D238" s="197" t="s">
        <v>195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195</v>
      </c>
      <c r="C239" s="198" t="s">
        <v>195</v>
      </c>
      <c r="D239" s="197" t="s">
        <v>195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25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45</v>
      </c>
      <c r="B264" s="48" t="s">
        <v>308</v>
      </c>
      <c r="C264" s="48" t="s">
        <v>309</v>
      </c>
      <c r="D264" s="36" t="s">
        <v>310</v>
      </c>
      <c r="E264" s="36" t="s">
        <v>311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195</v>
      </c>
      <c r="C265" s="198" t="s">
        <v>195</v>
      </c>
      <c r="D265" s="197" t="s">
        <v>195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195</v>
      </c>
      <c r="C266" s="198" t="s">
        <v>195</v>
      </c>
      <c r="D266" s="197" t="s">
        <v>195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195</v>
      </c>
      <c r="C267" s="198" t="s">
        <v>195</v>
      </c>
      <c r="D267" s="197" t="s">
        <v>195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195</v>
      </c>
      <c r="C268" s="198" t="s">
        <v>195</v>
      </c>
      <c r="D268" s="197" t="s">
        <v>195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195</v>
      </c>
      <c r="C269" s="198" t="s">
        <v>195</v>
      </c>
      <c r="D269" s="197" t="s">
        <v>195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195</v>
      </c>
      <c r="C270" s="198" t="s">
        <v>195</v>
      </c>
      <c r="D270" s="197" t="s">
        <v>195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26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45</v>
      </c>
      <c r="B295" s="48" t="s">
        <v>308</v>
      </c>
      <c r="C295" s="48" t="s">
        <v>309</v>
      </c>
      <c r="D295" s="36" t="s">
        <v>310</v>
      </c>
      <c r="E295" s="36" t="s">
        <v>311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195</v>
      </c>
      <c r="C296" s="198" t="s">
        <v>195</v>
      </c>
      <c r="D296" s="197" t="s">
        <v>195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195</v>
      </c>
      <c r="C297" s="198" t="s">
        <v>195</v>
      </c>
      <c r="D297" s="197" t="s">
        <v>195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195</v>
      </c>
      <c r="C298" s="198" t="s">
        <v>195</v>
      </c>
      <c r="D298" s="197" t="s">
        <v>195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195</v>
      </c>
      <c r="C299" s="198" t="s">
        <v>195</v>
      </c>
      <c r="D299" s="197" t="s">
        <v>195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195</v>
      </c>
      <c r="C300" s="198" t="s">
        <v>195</v>
      </c>
      <c r="D300" s="197" t="s">
        <v>195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195</v>
      </c>
      <c r="C301" s="198" t="s">
        <v>195</v>
      </c>
      <c r="D301" s="197" t="s">
        <v>195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7" ma:contentTypeDescription="Create a new document." ma:contentTypeScope="" ma:versionID="b9006c8d36dc89b774cd2e169e3c0d6b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b21b1cac5a80b710dc0a199b0dfd872d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Props1.xml><?xml version="1.0" encoding="utf-8"?>
<ds:datastoreItem xmlns:ds="http://schemas.openxmlformats.org/officeDocument/2006/customXml" ds:itemID="{3553E7EF-84F9-44F3-9893-937D2146BD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E57DD4-3DA1-4602-9000-0EBE980378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1ECDD4-F7B8-45C1-9709-E966AB77B522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Ulysse Fraudeau</cp:lastModifiedBy>
  <cp:revision/>
  <dcterms:created xsi:type="dcterms:W3CDTF">2021-02-01T08:22:39Z</dcterms:created>
  <dcterms:modified xsi:type="dcterms:W3CDTF">2025-09-30T14:18:53Z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