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PERCHE SOLOGNE\_TIERS\_PROPRIETAIRES_\KIBLOFF Marc--AD17161\28 UNVERRE--AD17161P1\LBC Boisement--2025-JRE-274\LBC Montage dossier\Documents techniques\"/>
    </mc:Choice>
  </mc:AlternateContent>
  <xr:revisionPtr revIDLastSave="0" documentId="13_ncr:1_{1D92E4A2-DF6D-44E4-ACE1-8AD795A4F5AE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<sst xmlns="http://schemas.openxmlformats.org/spreadsheetml/2006/main" count="1181" uniqueCount="325">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</sst>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2.1043770504051134</c:v>
                </c:pt>
                <c:pt idx="2">
                  <c:v>2.556635274731863</c:v>
                </c:pt>
                <c:pt idx="3">
                  <c:v>3.1064610439735567</c:v>
                </c:pt>
                <c:pt idx="4">
                  <c:v>3.7749787108909825</c:v>
                </c:pt>
                <c:pt idx="5">
                  <c:v>4.5879016370415391</c:v>
                </c:pt>
                <c:pt idx="6">
                  <c:v>5.5765322103947055</c:v>
                </c:pt>
                <c:pt idx="7">
                  <c:v>6.7789804101070219</c:v>
                </c:pt>
                <c:pt idx="8">
                  <c:v>8.2416488066415781</c:v>
                </c:pt>
                <c:pt idx="9">
                  <c:v>10.021042403998829</c:v>
                </c:pt>
                <c:pt idx="10">
                  <c:v>12.185974564858995</c:v>
                </c:pt>
                <c:pt idx="11">
                  <c:v>14.820255919629199</c:v>
                </c:pt>
                <c:pt idx="12">
                  <c:v>18.02597227029521</c:v>
                </c:pt>
                <c:pt idx="13">
                  <c:v>21.927480820970342</c:v>
                </c:pt>
                <c:pt idx="14">
                  <c:v>26.676282528815268</c:v>
                </c:pt>
                <c:pt idx="15">
                  <c:v>32.456963106872998</c:v>
                </c:pt>
                <c:pt idx="16">
                  <c:v>39.494437610763406</c:v>
                </c:pt>
                <c:pt idx="17">
                  <c:v>48.062785297322939</c:v>
                </c:pt>
                <c:pt idx="18">
                  <c:v>58.496024623120455</c:v>
                </c:pt>
                <c:pt idx="19">
                  <c:v>71.201255380100662</c:v>
                </c:pt>
                <c:pt idx="20">
                  <c:v>86.674689129479319</c:v>
                </c:pt>
                <c:pt idx="21">
                  <c:v>80.158106792016937</c:v>
                </c:pt>
                <c:pt idx="22">
                  <c:v>89.928294674984173</c:v>
                </c:pt>
                <c:pt idx="23">
                  <c:v>99.671872945964807</c:v>
                </c:pt>
                <c:pt idx="24">
                  <c:v>109.39181450429146</c:v>
                </c:pt>
                <c:pt idx="25">
                  <c:v>119.09051913372679</c:v>
                </c:pt>
                <c:pt idx="26">
                  <c:v>107.33185714845042</c:v>
                </c:pt>
                <c:pt idx="27">
                  <c:v>117.62230117689127</c:v>
                </c:pt>
                <c:pt idx="28">
                  <c:v>127.89076379214983</c:v>
                </c:pt>
                <c:pt idx="29">
                  <c:v>138.1392610338772</c:v>
                </c:pt>
                <c:pt idx="30">
                  <c:v>148.36948473294117</c:v>
                </c:pt>
                <c:pt idx="31">
                  <c:v>134.33489366016121</c:v>
                </c:pt>
                <c:pt idx="32">
                  <c:v>145.15614909780118</c:v>
                </c:pt>
                <c:pt idx="33">
                  <c:v>155.95810991244028</c:v>
                </c:pt>
                <c:pt idx="34">
                  <c:v>166.74230220443391</c:v>
                </c:pt>
                <c:pt idx="35">
                  <c:v>177.51003823928178</c:v>
                </c:pt>
                <c:pt idx="36">
                  <c:v>160.62364363904058</c:v>
                </c:pt>
                <c:pt idx="37">
                  <c:v>171.4005696005612</c:v>
                </c:pt>
                <c:pt idx="38">
                  <c:v>182.1615513331418</c:v>
                </c:pt>
                <c:pt idx="39">
                  <c:v>192.90766431383591</c:v>
                </c:pt>
                <c:pt idx="40">
                  <c:v>203.63985426583091</c:v>
                </c:pt>
                <c:pt idx="41">
                  <c:v>185.3578498069385</c:v>
                </c:pt>
                <c:pt idx="42">
                  <c:v>196.09972997148233</c:v>
                </c:pt>
                <c:pt idx="43">
                  <c:v>206.82794659927859</c:v>
                </c:pt>
                <c:pt idx="44">
                  <c:v>217.5433088836771</c:v>
                </c:pt>
                <c:pt idx="45">
                  <c:v>228.24653971138071</c:v>
                </c:pt>
                <c:pt idx="46">
                  <c:v>208.85614012817894</c:v>
                </c:pt>
                <c:pt idx="47">
                  <c:v>219.85852553656557</c:v>
                </c:pt>
                <c:pt idx="48">
                  <c:v>230.84826880073933</c:v>
                </c:pt>
                <c:pt idx="49">
                  <c:v>241.82605700023601</c:v>
                </c:pt>
                <c:pt idx="50">
                  <c:v>252.79250968806377</c:v>
                </c:pt>
                <c:pt idx="51">
                  <c:v>231.42633948646653</c:v>
                </c:pt>
                <c:pt idx="52">
                  <c:v>241.82605700023589</c:v>
                </c:pt>
                <c:pt idx="53">
                  <c:v>252.21560125852639</c:v>
                </c:pt>
                <c:pt idx="54">
                  <c:v>262.59545070415703</c:v>
                </c:pt>
                <c:pt idx="55">
                  <c:v>272.96604283793067</c:v>
                </c:pt>
                <c:pt idx="56">
                  <c:v>251.63866291719367</c:v>
                </c:pt>
                <c:pt idx="57">
                  <c:v>262.01903913177654</c:v>
                </c:pt>
                <c:pt idx="58">
                  <c:v>272.39013471494297</c:v>
                </c:pt>
                <c:pt idx="59">
                  <c:v>282.75235306773891</c:v>
                </c:pt>
                <c:pt idx="60">
                  <c:v>293.1060655888632</c:v>
                </c:pt>
                <c:pt idx="61">
                  <c:v>271.52622115220419</c:v>
                </c:pt>
                <c:pt idx="62">
                  <c:v>281.60142204946766</c:v>
                </c:pt>
                <c:pt idx="63">
                  <c:v>291.66854559956096</c:v>
                </c:pt>
                <c:pt idx="64">
                  <c:v>301.72791008451242</c:v>
                </c:pt>
                <c:pt idx="65">
                  <c:v>311.77981081702814</c:v>
                </c:pt>
                <c:pt idx="66">
                  <c:v>289.65575145290035</c:v>
                </c:pt>
                <c:pt idx="67">
                  <c:v>299.14194066696115</c:v>
                </c:pt>
                <c:pt idx="68">
                  <c:v>308.62142925305051</c:v>
                </c:pt>
                <c:pt idx="69">
                  <c:v>318.09445218758282</c:v>
                </c:pt>
                <c:pt idx="70">
                  <c:v>327.56122929942899</c:v>
                </c:pt>
                <c:pt idx="71">
                  <c:v>305.46232940781016</c:v>
                </c:pt>
                <c:pt idx="72">
                  <c:v>314.93748241651082</c:v>
                </c:pt>
                <c:pt idx="73">
                  <c:v>324.40631791950602</c:v>
                </c:pt>
                <c:pt idx="74">
                  <c:v>333.86904643331809</c:v>
                </c:pt>
                <c:pt idx="75">
                  <c:v>343.32586555964099</c:v>
                </c:pt>
                <c:pt idx="76">
                  <c:v>320.6769110017317</c:v>
                </c:pt>
                <c:pt idx="77">
                  <c:v>329.56855035950667</c:v>
                </c:pt>
                <c:pt idx="78">
                  <c:v>338.4548971038526</c:v>
                </c:pt>
                <c:pt idx="79">
                  <c:v>347.33610988801024</c:v>
                </c:pt>
                <c:pt idx="80">
                  <c:v>356.21233858420197</c:v>
                </c:pt>
                <c:pt idx="81">
                  <c:v>334.44235328048001</c:v>
                </c:pt>
                <c:pt idx="82">
                  <c:v>342.75288975194479</c:v>
                </c:pt>
                <c:pt idx="83">
                  <c:v>351.05899780089089</c:v>
                </c:pt>
                <c:pt idx="84">
                  <c:v>359.36079705906121</c:v>
                </c:pt>
                <c:pt idx="85">
                  <c:v>367.65840117579205</c:v>
                </c:pt>
                <c:pt idx="86">
                  <c:v>347.0496977312352</c:v>
                </c:pt>
                <c:pt idx="87">
                  <c:v>355.06729377051948</c:v>
                </c:pt>
                <c:pt idx="88">
                  <c:v>363.08092490118565</c:v>
                </c:pt>
                <c:pt idx="89">
                  <c:v>371.09069104114741</c:v>
                </c:pt>
                <c:pt idx="90">
                  <c:v>379.09668743989369</c:v>
                </c:pt>
                <c:pt idx="91">
                  <c:v>358.21597321598887</c:v>
                </c:pt>
                <c:pt idx="92">
                  <c:v>365.94199430788302</c:v>
                </c:pt>
                <c:pt idx="93">
                  <c:v>373.66445368853448</c:v>
                </c:pt>
                <c:pt idx="94">
                  <c:v>381.38343540496891</c:v>
                </c:pt>
                <c:pt idx="95">
                  <c:v>389.09901982199722</c:v>
                </c:pt>
                <c:pt idx="96">
                  <c:v>368.80257517844279</c:v>
                </c:pt>
                <c:pt idx="97">
                  <c:v>375.66600180085084</c:v>
                </c:pt>
                <c:pt idx="98">
                  <c:v>382.52669742333069</c:v>
                </c:pt>
                <c:pt idx="99">
                  <c:v>389.38471797813935</c:v>
                </c:pt>
                <c:pt idx="100">
                  <c:v>396.24011726494012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2.8005848029412461</c:v>
                </c:pt>
                <c:pt idx="2">
                  <c:v>3.1834841975768704</c:v>
                </c:pt>
                <c:pt idx="3">
                  <c:v>3.6189193744998236</c:v>
                </c:pt>
                <c:pt idx="4">
                  <c:v>4.1141225451296703</c:v>
                </c:pt>
                <c:pt idx="5">
                  <c:v>4.6773246308461864</c:v>
                </c:pt>
                <c:pt idx="6">
                  <c:v>5.3178935766619375</c:v>
                </c:pt>
                <c:pt idx="7">
                  <c:v>6.0464918716200602</c:v>
                </c:pt>
                <c:pt idx="8">
                  <c:v>6.8752559496036056</c:v>
                </c:pt>
                <c:pt idx="9">
                  <c:v>7.8180005172744487</c:v>
                </c:pt>
                <c:pt idx="10">
                  <c:v>8.8904512810435214</c:v>
                </c:pt>
                <c:pt idx="11">
                  <c:v>10.110510029614687</c:v>
                </c:pt>
                <c:pt idx="12">
                  <c:v>11.498556581071734</c:v>
                </c:pt>
                <c:pt idx="13">
                  <c:v>13.077792733190094</c:v>
                </c:pt>
                <c:pt idx="14">
                  <c:v>14.874634073483699</c:v>
                </c:pt>
                <c:pt idx="15">
                  <c:v>16.919156323795203</c:v>
                </c:pt>
                <c:pt idx="16">
                  <c:v>19.24560382709107</c:v>
                </c:pt>
                <c:pt idx="17">
                  <c:v>21.892968847596446</c:v>
                </c:pt>
                <c:pt idx="18">
                  <c:v>24.905651567819692</c:v>
                </c:pt>
                <c:pt idx="19">
                  <c:v>28.334212048267133</c:v>
                </c:pt>
                <c:pt idx="20">
                  <c:v>32.236226991566326</c:v>
                </c:pt>
                <c:pt idx="21">
                  <c:v>36.677265949479931</c:v>
                </c:pt>
                <c:pt idx="22">
                  <c:v>41.732003659901643</c:v>
                </c:pt>
                <c:pt idx="23">
                  <c:v>47.485487536737935</c:v>
                </c:pt>
                <c:pt idx="24">
                  <c:v>54.034581998922782</c:v>
                </c:pt>
                <c:pt idx="25">
                  <c:v>61.489614361686527</c:v>
                </c:pt>
                <c:pt idx="26">
                  <c:v>69.976250476072252</c:v>
                </c:pt>
                <c:pt idx="27">
                  <c:v>79.637632251414587</c:v>
                </c:pt>
                <c:pt idx="28">
                  <c:v>90.636813698332006</c:v>
                </c:pt>
                <c:pt idx="29">
                  <c:v>103.15953726461299</c:v>
                </c:pt>
                <c:pt idx="30">
                  <c:v>117.41739809202976</c:v>
                </c:pt>
                <c:pt idx="31">
                  <c:v>105.96942433565118</c:v>
                </c:pt>
                <c:pt idx="32">
                  <c:v>113.60458895271091</c:v>
                </c:pt>
                <c:pt idx="33">
                  <c:v>121.22718363614437</c:v>
                </c:pt>
                <c:pt idx="34">
                  <c:v>128.83811164782671</c:v>
                </c:pt>
                <c:pt idx="35">
                  <c:v>136.4381605770578</c:v>
                </c:pt>
                <c:pt idx="36">
                  <c:v>127.99300373621668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161.70140970029556</c:v>
                </c:pt>
                <c:pt idx="41">
                  <c:v>150.76651294924491</c:v>
                </c:pt>
                <c:pt idx="42">
                  <c:v>158.7591774950956</c:v>
                </c:pt>
                <c:pt idx="43">
                  <c:v>166.74230220443391</c:v>
                </c:pt>
                <c:pt idx="44">
                  <c:v>174.7164088968461</c:v>
                </c:pt>
                <c:pt idx="45">
                  <c:v>182.6819677915623</c:v>
                </c:pt>
                <c:pt idx="46">
                  <c:v>171.77959852127819</c:v>
                </c:pt>
                <c:pt idx="47">
                  <c:v>179.7482548480051</c:v>
                </c:pt>
                <c:pt idx="48">
                  <c:v>187.70863707245698</c:v>
                </c:pt>
                <c:pt idx="49">
                  <c:v>195.66114605562757</c:v>
                </c:pt>
                <c:pt idx="50">
                  <c:v>203.60614736350433</c:v>
                </c:pt>
                <c:pt idx="51">
                  <c:v>193.15065517554149</c:v>
                </c:pt>
                <c:pt idx="52">
                  <c:v>201.51606614204601</c:v>
                </c:pt>
                <c:pt idx="53">
                  <c:v>209.87343438827475</c:v>
                </c:pt>
                <c:pt idx="54">
                  <c:v>218.22312573751938</c:v>
                </c:pt>
                <c:pt idx="55">
                  <c:v>226.56547569658809</c:v>
                </c:pt>
                <c:pt idx="56">
                  <c:v>213.63172478455704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237.40006003332357</c:v>
                </c:pt>
                <c:pt idx="60">
                  <c:v>245.31048218883168</c:v>
                </c:pt>
                <c:pt idx="61">
                  <c:v>232.40091885863032</c:v>
                </c:pt>
                <c:pt idx="62">
                  <c:v>240.31511393681535</c:v>
                </c:pt>
                <c:pt idx="63">
                  <c:v>248.22337627734638</c:v>
                </c:pt>
                <c:pt idx="64">
                  <c:v>256.1259217726236</c:v>
                </c:pt>
                <c:pt idx="65">
                  <c:v>264.02295188940849</c:v>
                </c:pt>
                <c:pt idx="66">
                  <c:v>250.71952474895633</c:v>
                </c:pt>
                <c:pt idx="67">
                  <c:v>258.20461441214769</c:v>
                </c:pt>
                <c:pt idx="68">
                  <c:v>265.68479967259981</c:v>
                </c:pt>
                <c:pt idx="69">
                  <c:v>273.16023825041395</c:v>
                </c:pt>
                <c:pt idx="70">
                  <c:v>280.63107851839703</c:v>
                </c:pt>
                <c:pt idx="71">
                  <c:v>266.931031614787</c:v>
                </c:pt>
                <c:pt idx="72">
                  <c:v>273.99055606211817</c:v>
                </c:pt>
                <c:pt idx="73">
                  <c:v>281.04599322042526</c:v>
                </c:pt>
                <c:pt idx="74">
                  <c:v>288.09746029565304</c:v>
                </c:pt>
                <c:pt idx="75">
                  <c:v>295.14506828119096</c:v>
                </c:pt>
                <c:pt idx="76">
                  <c:v>281.46089418692515</c:v>
                </c:pt>
                <c:pt idx="77">
                  <c:v>288.51213124261659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309.64314037802706</c:v>
                </c:pt>
                <c:pt idx="81">
                  <c:v>297.21717518827546</c:v>
                </c:pt>
                <c:pt idx="82">
                  <c:v>303.43157344975288</c:v>
                </c:pt>
                <c:pt idx="83">
                  <c:v>309.64314037802706</c:v>
                </c:pt>
                <c:pt idx="84">
                  <c:v>315.85194085471181</c:v>
                </c:pt>
                <c:pt idx="85">
                  <c:v>322.05803699935785</c:v>
                </c:pt>
                <c:pt idx="86">
                  <c:v>310.05714577566238</c:v>
                </c:pt>
                <c:pt idx="87">
                  <c:v>316.67957526595018</c:v>
                </c:pt>
                <c:pt idx="88">
                  <c:v>323.29893699066059</c:v>
                </c:pt>
                <c:pt idx="89">
                  <c:v>329.91530269151446</c:v>
                </c:pt>
                <c:pt idx="90">
                  <c:v>336.52874099475497</c:v>
                </c:pt>
                <c:pt idx="91">
                  <c:v>323.71254689379975</c:v>
                </c:pt>
                <c:pt idx="92">
                  <c:v>329.5018662958127</c:v>
                </c:pt>
                <c:pt idx="93">
                  <c:v>335.28894123596245</c:v>
                </c:pt>
                <c:pt idx="94">
                  <c:v>341.07381596633985</c:v>
                </c:pt>
                <c:pt idx="95">
                  <c:v>346.85653311367014</c:v>
                </c:pt>
                <c:pt idx="96">
                  <c:v>334.4623519653349</c:v>
                </c:pt>
                <c:pt idx="97">
                  <c:v>340.66068267684119</c:v>
                </c:pt>
                <c:pt idx="98">
                  <c:v>346.85653311367014</c:v>
                </c:pt>
                <c:pt idx="99">
                  <c:v>353.04995387967392</c:v>
                </c:pt>
                <c:pt idx="100">
                  <c:v>359.24099365648937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3.1047093953913691</c:v>
                </c:pt>
                <c:pt idx="2">
                  <c:v>3.5293345524739101</c:v>
                </c:pt>
                <c:pt idx="3">
                  <c:v>4.0122393472515112</c:v>
                </c:pt>
                <c:pt idx="4">
                  <c:v>4.5614491427317532</c:v>
                </c:pt>
                <c:pt idx="5">
                  <c:v>5.1860978536459745</c:v>
                </c:pt>
                <c:pt idx="6">
                  <c:v>5.8965815126698642</c:v>
                </c:pt>
                <c:pt idx="7">
                  <c:v>6.7047331665517831</c:v>
                </c:pt>
                <c:pt idx="8">
                  <c:v>7.6240220720531751</c:v>
                </c:pt>
                <c:pt idx="9">
                  <c:v>8.6697805760491615</c:v>
                </c:pt>
                <c:pt idx="10">
                  <c:v>9.8594625365335151</c:v>
                </c:pt>
                <c:pt idx="11">
                  <c:v>11.212937679739598</c:v>
                </c:pt>
                <c:pt idx="12">
                  <c:v>12.752826902384419</c:v>
                </c:pt>
                <c:pt idx="13">
                  <c:v>14.504884227725073</c:v>
                </c:pt>
                <c:pt idx="14">
                  <c:v>16.498431921723171</c:v>
                </c:pt>
                <c:pt idx="15">
                  <c:v>18.76685618487377</c:v>
                </c:pt>
                <c:pt idx="16">
                  <c:v>21.348171871827699</c:v>
                </c:pt>
                <c:pt idx="17">
                  <c:v>24.285665872676081</c:v>
                </c:pt>
                <c:pt idx="18">
                  <c:v>27.62863013703857</c:v>
                </c:pt>
                <c:pt idx="19">
                  <c:v>31.433196858127605</c:v>
                </c:pt>
                <c:pt idx="20">
                  <c:v>35.763290085240087</c:v>
                </c:pt>
                <c:pt idx="21">
                  <c:v>40.691710029867117</c:v>
                </c:pt>
                <c:pt idx="22">
                  <c:v>46.301368607272622</c:v>
                </c:pt>
                <c:pt idx="23">
                  <c:v>52.686697351275654</c:v>
                </c:pt>
                <c:pt idx="24">
                  <c:v>59.955251799911103</c:v>
                </c:pt>
                <c:pt idx="25">
                  <c:v>68.229539824775074</c:v>
                </c:pt>
                <c:pt idx="26">
                  <c:v>77.649105225513026</c:v>
                </c:pt>
                <c:pt idx="27">
                  <c:v>88.372902299614339</c:v>
                </c:pt>
                <c:pt idx="28">
                  <c:v>100.58200210233447</c:v>
                </c:pt>
                <c:pt idx="29">
                  <c:v>114.48267681874857</c:v>
                </c:pt>
                <c:pt idx="30">
                  <c:v>130.30991517841122</c:v>
                </c:pt>
                <c:pt idx="31">
                  <c:v>117.60181126110916</c:v>
                </c:pt>
                <c:pt idx="32">
                  <c:v>126.0773781005813</c:v>
                </c:pt>
                <c:pt idx="33">
                  <c:v>134.53912892670354</c:v>
                </c:pt>
                <c:pt idx="34">
                  <c:v>142.98805654329652</c:v>
                </c:pt>
                <c:pt idx="35">
                  <c:v>151.42502661477829</c:v>
                </c:pt>
                <c:pt idx="36">
                  <c:v>142.04989216192445</c:v>
                </c:pt>
                <c:pt idx="37">
                  <c:v>151.42502661477829</c:v>
                </c:pt>
                <c:pt idx="38">
                  <c:v>160.78633625957769</c:v>
                </c:pt>
                <c:pt idx="39">
                  <c:v>170.13474046014426</c:v>
                </c:pt>
                <c:pt idx="40">
                  <c:v>179.47104913917383</c:v>
                </c:pt>
                <c:pt idx="41">
                  <c:v>167.33152417187671</c:v>
                </c:pt>
                <c:pt idx="42">
                  <c:v>176.20467025441363</c:v>
                </c:pt>
                <c:pt idx="43">
                  <c:v>185.06733079959386</c:v>
                </c:pt>
                <c:pt idx="44">
                  <c:v>193.92007935590104</c:v>
                </c:pt>
                <c:pt idx="45">
                  <c:v>202.76343275622807</c:v>
                </c:pt>
                <c:pt idx="46">
                  <c:v>190.65965977632126</c:v>
                </c:pt>
                <c:pt idx="47">
                  <c:v>199.50641766256544</c:v>
                </c:pt>
                <c:pt idx="48">
                  <c:v>208.34408122016089</c:v>
                </c:pt>
                <c:pt idx="49">
                  <c:v>217.17309104815993</c:v>
                </c:pt>
                <c:pt idx="50">
                  <c:v>225.9938489517518</c:v>
                </c:pt>
                <c:pt idx="51">
                  <c:v>214.38589248354239</c:v>
                </c:pt>
                <c:pt idx="52">
                  <c:v>223.6733757126764</c:v>
                </c:pt>
                <c:pt idx="53">
                  <c:v>232.95201893246733</c:v>
                </c:pt>
                <c:pt idx="54">
                  <c:v>242.22222423091577</c:v>
                </c:pt>
                <c:pt idx="55">
                  <c:v>251.48436037421257</c:v>
                </c:pt>
                <c:pt idx="56">
                  <c:v>237.12463272796342</c:v>
                </c:pt>
                <c:pt idx="57">
                  <c:v>245.92802736230567</c:v>
                </c:pt>
                <c:pt idx="58">
                  <c:v>254.72426530340337</c:v>
                </c:pt>
                <c:pt idx="59">
                  <c:v>263.51362878037509</c:v>
                </c:pt>
                <c:pt idx="60">
                  <c:v>272.29637963914473</c:v>
                </c:pt>
                <c:pt idx="61">
                  <c:v>257.96323733243611</c:v>
                </c:pt>
                <c:pt idx="62">
                  <c:v>266.75013513037203</c:v>
                </c:pt>
                <c:pt idx="63">
                  <c:v>275.53051206789081</c:v>
                </c:pt>
                <c:pt idx="64">
                  <c:v>284.30460543918753</c:v>
                </c:pt>
                <c:pt idx="65">
                  <c:v>293.07263668278023</c:v>
                </c:pt>
                <c:pt idx="66">
                  <c:v>278.30194643574583</c:v>
                </c:pt>
                <c:pt idx="67">
                  <c:v>286.61256112608538</c:v>
                </c:pt>
                <c:pt idx="68">
                  <c:v>294.91778523157927</c:v>
                </c:pt>
                <c:pt idx="69">
                  <c:v>303.21779210740067</c:v>
                </c:pt>
                <c:pt idx="70">
                  <c:v>311.51274483481535</c:v>
                </c:pt>
                <c:pt idx="71">
                  <c:v>296.30147749206856</c:v>
                </c:pt>
                <c:pt idx="72">
                  <c:v>304.13970022013859</c:v>
                </c:pt>
                <c:pt idx="73">
                  <c:v>311.97343047900409</c:v>
                </c:pt>
                <c:pt idx="74">
                  <c:v>319.80279709344171</c:v>
                </c:pt>
                <c:pt idx="75">
                  <c:v>327.62792205981219</c:v>
                </c:pt>
                <c:pt idx="76">
                  <c:v>312.4341010260369</c:v>
                </c:pt>
                <c:pt idx="77">
                  <c:v>320.26321481869564</c:v>
                </c:pt>
                <c:pt idx="78">
                  <c:v>328.08809393827676</c:v>
                </c:pt>
                <c:pt idx="79">
                  <c:v>335.90885371669856</c:v>
                </c:pt>
                <c:pt idx="80">
                  <c:v>343.72560367250838</c:v>
                </c:pt>
                <c:pt idx="81">
                  <c:v>329.92863915898073</c:v>
                </c:pt>
                <c:pt idx="82">
                  <c:v>336.82867741987707</c:v>
                </c:pt>
                <c:pt idx="83">
                  <c:v>343.72560367250838</c:v>
                </c:pt>
                <c:pt idx="84">
                  <c:v>350.61948923031787</c:v>
                </c:pt>
                <c:pt idx="85">
                  <c:v>357.51040237087665</c:v>
                </c:pt>
                <c:pt idx="86">
                  <c:v>344.18528987135363</c:v>
                </c:pt>
                <c:pt idx="87">
                  <c:v>351.53844793236175</c:v>
                </c:pt>
                <c:pt idx="88">
                  <c:v>358.88823411477205</c:v>
                </c:pt>
                <c:pt idx="89">
                  <c:v>366.23472727218882</c:v>
                </c:pt>
                <c:pt idx="90">
                  <c:v>373.57800283389628</c:v>
                </c:pt>
                <c:pt idx="91">
                  <c:v>359.3474856130531</c:v>
                </c:pt>
                <c:pt idx="92">
                  <c:v>365.77566648144403</c:v>
                </c:pt>
                <c:pt idx="93">
                  <c:v>372.20138039050306</c:v>
                </c:pt>
                <c:pt idx="94">
                  <c:v>378.62467597910836</c:v>
                </c:pt>
                <c:pt idx="95">
                  <c:v>385.0456000996482</c:v>
                </c:pt>
                <c:pt idx="96">
                  <c:v>371.2835704357048</c:v>
                </c:pt>
                <c:pt idx="97">
                  <c:v>378.16594834202004</c:v>
                </c:pt>
                <c:pt idx="98">
                  <c:v>385.0456000996482</c:v>
                </c:pt>
                <c:pt idx="99">
                  <c:v>391.92258132889066</c:v>
                </c:pt>
                <c:pt idx="100">
                  <c:v>398.79694553728069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203.94321057745549</c:v>
                </c:pt>
                <c:pt idx="32">
                  <c:v>220.7804177203171</c:v>
                </c:pt>
                <c:pt idx="33">
                  <c:v>237.58815254200749</c:v>
                </c:pt>
                <c:pt idx="34">
                  <c:v>254.36879359828689</c:v>
                </c:pt>
                <c:pt idx="35">
                  <c:v>271.12437982914287</c:v>
                </c:pt>
                <c:pt idx="36">
                  <c:v>287.85667749117107</c:v>
                </c:pt>
                <c:pt idx="37">
                  <c:v>304.56723069319668</c:v>
                </c:pt>
                <c:pt idx="38">
                  <c:v>321.25740024962448</c:v>
                </c:pt>
                <c:pt idx="39">
                  <c:v>337.92839403108081</c:v>
                </c:pt>
                <c:pt idx="40">
                  <c:v>354.58129100924572</c:v>
                </c:pt>
                <c:pt idx="41">
                  <c:v>273.46826598615121</c:v>
                </c:pt>
                <c:pt idx="42">
                  <c:v>290.86614008068244</c:v>
                </c:pt>
                <c:pt idx="43">
                  <c:v>308.24077257589482</c:v>
                </c:pt>
                <c:pt idx="44">
                  <c:v>325.59365765041485</c:v>
                </c:pt>
                <c:pt idx="45">
                  <c:v>342.92611721533927</c:v>
                </c:pt>
                <c:pt idx="46">
                  <c:v>360.23932866053065</c:v>
                </c:pt>
                <c:pt idx="47">
                  <c:v>377.53434698590382</c:v>
                </c:pt>
                <c:pt idx="48">
                  <c:v>394.81212266433727</c:v>
                </c:pt>
                <c:pt idx="49">
                  <c:v>412.07351621393423</c:v>
                </c:pt>
                <c:pt idx="50">
                  <c:v>429.3193102010203</c:v>
                </c:pt>
                <c:pt idx="51">
                  <c:v>341.09380600748227</c:v>
                </c:pt>
                <c:pt idx="52">
                  <c:v>354.2484039841533</c:v>
                </c:pt>
                <c:pt idx="53">
                  <c:v>367.39230306569772</c:v>
                </c:pt>
                <c:pt idx="54">
                  <c:v>380.52593997693936</c:v>
                </c:pt>
                <c:pt idx="55">
                  <c:v>393.6497188332408</c:v>
                </c:pt>
                <c:pt idx="56">
                  <c:v>406.76401460432811</c:v>
                </c:pt>
                <c:pt idx="57">
                  <c:v>419.86917610805745</c:v>
                </c:pt>
                <c:pt idx="58">
                  <c:v>432.96552861089236</c:v>
                </c:pt>
                <c:pt idx="59">
                  <c:v>446.05337609733328</c:v>
                </c:pt>
                <c:pt idx="60">
                  <c:v>459.13300325911342</c:v>
                </c:pt>
                <c:pt idx="61">
                  <c:v>378.75320618989912</c:v>
                </c:pt>
                <c:pt idx="62">
                  <c:v>386.28608881480596</c:v>
                </c:pt>
                <c:pt idx="63">
                  <c:v>393.81578107494585</c:v>
                </c:pt>
                <c:pt idx="64">
                  <c:v>401.34235261702344</c:v>
                </c:pt>
                <c:pt idx="65">
                  <c:v>408.86587026056355</c:v>
                </c:pt>
                <c:pt idx="66">
                  <c:v>416.38639816373006</c:v>
                </c:pt>
                <c:pt idx="67">
                  <c:v>423.90399797653527</c:v>
                </c:pt>
                <c:pt idx="68">
                  <c:v>431.41872898261045</c:v>
                </c:pt>
                <c:pt idx="69">
                  <c:v>438.93064823057858</c:v>
                </c:pt>
                <c:pt idx="70">
                  <c:v>446.43981065596273</c:v>
                </c:pt>
                <c:pt idx="71">
                  <c:v>453.94626919446097</c:v>
                </c:pt>
                <c:pt idx="72">
                  <c:v>461.45007488733694</c:v>
                </c:pt>
                <c:pt idx="73">
                  <c:v>468.95127697959407</c:v>
                </c:pt>
                <c:pt idx="74">
                  <c:v>476.44992301154184</c:v>
                </c:pt>
                <c:pt idx="75">
                  <c:v>483.94605890429278</c:v>
                </c:pt>
                <c:pt idx="76">
                  <c:v>4.6498644977563242E-12</c:v>
                </c:pt>
                <c:pt idx="77">
                  <c:v>4.6498644977563242E-12</c:v>
                </c:pt>
                <c:pt idx="78">
                  <c:v>4.6498644977563242E-12</c:v>
                </c:pt>
                <c:pt idx="79">
                  <c:v>4.6498644977563242E-12</c:v>
                </c:pt>
                <c:pt idx="80">
                  <c:v>4.6498644977563242E-12</c:v>
                </c:pt>
                <c:pt idx="81">
                  <c:v>4.6498644977563242E-12</c:v>
                </c:pt>
                <c:pt idx="82">
                  <c:v>4.6498644977563242E-12</c:v>
                </c:pt>
                <c:pt idx="83">
                  <c:v>4.6498644977563242E-12</c:v>
                </c:pt>
                <c:pt idx="84">
                  <c:v>4.6498644977563242E-12</c:v>
                </c:pt>
                <c:pt idx="85">
                  <c:v>4.6498644977563242E-12</c:v>
                </c:pt>
                <c:pt idx="86">
                  <c:v>4.6498644977563242E-12</c:v>
                </c:pt>
                <c:pt idx="87">
                  <c:v>4.6498644977563242E-12</c:v>
                </c:pt>
                <c:pt idx="88">
                  <c:v>4.6498644977563242E-12</c:v>
                </c:pt>
                <c:pt idx="89">
                  <c:v>4.6498644977563242E-12</c:v>
                </c:pt>
                <c:pt idx="90">
                  <c:v>4.6498644977563242E-12</c:v>
                </c:pt>
                <c:pt idx="91">
                  <c:v>4.6498644977563242E-12</c:v>
                </c:pt>
                <c:pt idx="92">
                  <c:v>4.6498644977563242E-12</c:v>
                </c:pt>
                <c:pt idx="93">
                  <c:v>4.6498644977563242E-12</c:v>
                </c:pt>
                <c:pt idx="94">
                  <c:v>4.6498644977563242E-12</c:v>
                </c:pt>
                <c:pt idx="95">
                  <c:v>4.6498644977563242E-12</c:v>
                </c:pt>
                <c:pt idx="96">
                  <c:v>4.6498644977563242E-12</c:v>
                </c:pt>
                <c:pt idx="97">
                  <c:v>4.6498644977563242E-12</c:v>
                </c:pt>
                <c:pt idx="98">
                  <c:v>4.6498644977563242E-12</c:v>
                </c:pt>
                <c:pt idx="99">
                  <c:v>4.6498644977563242E-12</c:v>
                </c:pt>
                <c:pt idx="100">
                  <c:v>4.6498644977563242E-12</c:v>
                </c:pt>
                <c:pt idx="101">
                  <c:v>4.6498644977563242E-12</c:v>
                </c:pt>
                <c:pt idx="102">
                  <c:v>4.6498644977563242E-12</c:v>
                </c:pt>
                <c:pt idx="103">
                  <c:v>4.6498644977563242E-12</c:v>
                </c:pt>
                <c:pt idx="104">
                  <c:v>4.6498644977563242E-12</c:v>
                </c:pt>
                <c:pt idx="105">
                  <c:v>4.6498644977563242E-12</c:v>
                </c:pt>
                <c:pt idx="106">
                  <c:v>4.6498644977563242E-12</c:v>
                </c:pt>
                <c:pt idx="107">
                  <c:v>4.6498644977563242E-12</c:v>
                </c:pt>
                <c:pt idx="108">
                  <c:v>4.6498644977563242E-12</c:v>
                </c:pt>
                <c:pt idx="109">
                  <c:v>4.6498644977563242E-12</c:v>
                </c:pt>
                <c:pt idx="110">
                  <c:v>4.6498644977563242E-12</c:v>
                </c:pt>
                <c:pt idx="111">
                  <c:v>4.6498644977563242E-12</c:v>
                </c:pt>
                <c:pt idx="112">
                  <c:v>4.6498644977563242E-12</c:v>
                </c:pt>
                <c:pt idx="113">
                  <c:v>4.6498644977563242E-12</c:v>
                </c:pt>
                <c:pt idx="114">
                  <c:v>4.6498644977563242E-12</c:v>
                </c:pt>
                <c:pt idx="115">
                  <c:v>4.6498644977563242E-12</c:v>
                </c:pt>
                <c:pt idx="116">
                  <c:v>4.6498644977563242E-12</c:v>
                </c:pt>
                <c:pt idx="117">
                  <c:v>4.6498644977563242E-12</c:v>
                </c:pt>
                <c:pt idx="118">
                  <c:v>4.6498644977563242E-12</c:v>
                </c:pt>
                <c:pt idx="119">
                  <c:v>4.6498644977563242E-12</c:v>
                </c:pt>
                <c:pt idx="120">
                  <c:v>4.6498644977563242E-12</c:v>
                </c:pt>
                <c:pt idx="121">
                  <c:v>4.6498644977563242E-12</c:v>
                </c:pt>
                <c:pt idx="122">
                  <c:v>4.6498644977563242E-12</c:v>
                </c:pt>
                <c:pt idx="123">
                  <c:v>4.6498644977563242E-12</c:v>
                </c:pt>
                <c:pt idx="124">
                  <c:v>4.6498644977563242E-12</c:v>
                </c:pt>
                <c:pt idx="125">
                  <c:v>4.6498644977563242E-12</c:v>
                </c:pt>
                <c:pt idx="126">
                  <c:v>4.6498644977563242E-12</c:v>
                </c:pt>
                <c:pt idx="127">
                  <c:v>4.6498644977563242E-12</c:v>
                </c:pt>
                <c:pt idx="128">
                  <c:v>4.6498644977563242E-12</c:v>
                </c:pt>
                <c:pt idx="129">
                  <c:v>4.6498644977563242E-12</c:v>
                </c:pt>
                <c:pt idx="130">
                  <c:v>4.6498644977563242E-12</c:v>
                </c:pt>
                <c:pt idx="131">
                  <c:v>4.6498644977563242E-12</c:v>
                </c:pt>
                <c:pt idx="132">
                  <c:v>4.6498644977563242E-12</c:v>
                </c:pt>
                <c:pt idx="133">
                  <c:v>4.6498644977563242E-12</c:v>
                </c:pt>
                <c:pt idx="134">
                  <c:v>4.6498644977563242E-12</c:v>
                </c:pt>
                <c:pt idx="135">
                  <c:v>4.6498644977563242E-12</c:v>
                </c:pt>
                <c:pt idx="136">
                  <c:v>4.6498644977563242E-12</c:v>
                </c:pt>
                <c:pt idx="137">
                  <c:v>4.6498644977563242E-12</c:v>
                </c:pt>
                <c:pt idx="138">
                  <c:v>4.6498644977563242E-12</c:v>
                </c:pt>
                <c:pt idx="139">
                  <c:v>4.6498644977563242E-12</c:v>
                </c:pt>
                <c:pt idx="140">
                  <c:v>4.6498644977563242E-12</c:v>
                </c:pt>
                <c:pt idx="141">
                  <c:v>4.6498644977563242E-12</c:v>
                </c:pt>
                <c:pt idx="142">
                  <c:v>4.6498644977563242E-12</c:v>
                </c:pt>
                <c:pt idx="143">
                  <c:v>4.6498644977563242E-12</c:v>
                </c:pt>
                <c:pt idx="144">
                  <c:v>4.6498644977563242E-12</c:v>
                </c:pt>
                <c:pt idx="145">
                  <c:v>4.6498644977563242E-12</c:v>
                </c:pt>
                <c:pt idx="146">
                  <c:v>4.6498644977563242E-12</c:v>
                </c:pt>
                <c:pt idx="147">
                  <c:v>4.6498644977563242E-12</c:v>
                </c:pt>
                <c:pt idx="148">
                  <c:v>4.6498644977563242E-12</c:v>
                </c:pt>
                <c:pt idx="149">
                  <c:v>4.6498644977563242E-12</c:v>
                </c:pt>
                <c:pt idx="150">
                  <c:v>4.6498644977563242E-12</c:v>
                </c:pt>
                <c:pt idx="151">
                  <c:v>4.6498644977563242E-12</c:v>
                </c:pt>
                <c:pt idx="152">
                  <c:v>4.6498644977563242E-12</c:v>
                </c:pt>
                <c:pt idx="153">
                  <c:v>4.6498644977563242E-12</c:v>
                </c:pt>
                <c:pt idx="154">
                  <c:v>4.6498644977563242E-12</c:v>
                </c:pt>
                <c:pt idx="155">
                  <c:v>4.6498644977563242E-12</c:v>
                </c:pt>
                <c:pt idx="156">
                  <c:v>4.6498644977563242E-12</c:v>
                </c:pt>
                <c:pt idx="157">
                  <c:v>4.6498644977563242E-12</c:v>
                </c:pt>
                <c:pt idx="158">
                  <c:v>4.6498644977563242E-12</c:v>
                </c:pt>
                <c:pt idx="159">
                  <c:v>4.6498644977563242E-12</c:v>
                </c:pt>
                <c:pt idx="160">
                  <c:v>4.6498644977563242E-12</c:v>
                </c:pt>
                <c:pt idx="161">
                  <c:v>4.6498644977563242E-12</c:v>
                </c:pt>
                <c:pt idx="162">
                  <c:v>4.6498644977563242E-12</c:v>
                </c:pt>
                <c:pt idx="163">
                  <c:v>4.6498644977563242E-12</c:v>
                </c:pt>
                <c:pt idx="164">
                  <c:v>4.6498644977563242E-12</c:v>
                </c:pt>
                <c:pt idx="165">
                  <c:v>4.6498644977563242E-12</c:v>
                </c:pt>
                <c:pt idx="166">
                  <c:v>4.6498644977563242E-12</c:v>
                </c:pt>
                <c:pt idx="167">
                  <c:v>4.6498644977563242E-12</c:v>
                </c:pt>
                <c:pt idx="168">
                  <c:v>4.6498644977563242E-12</c:v>
                </c:pt>
                <c:pt idx="169">
                  <c:v>4.6498644977563242E-12</c:v>
                </c:pt>
                <c:pt idx="170">
                  <c:v>4.6498644977563242E-12</c:v>
                </c:pt>
                <c:pt idx="171">
                  <c:v>4.6498644977563242E-12</c:v>
                </c:pt>
                <c:pt idx="172">
                  <c:v>4.6498644977563242E-12</c:v>
                </c:pt>
                <c:pt idx="173">
                  <c:v>4.6498644977563242E-12</c:v>
                </c:pt>
                <c:pt idx="174">
                  <c:v>4.6498644977563242E-12</c:v>
                </c:pt>
                <c:pt idx="175">
                  <c:v>4.6498644977563242E-12</c:v>
                </c:pt>
                <c:pt idx="176">
                  <c:v>4.6498644977563242E-12</c:v>
                </c:pt>
                <c:pt idx="177">
                  <c:v>4.6498644977563242E-12</c:v>
                </c:pt>
                <c:pt idx="178">
                  <c:v>4.6498644977563242E-12</c:v>
                </c:pt>
                <c:pt idx="179">
                  <c:v>4.6498644977563242E-12</c:v>
                </c:pt>
                <c:pt idx="180">
                  <c:v>4.6498644977563242E-12</c:v>
                </c:pt>
                <c:pt idx="181">
                  <c:v>4.6498644977563242E-12</c:v>
                </c:pt>
                <c:pt idx="182">
                  <c:v>4.6498644977563242E-12</c:v>
                </c:pt>
                <c:pt idx="183">
                  <c:v>4.6498644977563242E-12</c:v>
                </c:pt>
                <c:pt idx="184">
                  <c:v>4.6498644977563242E-12</c:v>
                </c:pt>
                <c:pt idx="185">
                  <c:v>4.6498644977563242E-12</c:v>
                </c:pt>
                <c:pt idx="186">
                  <c:v>4.6498644977563242E-12</c:v>
                </c:pt>
                <c:pt idx="187">
                  <c:v>4.6498644977563242E-12</c:v>
                </c:pt>
                <c:pt idx="188">
                  <c:v>4.6498644977563242E-12</c:v>
                </c:pt>
                <c:pt idx="189">
                  <c:v>4.6498644977563242E-12</c:v>
                </c:pt>
                <c:pt idx="190">
                  <c:v>4.6498644977563242E-12</c:v>
                </c:pt>
                <c:pt idx="191">
                  <c:v>4.6498644977563242E-12</c:v>
                </c:pt>
                <c:pt idx="192">
                  <c:v>4.6498644977563242E-12</c:v>
                </c:pt>
                <c:pt idx="193">
                  <c:v>4.6498644977563242E-12</c:v>
                </c:pt>
                <c:pt idx="194">
                  <c:v>4.6498644977563242E-12</c:v>
                </c:pt>
                <c:pt idx="195">
                  <c:v>4.6498644977563242E-12</c:v>
                </c:pt>
                <c:pt idx="196">
                  <c:v>4.6498644977563242E-12</c:v>
                </c:pt>
                <c:pt idx="197">
                  <c:v>4.6498644977563242E-12</c:v>
                </c:pt>
                <c:pt idx="198">
                  <c:v>4.6498644977563242E-12</c:v>
                </c:pt>
                <c:pt idx="199">
                  <c:v>4.6498644977563242E-12</c:v>
                </c:pt>
                <c:pt idx="200">
                  <c:v>4.6498644977563242E-12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9" zoomScale="80" zoomScaleNormal="80" workbookViewId="0">
      <selection activeCell="I146" sqref="I14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2.2000000000000002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0.75</v>
      </c>
      <c r="D9" s="33">
        <f t="shared" ref="D9:D18" si="0">C9*$C$5</f>
        <v>1.6500000000000001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50</v>
      </c>
      <c r="C10" s="32">
        <v>0.12</v>
      </c>
      <c r="D10" s="33">
        <f t="shared" si="0"/>
        <v>0.26400000000000001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</v>
      </c>
      <c r="C11" s="32">
        <v>0.04</v>
      </c>
      <c r="D11" s="33">
        <f t="shared" si="0"/>
        <v>8.8000000000000009E-2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52</v>
      </c>
      <c r="C12" s="32">
        <v>0.04</v>
      </c>
      <c r="D12" s="33">
        <f t="shared" si="0"/>
        <v>8.8000000000000009E-2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29</v>
      </c>
      <c r="C13" s="32">
        <v>0.04</v>
      </c>
      <c r="D13" s="33">
        <f t="shared" si="0"/>
        <v>8.8000000000000009E-2</v>
      </c>
      <c r="E13" s="34">
        <v>75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30</v>
      </c>
      <c r="C14" s="32">
        <v>0.01</v>
      </c>
      <c r="D14" s="33">
        <f t="shared" si="0"/>
        <v>2.2000000000000002E-2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2.2000000000000002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v>70</v>
      </c>
      <c r="C36" s="60">
        <v>1</v>
      </c>
      <c r="D36" s="60">
        <v>8</v>
      </c>
      <c r="E36" s="51"/>
      <c r="F36" s="51"/>
      <c r="G36" s="51">
        <v>0.4</v>
      </c>
      <c r="H36" s="51">
        <v>0.6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97</v>
      </c>
      <c r="C37" s="60">
        <v>2</v>
      </c>
      <c r="D37" s="60">
        <v>21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158</v>
      </c>
      <c r="C38" s="60">
        <v>3</v>
      </c>
      <c r="D38" s="60"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199</v>
      </c>
      <c r="C39" s="60">
        <v>4</v>
      </c>
      <c r="D39" s="60"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235</v>
      </c>
      <c r="C40" s="60">
        <v>5</v>
      </c>
      <c r="D40" s="60"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263</v>
      </c>
      <c r="C41" s="60">
        <v>6</v>
      </c>
      <c r="D41" s="60"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282</v>
      </c>
      <c r="C42" s="60">
        <v>7</v>
      </c>
      <c r="D42" s="60"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296</v>
      </c>
      <c r="C43" s="60">
        <v>8</v>
      </c>
      <c r="D43" s="60"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303</v>
      </c>
      <c r="C44" s="60" t="s">
        <v>324</v>
      </c>
      <c r="D44" s="60">
        <v>303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Tilleul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57</v>
      </c>
      <c r="C62" s="60">
        <v>1</v>
      </c>
      <c r="D62" s="60">
        <v>11</v>
      </c>
      <c r="E62" s="51"/>
      <c r="F62" s="51"/>
      <c r="G62" s="51"/>
      <c r="H62" s="51"/>
      <c r="I62" s="53">
        <f>IFERROR(B62/A62,"")</f>
        <v>2.85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79</v>
      </c>
      <c r="C63" s="60">
        <v>2</v>
      </c>
      <c r="D63" s="60">
        <v>15</v>
      </c>
      <c r="E63" s="51"/>
      <c r="F63" s="51"/>
      <c r="G63" s="51"/>
      <c r="H63" s="51"/>
      <c r="I63" s="49">
        <f>IF(A63&lt;&gt;0,(B63-(B62-D62))/(A63-A62),"")</f>
        <v>6.6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99</v>
      </c>
      <c r="C64" s="60">
        <v>3</v>
      </c>
      <c r="D64" s="60">
        <v>17</v>
      </c>
      <c r="E64" s="51"/>
      <c r="F64" s="51"/>
      <c r="G64" s="51"/>
      <c r="H64" s="51"/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119</v>
      </c>
      <c r="C65" s="60">
        <v>4</v>
      </c>
      <c r="D65" s="60">
        <v>19</v>
      </c>
      <c r="E65" s="51"/>
      <c r="F65" s="51"/>
      <c r="G65" s="51"/>
      <c r="H65" s="51"/>
      <c r="I65" s="49">
        <f>IF(A65&lt;&gt;0,(B65-(B64-D64))/(A65-A64),"")</f>
        <v>7.4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137</v>
      </c>
      <c r="C66" s="60">
        <v>5</v>
      </c>
      <c r="D66" s="60">
        <v>20</v>
      </c>
      <c r="E66" s="51"/>
      <c r="F66" s="51"/>
      <c r="G66" s="51"/>
      <c r="H66" s="51"/>
      <c r="I66" s="49">
        <f t="shared" ref="I66:I81" si="2">IF(A66&lt;&gt;0,(B66-(B65-D65))/(A66-A65),"")</f>
        <v>7.4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154</v>
      </c>
      <c r="C67" s="60">
        <v>6</v>
      </c>
      <c r="D67" s="60">
        <v>21</v>
      </c>
      <c r="E67" s="51"/>
      <c r="F67" s="51"/>
      <c r="G67" s="51"/>
      <c r="H67" s="51"/>
      <c r="I67" s="49">
        <f t="shared" si="2"/>
        <v>7.4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171</v>
      </c>
      <c r="C68" s="60">
        <v>7</v>
      </c>
      <c r="D68" s="60">
        <v>22</v>
      </c>
      <c r="E68" s="51"/>
      <c r="F68" s="51"/>
      <c r="G68" s="51"/>
      <c r="H68" s="51"/>
      <c r="I68" s="49">
        <f t="shared" si="2"/>
        <v>7.6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185</v>
      </c>
      <c r="C69" s="50">
        <v>8</v>
      </c>
      <c r="D69" s="50">
        <v>22</v>
      </c>
      <c r="E69" s="51"/>
      <c r="F69" s="51"/>
      <c r="G69" s="51"/>
      <c r="H69" s="51"/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199</v>
      </c>
      <c r="C70" s="50">
        <v>9</v>
      </c>
      <c r="D70" s="50">
        <v>22</v>
      </c>
      <c r="E70" s="51"/>
      <c r="F70" s="51"/>
      <c r="G70" s="51"/>
      <c r="H70" s="51"/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212</v>
      </c>
      <c r="C71" s="50">
        <v>10</v>
      </c>
      <c r="D71" s="50">
        <v>22</v>
      </c>
      <c r="E71" s="51"/>
      <c r="F71" s="51"/>
      <c r="G71" s="51"/>
      <c r="H71" s="51"/>
      <c r="I71" s="49">
        <f t="shared" si="2"/>
        <v>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50">
        <v>223</v>
      </c>
      <c r="C72" s="50">
        <v>11</v>
      </c>
      <c r="D72" s="50">
        <v>22</v>
      </c>
      <c r="E72" s="51"/>
      <c r="F72" s="51"/>
      <c r="G72" s="51"/>
      <c r="H72" s="51"/>
      <c r="I72" s="49">
        <f t="shared" si="2"/>
        <v>6.6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50">
        <v>234</v>
      </c>
      <c r="C73" s="50">
        <v>12</v>
      </c>
      <c r="D73" s="50">
        <v>22</v>
      </c>
      <c r="E73" s="51"/>
      <c r="F73" s="51"/>
      <c r="G73" s="51"/>
      <c r="H73" s="51"/>
      <c r="I73" s="49">
        <f t="shared" si="2"/>
        <v>6.6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50">
        <v>243</v>
      </c>
      <c r="C74" s="50">
        <v>13</v>
      </c>
      <c r="D74" s="50">
        <v>21</v>
      </c>
      <c r="E74" s="51"/>
      <c r="F74" s="51"/>
      <c r="G74" s="51"/>
      <c r="H74" s="51"/>
      <c r="I74" s="49">
        <f t="shared" si="2"/>
        <v>6.2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85</v>
      </c>
      <c r="B75" s="50">
        <v>251</v>
      </c>
      <c r="C75" s="50">
        <v>14</v>
      </c>
      <c r="D75" s="50">
        <v>20</v>
      </c>
      <c r="E75" s="51"/>
      <c r="F75" s="51"/>
      <c r="G75" s="51"/>
      <c r="H75" s="51"/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259</v>
      </c>
      <c r="C76" s="50">
        <v>15</v>
      </c>
      <c r="D76" s="50">
        <v>20</v>
      </c>
      <c r="E76" s="51"/>
      <c r="F76" s="51"/>
      <c r="G76" s="51"/>
      <c r="H76" s="51"/>
      <c r="I76" s="49">
        <f t="shared" si="2"/>
        <v>5.6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266</v>
      </c>
      <c r="C77" s="50">
        <v>16</v>
      </c>
      <c r="D77" s="50">
        <v>19</v>
      </c>
      <c r="E77" s="51"/>
      <c r="F77" s="51"/>
      <c r="G77" s="51"/>
      <c r="H77" s="51"/>
      <c r="I77" s="49">
        <f t="shared" si="2"/>
        <v>5.4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271</v>
      </c>
      <c r="C78" s="50" t="s">
        <v>324</v>
      </c>
      <c r="D78" s="50">
        <v>271</v>
      </c>
      <c r="E78" s="51"/>
      <c r="F78" s="51"/>
      <c r="G78" s="51"/>
      <c r="H78" s="51"/>
      <c r="I78" s="49">
        <f t="shared" si="2"/>
        <v>4.8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30</v>
      </c>
      <c r="B88" s="60">
        <v>54</v>
      </c>
      <c r="C88" s="60">
        <v>1</v>
      </c>
      <c r="D88" s="60">
        <v>9</v>
      </c>
      <c r="E88" s="51"/>
      <c r="F88" s="51"/>
      <c r="G88" s="51"/>
      <c r="H88" s="87"/>
      <c r="I88" s="53">
        <f>IFERROR(B88/A88,"")</f>
        <v>1.8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35</v>
      </c>
      <c r="B89" s="60">
        <v>63</v>
      </c>
      <c r="C89" s="60">
        <v>2</v>
      </c>
      <c r="D89" s="60">
        <v>8</v>
      </c>
      <c r="E89" s="51"/>
      <c r="F89" s="51"/>
      <c r="G89" s="51"/>
      <c r="H89" s="87"/>
      <c r="I89" s="53">
        <f t="shared" ref="I89:I107" si="3">IF(A89&lt;&gt;0,(B89-(B88-D88))/(A89-A88),"")</f>
        <v>3.6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75</v>
      </c>
      <c r="C90" s="60">
        <v>3</v>
      </c>
      <c r="D90" s="60">
        <v>9</v>
      </c>
      <c r="E90" s="87"/>
      <c r="F90" s="87"/>
      <c r="G90" s="87"/>
      <c r="H90" s="87"/>
      <c r="I90" s="53">
        <f t="shared" si="3"/>
        <v>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45</v>
      </c>
      <c r="B91" s="60">
        <v>85</v>
      </c>
      <c r="C91" s="60">
        <v>4</v>
      </c>
      <c r="D91" s="60">
        <v>9</v>
      </c>
      <c r="E91" s="87"/>
      <c r="F91" s="87"/>
      <c r="G91" s="87"/>
      <c r="H91" s="87"/>
      <c r="I91" s="53">
        <f t="shared" si="3"/>
        <v>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95</v>
      </c>
      <c r="C92" s="60">
        <v>5</v>
      </c>
      <c r="D92" s="60">
        <v>9</v>
      </c>
      <c r="E92" s="87"/>
      <c r="F92" s="87"/>
      <c r="G92" s="87"/>
      <c r="H92" s="87"/>
      <c r="I92" s="53">
        <f t="shared" si="3"/>
        <v>3.8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55</v>
      </c>
      <c r="B93" s="60">
        <v>106</v>
      </c>
      <c r="C93" s="60">
        <v>6</v>
      </c>
      <c r="D93" s="60">
        <v>10</v>
      </c>
      <c r="E93" s="87"/>
      <c r="F93" s="87"/>
      <c r="G93" s="87"/>
      <c r="H93" s="87"/>
      <c r="I93" s="53">
        <f t="shared" si="3"/>
        <v>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60</v>
      </c>
      <c r="B94" s="60">
        <v>115</v>
      </c>
      <c r="C94" s="60">
        <v>7</v>
      </c>
      <c r="D94" s="60">
        <v>10</v>
      </c>
      <c r="E94" s="87"/>
      <c r="F94" s="87"/>
      <c r="G94" s="87"/>
      <c r="H94" s="87"/>
      <c r="I94" s="53">
        <f t="shared" si="3"/>
        <v>3.8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65</v>
      </c>
      <c r="B95" s="60">
        <v>124</v>
      </c>
      <c r="C95" s="60">
        <v>8</v>
      </c>
      <c r="D95" s="60">
        <v>10</v>
      </c>
      <c r="E95" s="87"/>
      <c r="F95" s="87"/>
      <c r="G95" s="87"/>
      <c r="H95" s="87"/>
      <c r="I95" s="53">
        <f t="shared" si="3"/>
        <v>3.8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70</v>
      </c>
      <c r="B96" s="60">
        <v>132</v>
      </c>
      <c r="C96" s="60">
        <v>9</v>
      </c>
      <c r="D96" s="60">
        <v>10</v>
      </c>
      <c r="E96" s="87"/>
      <c r="F96" s="87"/>
      <c r="G96" s="87"/>
      <c r="H96" s="87"/>
      <c r="I96" s="53">
        <f t="shared" si="3"/>
        <v>3.6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75</v>
      </c>
      <c r="B97" s="60">
        <v>139</v>
      </c>
      <c r="C97" s="60">
        <v>10</v>
      </c>
      <c r="D97" s="60">
        <v>10</v>
      </c>
      <c r="E97" s="87"/>
      <c r="F97" s="87"/>
      <c r="G97" s="87"/>
      <c r="H97" s="87"/>
      <c r="I97" s="53">
        <f t="shared" si="3"/>
        <v>3.4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80</v>
      </c>
      <c r="B98" s="60">
        <v>146</v>
      </c>
      <c r="C98" s="60">
        <v>11</v>
      </c>
      <c r="D98" s="60">
        <v>9</v>
      </c>
      <c r="E98" s="87"/>
      <c r="F98" s="87"/>
      <c r="G98" s="87"/>
      <c r="H98" s="87"/>
      <c r="I98" s="53">
        <f t="shared" si="3"/>
        <v>3.4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85</v>
      </c>
      <c r="B99" s="60">
        <v>152</v>
      </c>
      <c r="C99" s="60">
        <v>12</v>
      </c>
      <c r="D99" s="60">
        <v>9</v>
      </c>
      <c r="E99" s="87"/>
      <c r="F99" s="87"/>
      <c r="G99" s="87"/>
      <c r="H99" s="87"/>
      <c r="I99" s="53">
        <f t="shared" si="3"/>
        <v>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90</v>
      </c>
      <c r="B100" s="60">
        <v>159</v>
      </c>
      <c r="C100" s="60">
        <v>13</v>
      </c>
      <c r="D100" s="60">
        <v>9</v>
      </c>
      <c r="E100" s="65"/>
      <c r="F100" s="65"/>
      <c r="G100" s="65"/>
      <c r="H100" s="65"/>
      <c r="I100" s="53">
        <f t="shared" si="3"/>
        <v>3.2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95</v>
      </c>
      <c r="B101" s="60">
        <v>164</v>
      </c>
      <c r="C101" s="60">
        <v>14</v>
      </c>
      <c r="D101" s="60">
        <v>9</v>
      </c>
      <c r="E101" s="65"/>
      <c r="F101" s="65"/>
      <c r="G101" s="65"/>
      <c r="H101" s="65"/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100</v>
      </c>
      <c r="B102" s="50">
        <v>170</v>
      </c>
      <c r="C102" s="60" t="s">
        <v>324</v>
      </c>
      <c r="D102" s="50">
        <v>170</v>
      </c>
      <c r="E102" s="54"/>
      <c r="F102" s="54"/>
      <c r="G102" s="54"/>
      <c r="H102" s="54"/>
      <c r="I102" s="53">
        <f t="shared" si="3"/>
        <v>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30</v>
      </c>
      <c r="B114" s="60">
        <v>54</v>
      </c>
      <c r="C114" s="50">
        <v>1</v>
      </c>
      <c r="D114" s="60">
        <v>9</v>
      </c>
      <c r="E114" s="51"/>
      <c r="F114" s="51"/>
      <c r="G114" s="51"/>
      <c r="H114" s="51"/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35</v>
      </c>
      <c r="B115" s="60">
        <v>63</v>
      </c>
      <c r="C115" s="50">
        <v>2</v>
      </c>
      <c r="D115" s="60">
        <v>8</v>
      </c>
      <c r="E115" s="51"/>
      <c r="F115" s="51"/>
      <c r="G115" s="51"/>
      <c r="H115" s="51"/>
      <c r="I115" s="53">
        <f t="shared" ref="I115:I133" si="4">IF(A115&lt;&gt;0,(B115-(B114-D114))/(A115-A114),"")</f>
        <v>3.6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75</v>
      </c>
      <c r="C116" s="50">
        <v>3</v>
      </c>
      <c r="D116" s="60">
        <v>9</v>
      </c>
      <c r="E116" s="51"/>
      <c r="F116" s="51"/>
      <c r="G116" s="51"/>
      <c r="H116" s="51"/>
      <c r="I116" s="53">
        <f t="shared" si="4"/>
        <v>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45</v>
      </c>
      <c r="B117" s="60">
        <v>85</v>
      </c>
      <c r="C117" s="50">
        <v>4</v>
      </c>
      <c r="D117" s="60">
        <v>9</v>
      </c>
      <c r="E117" s="51"/>
      <c r="F117" s="51"/>
      <c r="G117" s="51"/>
      <c r="H117" s="51"/>
      <c r="I117" s="53">
        <f t="shared" si="4"/>
        <v>3.8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v>95</v>
      </c>
      <c r="C118" s="50">
        <v>5</v>
      </c>
      <c r="D118" s="60">
        <v>9</v>
      </c>
      <c r="E118" s="51"/>
      <c r="F118" s="51"/>
      <c r="G118" s="51"/>
      <c r="H118" s="51"/>
      <c r="I118" s="53">
        <f t="shared" si="4"/>
        <v>3.8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55</v>
      </c>
      <c r="B119" s="60">
        <v>106</v>
      </c>
      <c r="C119" s="50">
        <v>6</v>
      </c>
      <c r="D119" s="60">
        <v>10</v>
      </c>
      <c r="E119" s="51"/>
      <c r="F119" s="51"/>
      <c r="G119" s="51"/>
      <c r="H119" s="51"/>
      <c r="I119" s="53">
        <f t="shared" si="4"/>
        <v>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60</v>
      </c>
      <c r="B120" s="60">
        <v>115</v>
      </c>
      <c r="C120" s="60">
        <v>7</v>
      </c>
      <c r="D120" s="60">
        <v>10</v>
      </c>
      <c r="E120" s="87"/>
      <c r="F120" s="87"/>
      <c r="G120" s="87"/>
      <c r="H120" s="87"/>
      <c r="I120" s="53">
        <f t="shared" si="4"/>
        <v>3.8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65</v>
      </c>
      <c r="B121" s="60">
        <v>124</v>
      </c>
      <c r="C121" s="60">
        <v>8</v>
      </c>
      <c r="D121" s="60">
        <v>10</v>
      </c>
      <c r="E121" s="87"/>
      <c r="F121" s="87"/>
      <c r="G121" s="87"/>
      <c r="H121" s="87"/>
      <c r="I121" s="53">
        <f t="shared" si="4"/>
        <v>3.8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70</v>
      </c>
      <c r="B122" s="60">
        <v>132</v>
      </c>
      <c r="C122" s="60">
        <v>9</v>
      </c>
      <c r="D122" s="60">
        <v>10</v>
      </c>
      <c r="E122" s="87"/>
      <c r="F122" s="87"/>
      <c r="G122" s="87"/>
      <c r="H122" s="87"/>
      <c r="I122" s="53">
        <f t="shared" si="4"/>
        <v>3.6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75</v>
      </c>
      <c r="B123" s="60">
        <v>139</v>
      </c>
      <c r="C123" s="60">
        <v>10</v>
      </c>
      <c r="D123" s="60">
        <v>10</v>
      </c>
      <c r="E123" s="87"/>
      <c r="F123" s="87"/>
      <c r="G123" s="87"/>
      <c r="H123" s="87"/>
      <c r="I123" s="53">
        <f t="shared" si="4"/>
        <v>3.4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80</v>
      </c>
      <c r="B124" s="60">
        <v>146</v>
      </c>
      <c r="C124" s="60">
        <v>11</v>
      </c>
      <c r="D124" s="60">
        <v>9</v>
      </c>
      <c r="E124" s="87"/>
      <c r="F124" s="87"/>
      <c r="G124" s="87"/>
      <c r="H124" s="87"/>
      <c r="I124" s="53">
        <f t="shared" si="4"/>
        <v>3.4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85</v>
      </c>
      <c r="B125" s="60">
        <v>152</v>
      </c>
      <c r="C125" s="60">
        <v>12</v>
      </c>
      <c r="D125" s="60">
        <v>9</v>
      </c>
      <c r="E125" s="87"/>
      <c r="F125" s="87"/>
      <c r="G125" s="87"/>
      <c r="H125" s="87"/>
      <c r="I125" s="53">
        <f t="shared" si="4"/>
        <v>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90</v>
      </c>
      <c r="B126" s="60">
        <v>159</v>
      </c>
      <c r="C126" s="60">
        <v>13</v>
      </c>
      <c r="D126" s="60">
        <v>9</v>
      </c>
      <c r="E126" s="65"/>
      <c r="F126" s="65"/>
      <c r="G126" s="65"/>
      <c r="H126" s="65"/>
      <c r="I126" s="53">
        <f t="shared" si="4"/>
        <v>3.2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95</v>
      </c>
      <c r="B127" s="60">
        <v>164</v>
      </c>
      <c r="C127" s="60">
        <v>14</v>
      </c>
      <c r="D127" s="60">
        <v>9</v>
      </c>
      <c r="E127" s="65"/>
      <c r="F127" s="65"/>
      <c r="G127" s="65"/>
      <c r="H127" s="65"/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100</v>
      </c>
      <c r="B128" s="50">
        <v>170</v>
      </c>
      <c r="C128" s="50" t="s">
        <v>324</v>
      </c>
      <c r="D128" s="50">
        <v>170</v>
      </c>
      <c r="E128" s="54"/>
      <c r="F128" s="54"/>
      <c r="G128" s="54"/>
      <c r="H128" s="54"/>
      <c r="I128" s="53">
        <f t="shared" si="4"/>
        <v>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Merisier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25</v>
      </c>
      <c r="B140" s="60">
        <v>89</v>
      </c>
      <c r="C140" s="50">
        <v>1</v>
      </c>
      <c r="D140" s="60">
        <v>28</v>
      </c>
      <c r="E140" s="51"/>
      <c r="F140" s="51"/>
      <c r="G140" s="51">
        <v>1</v>
      </c>
      <c r="H140" s="51"/>
      <c r="I140" s="57">
        <f>IFERROR(B140/A140,"")</f>
        <v>3.56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132</v>
      </c>
      <c r="C141" s="50">
        <v>2</v>
      </c>
      <c r="D141" s="60">
        <v>24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40</v>
      </c>
      <c r="B142" s="60">
        <v>208</v>
      </c>
      <c r="C142" s="50">
        <v>3</v>
      </c>
      <c r="D142" s="60">
        <v>59</v>
      </c>
      <c r="E142" s="51"/>
      <c r="F142" s="51"/>
      <c r="G142" s="51"/>
      <c r="H142" s="51"/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v>253</v>
      </c>
      <c r="C143" s="50">
        <v>4</v>
      </c>
      <c r="D143" s="60">
        <v>61</v>
      </c>
      <c r="E143" s="51"/>
      <c r="F143" s="51"/>
      <c r="G143" s="51"/>
      <c r="H143" s="51"/>
      <c r="I143" s="57">
        <f t="shared" si="5"/>
        <v>10.4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60</v>
      </c>
      <c r="B144" s="60">
        <v>271</v>
      </c>
      <c r="C144" s="50">
        <v>5</v>
      </c>
      <c r="D144" s="60">
        <v>53</v>
      </c>
      <c r="E144" s="51"/>
      <c r="F144" s="51"/>
      <c r="G144" s="51"/>
      <c r="H144" s="51"/>
      <c r="I144" s="57">
        <f t="shared" si="5"/>
        <v>7.9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75</v>
      </c>
      <c r="B145" s="60">
        <v>286</v>
      </c>
      <c r="C145" s="50" t="s">
        <v>324</v>
      </c>
      <c r="D145" s="60">
        <v>286</v>
      </c>
      <c r="E145" s="51"/>
      <c r="F145" s="51"/>
      <c r="G145" s="51"/>
      <c r="H145" s="51"/>
      <c r="I145" s="57">
        <f t="shared" si="5"/>
        <v>4.5333333333333332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Noyer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37</v>
      </c>
      <c r="C166" s="60">
        <v>1</v>
      </c>
      <c r="D166" s="60">
        <v>15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80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115</v>
      </c>
      <c r="C168" s="60">
        <v>3</v>
      </c>
      <c r="D168" s="60">
        <v>28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146</v>
      </c>
      <c r="C169" s="60">
        <v>4</v>
      </c>
      <c r="D169" s="60">
        <v>28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172</v>
      </c>
      <c r="C170" s="60">
        <v>5</v>
      </c>
      <c r="D170" s="60">
        <v>28</v>
      </c>
      <c r="E170" s="51">
        <v>0</v>
      </c>
      <c r="F170" s="51">
        <v>0.3</v>
      </c>
      <c r="G170" s="51">
        <v>0.4</v>
      </c>
      <c r="H170" s="51">
        <v>0.3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192</v>
      </c>
      <c r="C171" s="60">
        <v>6</v>
      </c>
      <c r="D171" s="60">
        <v>28</v>
      </c>
      <c r="E171" s="51">
        <v>0.1</v>
      </c>
      <c r="F171" s="51">
        <v>0.4</v>
      </c>
      <c r="G171" s="51">
        <v>0.3</v>
      </c>
      <c r="H171" s="51">
        <v>0.2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205</v>
      </c>
      <c r="C172" s="60">
        <v>7</v>
      </c>
      <c r="D172" s="60">
        <v>22</v>
      </c>
      <c r="E172" s="51">
        <v>0.3</v>
      </c>
      <c r="F172" s="51">
        <v>0</v>
      </c>
      <c r="G172" s="51">
        <v>0.4</v>
      </c>
      <c r="H172" s="51">
        <v>0.3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219</v>
      </c>
      <c r="C173" s="50">
        <v>8</v>
      </c>
      <c r="D173" s="50">
        <v>17</v>
      </c>
      <c r="E173" s="51">
        <v>0.3</v>
      </c>
      <c r="F173" s="51">
        <v>0</v>
      </c>
      <c r="G173" s="51">
        <v>0.4</v>
      </c>
      <c r="H173" s="51">
        <v>0.3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232</v>
      </c>
      <c r="C174" s="50">
        <v>9</v>
      </c>
      <c r="D174" s="50">
        <v>13</v>
      </c>
      <c r="E174" s="51">
        <v>0.5</v>
      </c>
      <c r="F174" s="51">
        <v>0</v>
      </c>
      <c r="G174" s="51">
        <v>0.3</v>
      </c>
      <c r="H174" s="51">
        <v>0.2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245</v>
      </c>
      <c r="C175" s="50">
        <v>10</v>
      </c>
      <c r="D175" s="50">
        <v>12</v>
      </c>
      <c r="E175" s="51">
        <v>0.5</v>
      </c>
      <c r="F175" s="51">
        <v>0</v>
      </c>
      <c r="G175" s="51">
        <v>0.3</v>
      </c>
      <c r="H175" s="51">
        <v>0.2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255</v>
      </c>
      <c r="C176" s="50">
        <v>11</v>
      </c>
      <c r="D176" s="50">
        <v>11</v>
      </c>
      <c r="E176" s="51">
        <v>0.5</v>
      </c>
      <c r="F176" s="51">
        <v>0</v>
      </c>
      <c r="G176" s="51">
        <v>0.3</v>
      </c>
      <c r="H176" s="51">
        <v>0.2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263</v>
      </c>
      <c r="C177" s="50">
        <v>12</v>
      </c>
      <c r="D177" s="50">
        <v>10</v>
      </c>
      <c r="E177" s="51">
        <v>0.5</v>
      </c>
      <c r="F177" s="51">
        <v>0</v>
      </c>
      <c r="G177" s="51">
        <v>0.3</v>
      </c>
      <c r="H177" s="51">
        <v>0.2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270</v>
      </c>
      <c r="C178" s="50">
        <v>13</v>
      </c>
      <c r="D178" s="50">
        <v>9</v>
      </c>
      <c r="E178" s="51">
        <v>0.7</v>
      </c>
      <c r="F178" s="51">
        <v>0</v>
      </c>
      <c r="G178" s="51">
        <v>0.2</v>
      </c>
      <c r="H178" s="51">
        <v>0.1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275</v>
      </c>
      <c r="C179" s="50" t="s">
        <v>324</v>
      </c>
      <c r="D179" s="50">
        <v>275</v>
      </c>
      <c r="E179" s="51">
        <v>0.7</v>
      </c>
      <c r="F179" s="51">
        <v>0</v>
      </c>
      <c r="G179" s="51">
        <v>0.2</v>
      </c>
      <c r="H179" s="51">
        <v>0.1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Tilleul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Cormier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Merisier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Noyer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344.4940855044307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246.71489737733248</v>
      </c>
      <c r="AO3" s="59">
        <f>IF('Données projet'!E10&gt;30,$AM$33-$H$33,LOOKUP('Données projet'!$E$10,$A$3:$A$203,AM3:AM203)-LOOKUP('Données projet'!$E$10,$A$3:$A$203,$H$3:$H$203))</f>
        <v>185.03615139960783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211.98817606983374</v>
      </c>
      <c r="BJ3" s="59">
        <f>IF('Données projet'!E11&gt;30,$BH$33-$H$33,LOOKUP('Données projet'!$E$11,$A$3:$A$203,BH3:BH203)-LOOKUP('Données projet'!$E$11,$A$3:$A$203,$H$3:$H$203))</f>
        <v>154.0840647586964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231.89176215692947</v>
      </c>
      <c r="CE3" s="59">
        <f>IF('Données projet'!E12&gt;30,$CC$33-$H$33,LOOKUP('Données projet'!$E$12,$A$3:$A$203,CC3:CC203)-LOOKUP('Données projet'!$E$12,$A$3:$A$203,$H$3:$H$203))</f>
        <v>166.97658184507787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274.37717856763146</v>
      </c>
      <c r="CZ3" s="59">
        <f>IF('Données projet'!E13&gt;30,$CX$33-$H$33,LOOKUP('Données projet'!$E$13,$A$3:$A$203,CX3:CX203)-LOOKUP('Données projet'!$E$13,$A$3:$A$203,$H$3:$H$203))</f>
        <v>264.17357326498581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304.26232113495314</v>
      </c>
      <c r="DU3" s="59">
        <f>IF('Données projet'!E14&gt;30,$DS$33-$H$33,LOOKUP('Données projet'!$E$14,$A$3:$A$203,DS3:DS203)-LOOKUP('Données projet'!$E$14,$A$3:$A$203,$H$3:$H$203))</f>
        <v>297.47246687305056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260.61041945338798</v>
      </c>
      <c r="S4" s="59">
        <f ca="1">AVERAGE(OFFSET($R$3,0,0,'Données projet'!$E$9+1,1))-AVERAGE(OFFSET($H$3,0,0,'Données projet'!$E$9+1,1))</f>
        <v>344.4940855044307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2.85</v>
      </c>
      <c r="AI4" s="13">
        <f>IF('Données projet'!$A$62&gt;35,AI3+AH4-AQ3,IF(A4&lt;'Données projet'!$A$62,$AF$205^A4,IF(A4='Données projet'!$A$62,'Données projet'!$B$62,AI3+AH4-AQ3)))</f>
        <v>1.2240347367580502</v>
      </c>
      <c r="AJ4" s="13">
        <f>AI4*VLOOKUP('Données projet'!$B$10,Paramètres!$A$1:$I$89,3,0)*VLOOKUP('Données projet'!$B$10,Paramètres!$A$1:$I$89,5,0)</f>
        <v>0.82108250141729999</v>
      </c>
      <c r="AK4" s="13">
        <f>EXP(-1.0587+0.8836*LN(AJ4)+0.284)</f>
        <v>0.38717226436554053</v>
      </c>
      <c r="AL4" s="20">
        <f t="shared" ref="AL4:AL67" si="4">(AJ4+AK4)*0.475*44/12</f>
        <v>2.1043770504051134</v>
      </c>
      <c r="AM4" s="59">
        <f t="shared" ref="AM4:AM67" si="5">AL4+(AD4+AE4)*44/12</f>
        <v>259.99326593929396</v>
      </c>
      <c r="AN4" s="59">
        <f ca="1">AVERAGE(OFFSET($AM$3,0,0,'Données projet'!$E$10+1,1))-AVERAGE(OFFSET($H$3,0,0,'Données projet'!$E$10+1,1))</f>
        <v>246.71489737733248</v>
      </c>
      <c r="AO4" s="59">
        <f>$AO$3</f>
        <v>185.03615139960783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1.8</v>
      </c>
      <c r="BD4" s="12">
        <f>IF('Données projet'!$A$88&gt;35,BD3+BC4-BL3,IF(A4&lt;'Données projet'!$A$88,$BA$205^A4,IF(A4='Données projet'!$A$88,'Données projet'!$B$88,BD3+BC4-BL3)))</f>
        <v>1.1422113165588705</v>
      </c>
      <c r="BE4" s="13">
        <f>BD4*VLOOKUP('Données projet'!$B$11,Paramètres!$A$1:$I$89,3,0)*VLOOKUP('Données projet'!$B$11,Paramètres!$A$1:$I$89,5,0)</f>
        <v>1.1047467853757396</v>
      </c>
      <c r="BF4" s="13">
        <f>EXP(-1.0587+0.8836*LN(BE4)+0.284)</f>
        <v>0.50324448904028685</v>
      </c>
      <c r="BG4" s="20">
        <f t="shared" ref="BG4:BG67" si="7">(BE4+BF4)*0.475*44/12</f>
        <v>2.8005848029412461</v>
      </c>
      <c r="BH4" s="59">
        <f t="shared" ref="BH4:BH67" si="8">BG4+(AY4+AZ4)*44/12</f>
        <v>260.68947369183013</v>
      </c>
      <c r="BI4" s="59">
        <f ca="1">AVERAGE(OFFSET($BH$3,0,0,'Données projet'!$E$11+1,1))-AVERAGE(OFFSET($H$3,0,0,'Données projet'!$E$11+1,1))</f>
        <v>211.98817606983374</v>
      </c>
      <c r="BJ4" s="59">
        <f>$BJ$3</f>
        <v>154.0840647586964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1.1422113165588705</v>
      </c>
      <c r="BZ4" s="13">
        <f>BY4*VLOOKUP('Données projet'!$B$12,Paramètres!$A$1:$I$89,3,0)*VLOOKUP('Données projet'!$B$12,Paramètres!$A$1:$I$89,5,0)</f>
        <v>1.2294762611439682</v>
      </c>
      <c r="CA4" s="13">
        <f>EXP(-1.0587+0.8836*LN(BZ4)+0.284)</f>
        <v>0.55313200415251162</v>
      </c>
      <c r="CB4" s="20">
        <f t="shared" ref="CB4:CB67" si="10">(BZ4+CA4)*0.475*44/12</f>
        <v>3.1047093953913691</v>
      </c>
      <c r="CC4" s="59">
        <f t="shared" ref="CC4:CC67" si="11">CB4+(BT4+BU4)*44/12</f>
        <v>260.99359828428021</v>
      </c>
      <c r="CD4" s="59">
        <f ca="1">AVERAGE(OFFSET($CC$3,0,0,'Données projet'!$E$12+1,1))-AVERAGE(OFFSET($H$3,0,0,'Données projet'!$E$12+1,1))</f>
        <v>231.89176215692947</v>
      </c>
      <c r="CE4" s="59">
        <f>$CE$3</f>
        <v>166.97658184507787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3.56</v>
      </c>
      <c r="CT4" s="12">
        <f>IF('Données projet'!$A$140&gt;35,CT3+CS4-DB3,IF(A4&lt;'Données projet'!$A$140,$CQ$205^A4,IF(A4='Données projet'!$A$140,'Données projet'!$B$140,CT3+CS4-DB3)))</f>
        <v>1.1966732973638288</v>
      </c>
      <c r="CU4" s="17">
        <f>CT4*VLOOKUP('Données projet'!$B$13,Paramètres!$A$1:$I$89,3,0)*VLOOKUP('Données projet'!$B$13,Paramètres!$A$1:$I$89,5,0)</f>
        <v>0.93340517194378647</v>
      </c>
      <c r="CV4" s="13">
        <f>EXP(-1.0587+0.8836*LN(CU4)+0.284)</f>
        <v>0.43361679609549247</v>
      </c>
      <c r="CW4" s="20">
        <f t="shared" ref="CW4:CW67" si="13">(CU4+CV4)*0.475*44/12</f>
        <v>2.3808965943350775</v>
      </c>
      <c r="CX4" s="59">
        <f t="shared" ref="CX4:CX67" si="14">CW4+(CO4+CP4)*44/12</f>
        <v>260.26978548322393</v>
      </c>
      <c r="CY4" s="59">
        <f ca="1">AVERAGE(OFFSET($CX$3,0,0,'Données projet'!$E$13+1,1))-AVERAGE(OFFSET($H$3,0,0,'Données projet'!$E$13+1,1))</f>
        <v>274.37717856763146</v>
      </c>
      <c r="CZ4" s="59">
        <f>$CZ$3</f>
        <v>264.17357326498581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1.031988181230463</v>
      </c>
      <c r="DQ4" s="13">
        <f>EXP(-1.0587+0.8836*LN(DP4)+0.284)</f>
        <v>0.47384363432899212</v>
      </c>
      <c r="DR4" s="20">
        <f t="shared" ref="DR4:DR67" si="16">(DP4+DQ4)*0.475*44/12</f>
        <v>2.6226570787660513</v>
      </c>
      <c r="DS4" s="59">
        <f t="shared" ref="DS4:DS67" si="17">DR4+(DJ4+DK4)*44/12</f>
        <v>260.51154596765491</v>
      </c>
      <c r="DT4" s="59">
        <f ca="1">AVERAGE(OFFSET($DS$3,0,0,'Données projet'!$E$14+1,1))-AVERAGE(OFFSET($H$3,0,0,'Données projet'!$E$14+1,1))</f>
        <v>304.26232113495314</v>
      </c>
      <c r="DU4" s="59">
        <f>$DU$3</f>
        <v>297.47246687305056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262.31694032477441</v>
      </c>
      <c r="S5" s="59">
        <f ca="1">AVERAGE(OFFSET($R$3,0,0,'Données projet'!$E$9+1,1))-AVERAGE(OFFSET($H$3,0,0,'Données projet'!$E$9+1,1))</f>
        <v>344.4940855044307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2.85</v>
      </c>
      <c r="AI5" s="13">
        <f>IF('Données projet'!$A$62&gt;35,AI4+AH5-AQ4,IF(A5&lt;'Données projet'!$A$62,$AF$205^A5,IF(A5='Données projet'!$A$62,'Données projet'!$B$62,AI4+AH5-AQ4)))</f>
        <v>1.4982610367903493</v>
      </c>
      <c r="AJ5" s="13">
        <f>AI5*VLOOKUP('Données projet'!$B$10,Paramètres!$A$1:$I$89,3,0)*VLOOKUP('Données projet'!$B$10,Paramètres!$A$1:$I$89,5,0)</f>
        <v>1.0050335034789664</v>
      </c>
      <c r="AK5" s="13">
        <f t="shared" ref="AK5:AK68" si="35">EXP(-1.0587+0.8836*LN(AJ5)+0.284)</f>
        <v>0.46289105617569187</v>
      </c>
      <c r="AL5" s="20">
        <f t="shared" si="4"/>
        <v>2.556635274731863</v>
      </c>
      <c r="AM5" s="59">
        <f t="shared" si="5"/>
        <v>261.66774638584303</v>
      </c>
      <c r="AN5" s="59">
        <f ca="1">AVERAGE(OFFSET($AM$3,0,0,'Données projet'!$E$10+1,1))-AVERAGE(OFFSET($H$3,0,0,'Données projet'!$E$10+1,1))</f>
        <v>246.71489737733248</v>
      </c>
      <c r="AO5" s="59">
        <f t="shared" ref="AO5:AO68" si="36">$AO$3</f>
        <v>185.03615139960783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1.8</v>
      </c>
      <c r="BD5" s="12">
        <f>IF('Données projet'!$A$88&gt;35,BD4+BC5-BL4,IF(A5&lt;'Données projet'!$A$88,$BA$205^A5,IF(A5='Données projet'!$A$88,'Données projet'!$B$88,BD4+BC5-BL4)))</f>
        <v>1.3046466916751485</v>
      </c>
      <c r="BE5" s="13">
        <f>BD5*VLOOKUP('Données projet'!$B$11,Paramètres!$A$1:$I$89,3,0)*VLOOKUP('Données projet'!$B$11,Paramètres!$A$1:$I$89,5,0)</f>
        <v>1.2618542801882038</v>
      </c>
      <c r="BF5" s="13">
        <f t="shared" ref="BF5:BF68" si="37">EXP(-1.0587+0.8836*LN(BE5)+0.284)</f>
        <v>0.5659835366023438</v>
      </c>
      <c r="BG5" s="20">
        <f t="shared" si="7"/>
        <v>3.1834841975768704</v>
      </c>
      <c r="BH5" s="59">
        <f t="shared" si="8"/>
        <v>262.29459530868803</v>
      </c>
      <c r="BI5" s="59">
        <f ca="1">AVERAGE(OFFSET($BH$3,0,0,'Données projet'!$E$11+1,1))-AVERAGE(OFFSET($H$3,0,0,'Données projet'!$E$11+1,1))</f>
        <v>211.98817606983374</v>
      </c>
      <c r="BJ5" s="59">
        <f t="shared" ref="BJ5:BJ68" si="38">$BJ$3</f>
        <v>154.0840647586964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1.3046466916751485</v>
      </c>
      <c r="BZ5" s="13">
        <f>BY5*VLOOKUP('Données projet'!$B$12,Paramètres!$A$1:$I$89,3,0)*VLOOKUP('Données projet'!$B$12,Paramètres!$A$1:$I$89,5,0)</f>
        <v>1.4043216989191298</v>
      </c>
      <c r="CA5" s="13">
        <f t="shared" ref="CA5:CA68" si="39">EXP(-1.0587+0.8836*LN(BZ5)+0.284)</f>
        <v>0.622090484319479</v>
      </c>
      <c r="CB5" s="20">
        <f t="shared" si="10"/>
        <v>3.5293345524739101</v>
      </c>
      <c r="CC5" s="59">
        <f t="shared" si="11"/>
        <v>262.64044566358507</v>
      </c>
      <c r="CD5" s="59">
        <f ca="1">AVERAGE(OFFSET($CC$3,0,0,'Données projet'!$E$12+1,1))-AVERAGE(OFFSET($H$3,0,0,'Données projet'!$E$12+1,1))</f>
        <v>231.89176215692947</v>
      </c>
      <c r="CE5" s="59">
        <f t="shared" ref="CE5:CE68" si="40">$CE$3</f>
        <v>166.97658184507787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3.56</v>
      </c>
      <c r="CT5" s="12">
        <f>IF('Données projet'!$A$140&gt;35,CT4+CS5-DB4,IF(A5&lt;'Données projet'!$A$140,$CQ$205^A5,IF(A5='Données projet'!$A$140,'Données projet'!$B$140,CT4+CS5-DB4)))</f>
        <v>1.4320269806236186</v>
      </c>
      <c r="CU5" s="17">
        <f>CT5*VLOOKUP('Données projet'!$B$13,Paramètres!$A$1:$I$89,3,0)*VLOOKUP('Données projet'!$B$13,Paramètres!$A$1:$I$89,5,0)</f>
        <v>1.1169810448864226</v>
      </c>
      <c r="CV5" s="13">
        <f t="shared" ref="CV5:CV68" si="41">EXP(-1.0587+0.8836*LN(CU5)+0.284)</f>
        <v>0.50816568684575236</v>
      </c>
      <c r="CW5" s="20">
        <f t="shared" si="13"/>
        <v>2.8304638911002047</v>
      </c>
      <c r="CX5" s="59">
        <f t="shared" si="14"/>
        <v>261.94157500221132</v>
      </c>
      <c r="CY5" s="59">
        <f ca="1">AVERAGE(OFFSET($CX$3,0,0,'Données projet'!$E$13+1,1))-AVERAGE(OFFSET($H$3,0,0,'Données projet'!$E$13+1,1))</f>
        <v>274.37717856763146</v>
      </c>
      <c r="CZ5" s="59">
        <f t="shared" ref="CZ5:CZ68" si="42">$CZ$3</f>
        <v>264.17357326498581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1.312869337030768</v>
      </c>
      <c r="DQ5" s="13">
        <f t="shared" ref="DQ5:DQ68" si="43">EXP(-1.0587+0.8836*LN(DP5)+0.284)</f>
        <v>0.58615515240543437</v>
      </c>
      <c r="DR5" s="20">
        <f t="shared" si="16"/>
        <v>3.3074676524347191</v>
      </c>
      <c r="DS5" s="59">
        <f t="shared" si="17"/>
        <v>262.41857876354584</v>
      </c>
      <c r="DT5" s="59">
        <f ca="1">AVERAGE(OFFSET($DS$3,0,0,'Données projet'!$E$14+1,1))-AVERAGE(OFFSET($H$3,0,0,'Données projet'!$E$14+1,1))</f>
        <v>304.26232113495314</v>
      </c>
      <c r="DU5" s="59">
        <f t="shared" ref="DU5:DU68" si="44">$DU$3</f>
        <v>297.47246687305056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264.10995832109523</v>
      </c>
      <c r="S6" s="59">
        <f ca="1">AVERAGE(OFFSET($R$3,0,0,'Données projet'!$E$9+1,1))-AVERAGE(OFFSET($H$3,0,0,'Données projet'!$E$9+1,1))</f>
        <v>344.4940855044307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2.85</v>
      </c>
      <c r="AI6" s="13">
        <f>IF('Données projet'!$A$62&gt;35,AI5+AH6-AQ5,IF(A6&lt;'Données projet'!$A$62,$AF$205^A6,IF(A6='Données projet'!$A$62,'Données projet'!$B$62,AI5+AH6-AQ5)))</f>
        <v>1.8339235537625185</v>
      </c>
      <c r="AJ6" s="13">
        <f>AI6*VLOOKUP('Données projet'!$B$10,Paramètres!$A$1:$I$89,3,0)*VLOOKUP('Données projet'!$B$10,Paramètres!$A$1:$I$89,5,0)</f>
        <v>1.2301959198638974</v>
      </c>
      <c r="AK6" s="13">
        <f t="shared" si="35"/>
        <v>0.55341807667594378</v>
      </c>
      <c r="AL6" s="20">
        <f t="shared" si="4"/>
        <v>3.1064610439735567</v>
      </c>
      <c r="AM6" s="59">
        <f t="shared" si="5"/>
        <v>263.4397943773069</v>
      </c>
      <c r="AN6" s="59">
        <f ca="1">AVERAGE(OFFSET($AM$3,0,0,'Données projet'!$E$10+1,1))-AVERAGE(OFFSET($H$3,0,0,'Données projet'!$E$10+1,1))</f>
        <v>246.71489737733248</v>
      </c>
      <c r="AO6" s="59">
        <f t="shared" si="36"/>
        <v>185.03615139960783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1.8</v>
      </c>
      <c r="BD6" s="12">
        <f>IF('Données projet'!$A$88&gt;35,BD5+BC6-BL5,IF(A6&lt;'Données projet'!$A$88,$BA$205^A6,IF(A6='Données projet'!$A$88,'Données projet'!$B$88,BD5+BC6-BL5)))</f>
        <v>1.4901822153424462</v>
      </c>
      <c r="BE6" s="13">
        <f>BD6*VLOOKUP('Données projet'!$B$11,Paramètres!$A$1:$I$89,3,0)*VLOOKUP('Données projet'!$B$11,Paramètres!$A$1:$I$89,5,0)</f>
        <v>1.4413042386792139</v>
      </c>
      <c r="BF6" s="13">
        <f t="shared" si="37"/>
        <v>0.63654420600967998</v>
      </c>
      <c r="BG6" s="20">
        <f t="shared" si="7"/>
        <v>3.6189193744998236</v>
      </c>
      <c r="BH6" s="59">
        <f t="shared" si="8"/>
        <v>263.95225270783311</v>
      </c>
      <c r="BI6" s="59">
        <f ca="1">AVERAGE(OFFSET($BH$3,0,0,'Données projet'!$E$11+1,1))-AVERAGE(OFFSET($H$3,0,0,'Données projet'!$E$11+1,1))</f>
        <v>211.98817606983374</v>
      </c>
      <c r="BJ6" s="59">
        <f t="shared" si="38"/>
        <v>154.0840647586964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1.4901822153424462</v>
      </c>
      <c r="BZ6" s="13">
        <f>BY6*VLOOKUP('Données projet'!$B$12,Paramètres!$A$1:$I$89,3,0)*VLOOKUP('Données projet'!$B$12,Paramètres!$A$1:$I$89,5,0)</f>
        <v>1.6040321365946093</v>
      </c>
      <c r="CA6" s="13">
        <f t="shared" si="39"/>
        <v>0.69964595752109082</v>
      </c>
      <c r="CB6" s="20">
        <f t="shared" si="10"/>
        <v>4.0122393472515112</v>
      </c>
      <c r="CC6" s="59">
        <f t="shared" si="11"/>
        <v>264.34557268058484</v>
      </c>
      <c r="CD6" s="59">
        <f ca="1">AVERAGE(OFFSET($CC$3,0,0,'Données projet'!$E$12+1,1))-AVERAGE(OFFSET($H$3,0,0,'Données projet'!$E$12+1,1))</f>
        <v>231.89176215692947</v>
      </c>
      <c r="CE6" s="59">
        <f t="shared" si="40"/>
        <v>166.97658184507787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3.56</v>
      </c>
      <c r="CT6" s="12">
        <f>IF('Données projet'!$A$140&gt;35,CT5+CS6-DB5,IF(A6&lt;'Données projet'!$A$140,$CQ$205^A6,IF(A6='Données projet'!$A$140,'Données projet'!$B$140,CT5+CS6-DB5)))</f>
        <v>1.7136684488168334</v>
      </c>
      <c r="CU6" s="17">
        <f>CT6*VLOOKUP('Données projet'!$B$13,Paramètres!$A$1:$I$89,3,0)*VLOOKUP('Données projet'!$B$13,Paramètres!$A$1:$I$89,5,0)</f>
        <v>1.33666139007713</v>
      </c>
      <c r="CV6" s="13">
        <f t="shared" si="41"/>
        <v>0.59553127926010163</v>
      </c>
      <c r="CW6" s="20">
        <f t="shared" si="13"/>
        <v>3.3652355657623452</v>
      </c>
      <c r="CX6" s="59">
        <f t="shared" si="14"/>
        <v>263.69856889909568</v>
      </c>
      <c r="CY6" s="59">
        <f ca="1">AVERAGE(OFFSET($CX$3,0,0,'Données projet'!$E$13+1,1))-AVERAGE(OFFSET($H$3,0,0,'Données projet'!$E$13+1,1))</f>
        <v>274.37717856763146</v>
      </c>
      <c r="CZ6" s="59">
        <f t="shared" si="42"/>
        <v>264.17357326498581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1.6701992595113733</v>
      </c>
      <c r="DQ6" s="13">
        <f t="shared" si="43"/>
        <v>0.72508700718957031</v>
      </c>
      <c r="DR6" s="20">
        <f t="shared" si="16"/>
        <v>4.1717902478374764</v>
      </c>
      <c r="DS6" s="59">
        <f t="shared" si="17"/>
        <v>264.50512358117078</v>
      </c>
      <c r="DT6" s="59">
        <f ca="1">AVERAGE(OFFSET($DS$3,0,0,'Données projet'!$E$14+1,1))-AVERAGE(OFFSET($H$3,0,0,'Données projet'!$E$14+1,1))</f>
        <v>304.26232113495314</v>
      </c>
      <c r="DU6" s="59">
        <f t="shared" si="44"/>
        <v>297.47246687305056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266.00497533148734</v>
      </c>
      <c r="S7" s="59">
        <f ca="1">AVERAGE(OFFSET($R$3,0,0,'Données projet'!$E$9+1,1))-AVERAGE(OFFSET($H$3,0,0,'Données projet'!$E$9+1,1))</f>
        <v>344.4940855044307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2.85</v>
      </c>
      <c r="AI7" s="13">
        <f>IF('Données projet'!$A$62&gt;35,AI6+AH7-AQ6,IF(A7&lt;'Données projet'!$A$62,$AF$205^A7,IF(A7='Données projet'!$A$62,'Données projet'!$B$62,AI6+AH7-AQ6)))</f>
        <v>2.2447861343640922</v>
      </c>
      <c r="AJ7" s="13">
        <f>AI7*VLOOKUP('Données projet'!$B$10,Paramètres!$A$1:$I$89,3,0)*VLOOKUP('Données projet'!$B$10,Paramètres!$A$1:$I$89,5,0)</f>
        <v>1.5058025389314331</v>
      </c>
      <c r="AK7" s="13">
        <f t="shared" si="35"/>
        <v>0.66164935248922685</v>
      </c>
      <c r="AL7" s="20">
        <f t="shared" si="4"/>
        <v>3.7749787108909825</v>
      </c>
      <c r="AM7" s="59">
        <f t="shared" si="5"/>
        <v>265.33053426644653</v>
      </c>
      <c r="AN7" s="59">
        <f ca="1">AVERAGE(OFFSET($AM$3,0,0,'Données projet'!$E$10+1,1))-AVERAGE(OFFSET($H$3,0,0,'Données projet'!$E$10+1,1))</f>
        <v>246.71489737733248</v>
      </c>
      <c r="AO7" s="59">
        <f t="shared" si="36"/>
        <v>185.03615139960783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1.8</v>
      </c>
      <c r="BD7" s="12">
        <f>IF('Données projet'!$A$88&gt;35,BD6+BC7-BL6,IF(A7&lt;'Données projet'!$A$88,$BA$205^A7,IF(A7='Données projet'!$A$88,'Données projet'!$B$88,BD6+BC7-BL6)))</f>
        <v>1.70210299009891</v>
      </c>
      <c r="BE7" s="13">
        <f>BD7*VLOOKUP('Données projet'!$B$11,Paramètres!$A$1:$I$89,3,0)*VLOOKUP('Données projet'!$B$11,Paramètres!$A$1:$I$89,5,0)</f>
        <v>1.6462740120236659</v>
      </c>
      <c r="BF7" s="13">
        <f t="shared" si="37"/>
        <v>0.71590161197423086</v>
      </c>
      <c r="BG7" s="20">
        <f t="shared" si="7"/>
        <v>4.1141225451296703</v>
      </c>
      <c r="BH7" s="59">
        <f t="shared" si="8"/>
        <v>265.66967810068519</v>
      </c>
      <c r="BI7" s="59">
        <f ca="1">AVERAGE(OFFSET($BH$3,0,0,'Données projet'!$E$11+1,1))-AVERAGE(OFFSET($H$3,0,0,'Données projet'!$E$11+1,1))</f>
        <v>211.98817606983374</v>
      </c>
      <c r="BJ7" s="59">
        <f t="shared" si="38"/>
        <v>154.0840647586964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1.70210299009891</v>
      </c>
      <c r="BZ7" s="13">
        <f>BY7*VLOOKUP('Données projet'!$B$12,Paramètres!$A$1:$I$89,3,0)*VLOOKUP('Données projet'!$B$12,Paramètres!$A$1:$I$89,5,0)</f>
        <v>1.8321436585424669</v>
      </c>
      <c r="CA7" s="13">
        <f t="shared" si="39"/>
        <v>0.78687020331308499</v>
      </c>
      <c r="CB7" s="20">
        <f t="shared" si="10"/>
        <v>4.5614491427317532</v>
      </c>
      <c r="CC7" s="59">
        <f t="shared" si="11"/>
        <v>266.1170046982873</v>
      </c>
      <c r="CD7" s="59">
        <f ca="1">AVERAGE(OFFSET($CC$3,0,0,'Données projet'!$E$12+1,1))-AVERAGE(OFFSET($H$3,0,0,'Données projet'!$E$12+1,1))</f>
        <v>231.89176215692947</v>
      </c>
      <c r="CE7" s="59">
        <f t="shared" si="40"/>
        <v>166.97658184507787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3.56</v>
      </c>
      <c r="CT7" s="12">
        <f>IF('Données projet'!$A$140&gt;35,CT6+CS7-DB6,IF(A7&lt;'Données projet'!$A$140,$CQ$205^A7,IF(A7='Données projet'!$A$140,'Données projet'!$B$140,CT6+CS7-DB6)))</f>
        <v>2.0507012732339978</v>
      </c>
      <c r="CU7" s="17">
        <f>CT7*VLOOKUP('Données projet'!$B$13,Paramètres!$A$1:$I$89,3,0)*VLOOKUP('Données projet'!$B$13,Paramètres!$A$1:$I$89,5,0)</f>
        <v>1.5995469931225184</v>
      </c>
      <c r="CV7" s="13">
        <f t="shared" si="41"/>
        <v>0.69791706476400706</v>
      </c>
      <c r="CW7" s="20">
        <f t="shared" si="13"/>
        <v>4.0014165674856983</v>
      </c>
      <c r="CX7" s="59">
        <f t="shared" si="14"/>
        <v>265.55697212304125</v>
      </c>
      <c r="CY7" s="59">
        <f ca="1">AVERAGE(OFFSET($CX$3,0,0,'Données projet'!$E$13+1,1))-AVERAGE(OFFSET($H$3,0,0,'Données projet'!$E$13+1,1))</f>
        <v>274.37717856763146</v>
      </c>
      <c r="CZ7" s="59">
        <f t="shared" si="42"/>
        <v>264.17357326498581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2.1247853748959664</v>
      </c>
      <c r="DQ7" s="13">
        <f t="shared" si="43"/>
        <v>0.89694881267796833</v>
      </c>
      <c r="DR7" s="20">
        <f t="shared" si="16"/>
        <v>5.2628537100246024</v>
      </c>
      <c r="DS7" s="59">
        <f t="shared" si="17"/>
        <v>266.81840926558016</v>
      </c>
      <c r="DT7" s="59">
        <f ca="1">AVERAGE(OFFSET($DS$3,0,0,'Données projet'!$E$14+1,1))-AVERAGE(OFFSET($H$3,0,0,'Données projet'!$E$14+1,1))</f>
        <v>304.26232113495314</v>
      </c>
      <c r="DU7" s="59">
        <f t="shared" si="44"/>
        <v>297.47246687305056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268.02028041979435</v>
      </c>
      <c r="S8" s="59">
        <f ca="1">AVERAGE(OFFSET($R$3,0,0,'Données projet'!$E$9+1,1))-AVERAGE(OFFSET($H$3,0,0,'Données projet'!$E$9+1,1))</f>
        <v>344.4940855044307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2.85</v>
      </c>
      <c r="AI8" s="13">
        <f>IF('Données projet'!$A$62&gt;35,AI7+AH8-AQ7,IF(A8&lt;'Données projet'!$A$62,$AF$205^A8,IF(A8='Données projet'!$A$62,'Données projet'!$B$62,AI7+AH8-AQ7)))</f>
        <v>2.7476962050544729</v>
      </c>
      <c r="AJ8" s="13">
        <f>AI8*VLOOKUP('Données projet'!$B$10,Paramètres!$A$1:$I$89,3,0)*VLOOKUP('Données projet'!$B$10,Paramètres!$A$1:$I$89,5,0)</f>
        <v>1.8431546143505404</v>
      </c>
      <c r="AK8" s="13">
        <f t="shared" si="35"/>
        <v>0.79104728251541545</v>
      </c>
      <c r="AL8" s="20">
        <f t="shared" si="4"/>
        <v>4.5879016370415391</v>
      </c>
      <c r="AM8" s="59">
        <f t="shared" si="5"/>
        <v>267.36567941481928</v>
      </c>
      <c r="AN8" s="59">
        <f ca="1">AVERAGE(OFFSET($AM$3,0,0,'Données projet'!$E$10+1,1))-AVERAGE(OFFSET($H$3,0,0,'Données projet'!$E$10+1,1))</f>
        <v>246.71489737733248</v>
      </c>
      <c r="AO8" s="59">
        <f t="shared" si="36"/>
        <v>185.03615139960783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1.8</v>
      </c>
      <c r="BD8" s="12">
        <f>IF('Données projet'!$A$88&gt;35,BD7+BC8-BL7,IF(A8&lt;'Données projet'!$A$88,$BA$205^A8,IF(A8='Données projet'!$A$88,'Données projet'!$B$88,BD7+BC8-BL7)))</f>
        <v>1.9441612972396662</v>
      </c>
      <c r="BE8" s="13">
        <f>BD8*VLOOKUP('Données projet'!$B$11,Paramètres!$A$1:$I$89,3,0)*VLOOKUP('Données projet'!$B$11,Paramètres!$A$1:$I$89,5,0)</f>
        <v>1.8803928066902054</v>
      </c>
      <c r="BF8" s="13">
        <f t="shared" si="37"/>
        <v>0.80515243590090646</v>
      </c>
      <c r="BG8" s="20">
        <f t="shared" si="7"/>
        <v>4.6773246308461864</v>
      </c>
      <c r="BH8" s="59">
        <f t="shared" si="8"/>
        <v>267.45510240862393</v>
      </c>
      <c r="BI8" s="59">
        <f ca="1">AVERAGE(OFFSET($BH$3,0,0,'Données projet'!$E$11+1,1))-AVERAGE(OFFSET($H$3,0,0,'Données projet'!$E$11+1,1))</f>
        <v>211.98817606983374</v>
      </c>
      <c r="BJ8" s="59">
        <f t="shared" si="38"/>
        <v>154.0840647586964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1.9441612972396662</v>
      </c>
      <c r="BZ8" s="13">
        <f>BY8*VLOOKUP('Données projet'!$B$12,Paramètres!$A$1:$I$89,3,0)*VLOOKUP('Données projet'!$B$12,Paramètres!$A$1:$I$89,5,0)</f>
        <v>2.0926952203487765</v>
      </c>
      <c r="CA8" s="13">
        <f t="shared" si="39"/>
        <v>0.88496861906518054</v>
      </c>
      <c r="CB8" s="20">
        <f t="shared" si="10"/>
        <v>5.1860978536459745</v>
      </c>
      <c r="CC8" s="59">
        <f t="shared" si="11"/>
        <v>267.96387563142372</v>
      </c>
      <c r="CD8" s="59">
        <f ca="1">AVERAGE(OFFSET($CC$3,0,0,'Données projet'!$E$12+1,1))-AVERAGE(OFFSET($H$3,0,0,'Données projet'!$E$12+1,1))</f>
        <v>231.89176215692947</v>
      </c>
      <c r="CE8" s="59">
        <f t="shared" si="40"/>
        <v>166.97658184507787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3.56</v>
      </c>
      <c r="CT8" s="12">
        <f>IF('Données projet'!$A$140&gt;35,CT7+CS8-DB7,IF(A8&lt;'Données projet'!$A$140,$CQ$205^A8,IF(A8='Données projet'!$A$140,'Données projet'!$B$140,CT7+CS8-DB7)))</f>
        <v>2.4540194545491301</v>
      </c>
      <c r="CU8" s="17">
        <f>CT8*VLOOKUP('Données projet'!$B$13,Paramètres!$A$1:$I$89,3,0)*VLOOKUP('Données projet'!$B$13,Paramètres!$A$1:$I$89,5,0)</f>
        <v>1.9141351745483215</v>
      </c>
      <c r="CV8" s="13">
        <f t="shared" si="41"/>
        <v>0.81790536660639246</v>
      </c>
      <c r="CW8" s="20">
        <f t="shared" si="13"/>
        <v>4.7583039425111266</v>
      </c>
      <c r="CX8" s="59">
        <f t="shared" si="14"/>
        <v>267.53608172028891</v>
      </c>
      <c r="CY8" s="59">
        <f ca="1">AVERAGE(OFFSET($CX$3,0,0,'Données projet'!$E$13+1,1))-AVERAGE(OFFSET($H$3,0,0,'Données projet'!$E$13+1,1))</f>
        <v>274.37717856763146</v>
      </c>
      <c r="CZ8" s="59">
        <f t="shared" si="42"/>
        <v>264.17357326498581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2.703098366055197</v>
      </c>
      <c r="DQ8" s="13">
        <f t="shared" si="43"/>
        <v>1.1095457022222992</v>
      </c>
      <c r="DR8" s="20">
        <f t="shared" si="16"/>
        <v>6.6403550855833053</v>
      </c>
      <c r="DS8" s="59">
        <f t="shared" si="17"/>
        <v>269.41813286336105</v>
      </c>
      <c r="DT8" s="59">
        <f ca="1">AVERAGE(OFFSET($DS$3,0,0,'Données projet'!$E$14+1,1))-AVERAGE(OFFSET($H$3,0,0,'Données projet'!$E$14+1,1))</f>
        <v>304.26232113495314</v>
      </c>
      <c r="DU8" s="59">
        <f t="shared" si="44"/>
        <v>297.47246687305056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270.17745244540737</v>
      </c>
      <c r="S9" s="59">
        <f ca="1">AVERAGE(OFFSET($R$3,0,0,'Données projet'!$E$9+1,1))-AVERAGE(OFFSET($H$3,0,0,'Données projet'!$E$9+1,1))</f>
        <v>344.4940855044307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2.85</v>
      </c>
      <c r="AI9" s="13">
        <f>IF('Données projet'!$A$62&gt;35,AI8+AH9-AQ8,IF(A9&lt;'Données projet'!$A$62,$AF$205^A9,IF(A9='Données projet'!$A$62,'Données projet'!$B$62,AI8+AH9-AQ8)))</f>
        <v>3.3632756010449452</v>
      </c>
      <c r="AJ9" s="13">
        <f>AI9*VLOOKUP('Données projet'!$B$10,Paramètres!$A$1:$I$89,3,0)*VLOOKUP('Données projet'!$B$10,Paramètres!$A$1:$I$89,5,0)</f>
        <v>2.2560852731809491</v>
      </c>
      <c r="AK9" s="13">
        <f t="shared" si="35"/>
        <v>0.94575140264376234</v>
      </c>
      <c r="AL9" s="20">
        <f t="shared" si="4"/>
        <v>5.5765322103947055</v>
      </c>
      <c r="AM9" s="59">
        <f t="shared" si="5"/>
        <v>269.5765322103947</v>
      </c>
      <c r="AN9" s="59">
        <f ca="1">AVERAGE(OFFSET($AM$3,0,0,'Données projet'!$E$10+1,1))-AVERAGE(OFFSET($H$3,0,0,'Données projet'!$E$10+1,1))</f>
        <v>246.71489737733248</v>
      </c>
      <c r="AO9" s="59">
        <f t="shared" si="36"/>
        <v>185.03615139960783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1.8</v>
      </c>
      <c r="BD9" s="12">
        <f>IF('Données projet'!$A$88&gt;35,BD8+BC9-BL8,IF(A9&lt;'Données projet'!$A$88,$BA$205^A9,IF(A9='Données projet'!$A$88,'Données projet'!$B$88,BD8+BC9-BL8)))</f>
        <v>2.2206430349229209</v>
      </c>
      <c r="BE9" s="13">
        <f>BD9*VLOOKUP('Données projet'!$B$11,Paramètres!$A$1:$I$89,3,0)*VLOOKUP('Données projet'!$B$11,Paramètres!$A$1:$I$89,5,0)</f>
        <v>2.147805943377449</v>
      </c>
      <c r="BF9" s="13">
        <f t="shared" si="37"/>
        <v>0.90553008150021863</v>
      </c>
      <c r="BG9" s="20">
        <f t="shared" si="7"/>
        <v>5.3178935766619375</v>
      </c>
      <c r="BH9" s="59">
        <f t="shared" si="8"/>
        <v>269.31789357666196</v>
      </c>
      <c r="BI9" s="59">
        <f ca="1">AVERAGE(OFFSET($BH$3,0,0,'Données projet'!$E$11+1,1))-AVERAGE(OFFSET($H$3,0,0,'Données projet'!$E$11+1,1))</f>
        <v>211.98817606983374</v>
      </c>
      <c r="BJ9" s="59">
        <f t="shared" si="38"/>
        <v>154.0840647586964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2.2206430349229209</v>
      </c>
      <c r="BZ9" s="13">
        <f>BY9*VLOOKUP('Données projet'!$B$12,Paramètres!$A$1:$I$89,3,0)*VLOOKUP('Données projet'!$B$12,Paramètres!$A$1:$I$89,5,0)</f>
        <v>2.3903001627910321</v>
      </c>
      <c r="CA9" s="13">
        <f t="shared" si="39"/>
        <v>0.99529687797635435</v>
      </c>
      <c r="CB9" s="20">
        <f t="shared" si="10"/>
        <v>5.8965815126698642</v>
      </c>
      <c r="CC9" s="59">
        <f t="shared" si="11"/>
        <v>269.89658151266985</v>
      </c>
      <c r="CD9" s="59">
        <f ca="1">AVERAGE(OFFSET($CC$3,0,0,'Données projet'!$E$12+1,1))-AVERAGE(OFFSET($H$3,0,0,'Données projet'!$E$12+1,1))</f>
        <v>231.89176215692947</v>
      </c>
      <c r="CE9" s="59">
        <f t="shared" si="40"/>
        <v>166.97658184507787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3.56</v>
      </c>
      <c r="CT9" s="12">
        <f>IF('Données projet'!$A$140&gt;35,CT8+CS9-DB8,IF(A9&lt;'Données projet'!$A$140,$CQ$205^A9,IF(A9='Données projet'!$A$140,'Données projet'!$B$140,CT8+CS9-DB8)))</f>
        <v>2.9366595524702919</v>
      </c>
      <c r="CU9" s="17">
        <f>CT9*VLOOKUP('Données projet'!$B$13,Paramètres!$A$1:$I$89,3,0)*VLOOKUP('Données projet'!$B$13,Paramètres!$A$1:$I$89,5,0)</f>
        <v>2.2905944509268279</v>
      </c>
      <c r="CV9" s="13">
        <f t="shared" si="41"/>
        <v>0.95852246992949186</v>
      </c>
      <c r="CW9" s="20">
        <f t="shared" si="13"/>
        <v>5.6588786371580904</v>
      </c>
      <c r="CX9" s="59">
        <f t="shared" si="14"/>
        <v>269.65887863715807</v>
      </c>
      <c r="CY9" s="59">
        <f ca="1">AVERAGE(OFFSET($CX$3,0,0,'Données projet'!$E$13+1,1))-AVERAGE(OFFSET($H$3,0,0,'Données projet'!$E$13+1,1))</f>
        <v>274.37717856763146</v>
      </c>
      <c r="CZ9" s="59">
        <f t="shared" si="42"/>
        <v>264.17357326498581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3.4388135681365122</v>
      </c>
      <c r="DQ9" s="13">
        <f t="shared" si="43"/>
        <v>1.3725327999982246</v>
      </c>
      <c r="DR9" s="20">
        <f t="shared" si="16"/>
        <v>8.3797615911680001</v>
      </c>
      <c r="DS9" s="59">
        <f t="shared" si="17"/>
        <v>272.37976159116801</v>
      </c>
      <c r="DT9" s="59">
        <f ca="1">AVERAGE(OFFSET($DS$3,0,0,'Données projet'!$E$14+1,1))-AVERAGE(OFFSET($H$3,0,0,'Données projet'!$E$14+1,1))</f>
        <v>304.26232113495314</v>
      </c>
      <c r="DU9" s="59">
        <f t="shared" si="44"/>
        <v>297.47246687305056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272.50195357358808</v>
      </c>
      <c r="S10" s="59">
        <f ca="1">AVERAGE(OFFSET($R$3,0,0,'Données projet'!$E$9+1,1))-AVERAGE(OFFSET($H$3,0,0,'Données projet'!$E$9+1,1))</f>
        <v>344.4940855044307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2.85</v>
      </c>
      <c r="AI10" s="13">
        <f>IF('Données projet'!$A$62&gt;35,AI9+AH10-AQ9,IF(A10&lt;'Données projet'!$A$62,$AF$205^A10,IF(A10='Données projet'!$A$62,'Données projet'!$B$62,AI9+AH10-AQ9)))</f>
        <v>4.116766164969822</v>
      </c>
      <c r="AJ10" s="13">
        <f>AI10*VLOOKUP('Données projet'!$B$10,Paramètres!$A$1:$I$89,3,0)*VLOOKUP('Données projet'!$B$10,Paramètres!$A$1:$I$89,5,0)</f>
        <v>2.7615267434617565</v>
      </c>
      <c r="AK10" s="13">
        <f t="shared" si="35"/>
        <v>1.1307108125805532</v>
      </c>
      <c r="AL10" s="20">
        <f t="shared" si="4"/>
        <v>6.7789804101070219</v>
      </c>
      <c r="AM10" s="59">
        <f t="shared" si="5"/>
        <v>272.00120263232924</v>
      </c>
      <c r="AN10" s="59">
        <f ca="1">AVERAGE(OFFSET($AM$3,0,0,'Données projet'!$E$10+1,1))-AVERAGE(OFFSET($H$3,0,0,'Données projet'!$E$10+1,1))</f>
        <v>246.71489737733248</v>
      </c>
      <c r="AO10" s="59">
        <f t="shared" si="36"/>
        <v>185.03615139960783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1.8</v>
      </c>
      <c r="BD10" s="12">
        <f>IF('Données projet'!$A$88&gt;35,BD9+BC10-BL9,IF(A10&lt;'Données projet'!$A$88,$BA$205^A10,IF(A10='Données projet'!$A$88,'Données projet'!$B$88,BD9+BC10-BL9)))</f>
        <v>2.5364436045265957</v>
      </c>
      <c r="BE10" s="13">
        <f>BD10*VLOOKUP('Données projet'!$B$11,Paramètres!$A$1:$I$89,3,0)*VLOOKUP('Données projet'!$B$11,Paramètres!$A$1:$I$89,5,0)</f>
        <v>2.4532482542981233</v>
      </c>
      <c r="BF10" s="13">
        <f t="shared" si="37"/>
        <v>1.0184217198377969</v>
      </c>
      <c r="BG10" s="20">
        <f t="shared" si="7"/>
        <v>6.0464918716200602</v>
      </c>
      <c r="BH10" s="59">
        <f t="shared" si="8"/>
        <v>271.26871409384228</v>
      </c>
      <c r="BI10" s="59">
        <f ca="1">AVERAGE(OFFSET($BH$3,0,0,'Données projet'!$E$11+1,1))-AVERAGE(OFFSET($H$3,0,0,'Données projet'!$E$11+1,1))</f>
        <v>211.98817606983374</v>
      </c>
      <c r="BJ10" s="59">
        <f t="shared" si="38"/>
        <v>154.0840647586964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2.5364436045265957</v>
      </c>
      <c r="BZ10" s="13">
        <f>BY10*VLOOKUP('Données projet'!$B$12,Paramètres!$A$1:$I$89,3,0)*VLOOKUP('Données projet'!$B$12,Paramètres!$A$1:$I$89,5,0)</f>
        <v>2.7302278959124275</v>
      </c>
      <c r="CA10" s="13">
        <f t="shared" si="39"/>
        <v>1.1193796638302225</v>
      </c>
      <c r="CB10" s="20">
        <f t="shared" si="10"/>
        <v>6.7047331665517831</v>
      </c>
      <c r="CC10" s="59">
        <f t="shared" si="11"/>
        <v>271.92695538877399</v>
      </c>
      <c r="CD10" s="59">
        <f ca="1">AVERAGE(OFFSET($CC$3,0,0,'Données projet'!$E$12+1,1))-AVERAGE(OFFSET($H$3,0,0,'Données projet'!$E$12+1,1))</f>
        <v>231.89176215692947</v>
      </c>
      <c r="CE10" s="59">
        <f t="shared" si="40"/>
        <v>166.97658184507787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3.56</v>
      </c>
      <c r="CT10" s="12">
        <f>IF('Données projet'!$A$140&gt;35,CT9+CS10-DB9,IF(A10&lt;'Données projet'!$A$140,$CQ$205^A10,IF(A10='Données projet'!$A$140,'Données projet'!$B$140,CT9+CS10-DB9)))</f>
        <v>3.5142220698896103</v>
      </c>
      <c r="CU10" s="17">
        <f>CT10*VLOOKUP('Données projet'!$B$13,Paramètres!$A$1:$I$89,3,0)*VLOOKUP('Données projet'!$B$13,Paramètres!$A$1:$I$89,5,0)</f>
        <v>2.7410932145138962</v>
      </c>
      <c r="CV10" s="13">
        <f t="shared" si="41"/>
        <v>1.1233149492242895</v>
      </c>
      <c r="CW10" s="20">
        <f t="shared" si="13"/>
        <v>6.730510885177341</v>
      </c>
      <c r="CX10" s="59">
        <f t="shared" si="14"/>
        <v>271.95273310739958</v>
      </c>
      <c r="CY10" s="59">
        <f ca="1">AVERAGE(OFFSET($CX$3,0,0,'Données projet'!$E$13+1,1))-AVERAGE(OFFSET($H$3,0,0,'Données projet'!$E$13+1,1))</f>
        <v>274.37717856763146</v>
      </c>
      <c r="CZ10" s="59">
        <f t="shared" si="42"/>
        <v>264.17357326498581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4.3747718932098598</v>
      </c>
      <c r="DQ10" s="13">
        <f t="shared" si="43"/>
        <v>1.6978537101246285</v>
      </c>
      <c r="DR10" s="20">
        <f t="shared" si="16"/>
        <v>10.576489592474234</v>
      </c>
      <c r="DS10" s="59">
        <f t="shared" si="17"/>
        <v>275.79871181469645</v>
      </c>
      <c r="DT10" s="59">
        <f ca="1">AVERAGE(OFFSET($DS$3,0,0,'Données projet'!$E$14+1,1))-AVERAGE(OFFSET($H$3,0,0,'Données projet'!$E$14+1,1))</f>
        <v>304.26232113495314</v>
      </c>
      <c r="DU10" s="59">
        <f t="shared" si="44"/>
        <v>297.47246687305056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275.02383015254469</v>
      </c>
      <c r="S11" s="59">
        <f ca="1">AVERAGE(OFFSET($R$3,0,0,'Données projet'!$E$9+1,1))-AVERAGE(OFFSET($H$3,0,0,'Données projet'!$E$9+1,1))</f>
        <v>344.4940855044307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2.85</v>
      </c>
      <c r="AI11" s="13">
        <f>IF('Données projet'!$A$62&gt;35,AI10+AH11-AQ10,IF(A11&lt;'Données projet'!$A$62,$AF$205^A11,IF(A11='Données projet'!$A$62,'Données projet'!$B$62,AI10+AH11-AQ10)))</f>
        <v>5.0390647890332847</v>
      </c>
      <c r="AJ11" s="13">
        <f>AI11*VLOOKUP('Données projet'!$B$10,Paramètres!$A$1:$I$89,3,0)*VLOOKUP('Données projet'!$B$10,Paramètres!$A$1:$I$89,5,0)</f>
        <v>3.3802046604835274</v>
      </c>
      <c r="AK11" s="13">
        <f t="shared" si="35"/>
        <v>1.3518425012245552</v>
      </c>
      <c r="AL11" s="20">
        <f t="shared" si="4"/>
        <v>8.2416488066415781</v>
      </c>
      <c r="AM11" s="59">
        <f t="shared" si="5"/>
        <v>274.68609325108605</v>
      </c>
      <c r="AN11" s="59">
        <f ca="1">AVERAGE(OFFSET($AM$3,0,0,'Données projet'!$E$10+1,1))-AVERAGE(OFFSET($H$3,0,0,'Données projet'!$E$10+1,1))</f>
        <v>246.71489737733248</v>
      </c>
      <c r="AO11" s="59">
        <f t="shared" si="36"/>
        <v>185.03615139960783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1.8</v>
      </c>
      <c r="BD11" s="12">
        <f>IF('Données projet'!$A$88&gt;35,BD10+BC11-BL10,IF(A11&lt;'Données projet'!$A$88,$BA$205^A11,IF(A11='Données projet'!$A$88,'Données projet'!$B$88,BD10+BC11-BL10)))</f>
        <v>2.8971545889036499</v>
      </c>
      <c r="BE11" s="13">
        <f>BD11*VLOOKUP('Données projet'!$B$11,Paramètres!$A$1:$I$89,3,0)*VLOOKUP('Données projet'!$B$11,Paramètres!$A$1:$I$89,5,0)</f>
        <v>2.8021279183876104</v>
      </c>
      <c r="BF11" s="13">
        <f t="shared" si="37"/>
        <v>1.1453874593752253</v>
      </c>
      <c r="BG11" s="20">
        <f t="shared" si="7"/>
        <v>6.8752559496036056</v>
      </c>
      <c r="BH11" s="59">
        <f t="shared" si="8"/>
        <v>273.31970039404808</v>
      </c>
      <c r="BI11" s="59">
        <f ca="1">AVERAGE(OFFSET($BH$3,0,0,'Données projet'!$E$11+1,1))-AVERAGE(OFFSET($H$3,0,0,'Données projet'!$E$11+1,1))</f>
        <v>211.98817606983374</v>
      </c>
      <c r="BJ11" s="59">
        <f t="shared" si="38"/>
        <v>154.0840647586964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2.8971545889036499</v>
      </c>
      <c r="BZ11" s="13">
        <f>BY11*VLOOKUP('Données projet'!$B$12,Paramètres!$A$1:$I$89,3,0)*VLOOKUP('Données projet'!$B$12,Paramètres!$A$1:$I$89,5,0)</f>
        <v>3.1184971994958883</v>
      </c>
      <c r="CA11" s="13">
        <f t="shared" si="39"/>
        <v>1.2589317413958871</v>
      </c>
      <c r="CB11" s="20">
        <f t="shared" si="10"/>
        <v>7.6240220720531751</v>
      </c>
      <c r="CC11" s="59">
        <f t="shared" si="11"/>
        <v>274.06846651649761</v>
      </c>
      <c r="CD11" s="59">
        <f ca="1">AVERAGE(OFFSET($CC$3,0,0,'Données projet'!$E$12+1,1))-AVERAGE(OFFSET($H$3,0,0,'Données projet'!$E$12+1,1))</f>
        <v>231.89176215692947</v>
      </c>
      <c r="CE11" s="59">
        <f t="shared" si="40"/>
        <v>166.97658184507787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3.56</v>
      </c>
      <c r="CT11" s="12">
        <f>IF('Données projet'!$A$140&gt;35,CT10+CS11-DB10,IF(A11&lt;'Données projet'!$A$140,$CQ$205^A11,IF(A11='Données projet'!$A$140,'Données projet'!$B$140,CT10+CS11-DB10)))</f>
        <v>4.2053757120435398</v>
      </c>
      <c r="CU11" s="17">
        <f>CT11*VLOOKUP('Données projet'!$B$13,Paramètres!$A$1:$I$89,3,0)*VLOOKUP('Données projet'!$B$13,Paramètres!$A$1:$I$89,5,0)</f>
        <v>3.2801930553939611</v>
      </c>
      <c r="CV11" s="13">
        <f t="shared" si="41"/>
        <v>1.3164391182645805</v>
      </c>
      <c r="CW11" s="20">
        <f t="shared" si="13"/>
        <v>8.0058010357886271</v>
      </c>
      <c r="CX11" s="59">
        <f t="shared" si="14"/>
        <v>274.45024548023309</v>
      </c>
      <c r="CY11" s="59">
        <f ca="1">AVERAGE(OFFSET($CX$3,0,0,'Données projet'!$E$13+1,1))-AVERAGE(OFFSET($H$3,0,0,'Données projet'!$E$13+1,1))</f>
        <v>274.37717856763146</v>
      </c>
      <c r="CZ11" s="59">
        <f t="shared" si="42"/>
        <v>264.17357326498581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5.5654744691466869</v>
      </c>
      <c r="DQ11" s="13">
        <f t="shared" si="43"/>
        <v>2.10028293749169</v>
      </c>
      <c r="DR11" s="20">
        <f t="shared" si="16"/>
        <v>13.351194149895173</v>
      </c>
      <c r="DS11" s="59">
        <f t="shared" si="17"/>
        <v>279.79563859433961</v>
      </c>
      <c r="DT11" s="59">
        <f ca="1">AVERAGE(OFFSET($DS$3,0,0,'Données projet'!$E$14+1,1))-AVERAGE(OFFSET($H$3,0,0,'Données projet'!$E$14+1,1))</f>
        <v>304.26232113495314</v>
      </c>
      <c r="DU11" s="59">
        <f t="shared" si="44"/>
        <v>297.47246687305056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277.77854042859184</v>
      </c>
      <c r="S12" s="59">
        <f ca="1">AVERAGE(OFFSET($R$3,0,0,'Données projet'!$E$9+1,1))-AVERAGE(OFFSET($H$3,0,0,'Données projet'!$E$9+1,1))</f>
        <v>344.4940855044307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2.85</v>
      </c>
      <c r="AI12" s="13">
        <f>IF('Données projet'!$A$62&gt;35,AI11+AH12-AQ11,IF(A12&lt;'Données projet'!$A$62,$AF$205^A12,IF(A12='Données projet'!$A$62,'Données projet'!$B$62,AI11+AH12-AQ11)))</f>
        <v>6.167990342551116</v>
      </c>
      <c r="AJ12" s="13">
        <f>AI12*VLOOKUP('Données projet'!$B$10,Paramètres!$A$1:$I$89,3,0)*VLOOKUP('Données projet'!$B$10,Paramètres!$A$1:$I$89,5,0)</f>
        <v>4.1374879217832889</v>
      </c>
      <c r="AK12" s="13">
        <f t="shared" si="35"/>
        <v>1.6162206355366131</v>
      </c>
      <c r="AL12" s="20">
        <f t="shared" si="4"/>
        <v>10.021042403998829</v>
      </c>
      <c r="AM12" s="59">
        <f t="shared" si="5"/>
        <v>277.68770907066551</v>
      </c>
      <c r="AN12" s="59">
        <f ca="1">AVERAGE(OFFSET($AM$3,0,0,'Données projet'!$E$10+1,1))-AVERAGE(OFFSET($H$3,0,0,'Données projet'!$E$10+1,1))</f>
        <v>246.71489737733248</v>
      </c>
      <c r="AO12" s="59">
        <f t="shared" si="36"/>
        <v>185.03615139960783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1.8</v>
      </c>
      <c r="BD12" s="12">
        <f>IF('Données projet'!$A$88&gt;35,BD11+BC12-BL11,IF(A12&lt;'Données projet'!$A$88,$BA$205^A12,IF(A12='Données projet'!$A$88,'Données projet'!$B$88,BD11+BC12-BL11)))</f>
        <v>3.3091627572662112</v>
      </c>
      <c r="BE12" s="13">
        <f>BD12*VLOOKUP('Données projet'!$B$11,Paramètres!$A$1:$I$89,3,0)*VLOOKUP('Données projet'!$B$11,Paramètres!$A$1:$I$89,5,0)</f>
        <v>3.2006222188278795</v>
      </c>
      <c r="BF12" s="13">
        <f t="shared" si="37"/>
        <v>1.2881819059230004</v>
      </c>
      <c r="BG12" s="20">
        <f t="shared" si="7"/>
        <v>7.8180005172744487</v>
      </c>
      <c r="BH12" s="59">
        <f t="shared" si="8"/>
        <v>275.48466718394116</v>
      </c>
      <c r="BI12" s="59">
        <f ca="1">AVERAGE(OFFSET($BH$3,0,0,'Données projet'!$E$11+1,1))-AVERAGE(OFFSET($H$3,0,0,'Données projet'!$E$11+1,1))</f>
        <v>211.98817606983374</v>
      </c>
      <c r="BJ12" s="59">
        <f t="shared" si="38"/>
        <v>154.0840647586964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3.3091627572662112</v>
      </c>
      <c r="BZ12" s="13">
        <f>BY12*VLOOKUP('Données projet'!$B$12,Paramètres!$A$1:$I$89,3,0)*VLOOKUP('Données projet'!$B$12,Paramètres!$A$1:$I$89,5,0)</f>
        <v>3.5619827919213498</v>
      </c>
      <c r="CA12" s="13">
        <f t="shared" si="39"/>
        <v>1.4158816536571155</v>
      </c>
      <c r="CB12" s="20">
        <f t="shared" si="10"/>
        <v>8.6697805760491615</v>
      </c>
      <c r="CC12" s="59">
        <f t="shared" si="11"/>
        <v>276.33644724271585</v>
      </c>
      <c r="CD12" s="59">
        <f ca="1">AVERAGE(OFFSET($CC$3,0,0,'Données projet'!$E$12+1,1))-AVERAGE(OFFSET($H$3,0,0,'Données projet'!$E$12+1,1))</f>
        <v>231.89176215692947</v>
      </c>
      <c r="CE12" s="59">
        <f t="shared" si="40"/>
        <v>166.97658184507787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3.56</v>
      </c>
      <c r="CT12" s="12">
        <f>IF('Données projet'!$A$140&gt;35,CT11+CS12-DB11,IF(A12&lt;'Données projet'!$A$140,$CQ$205^A12,IF(A12='Données projet'!$A$140,'Données projet'!$B$140,CT11+CS12-DB11)))</f>
        <v>5.0324608199849017</v>
      </c>
      <c r="CU12" s="17">
        <f>CT12*VLOOKUP('Données projet'!$B$13,Paramètres!$A$1:$I$89,3,0)*VLOOKUP('Données projet'!$B$13,Paramètres!$A$1:$I$89,5,0)</f>
        <v>3.9253194395882236</v>
      </c>
      <c r="CV12" s="13">
        <f t="shared" si="41"/>
        <v>1.5427658585813051</v>
      </c>
      <c r="CW12" s="20">
        <f t="shared" si="13"/>
        <v>9.5235818943119295</v>
      </c>
      <c r="CX12" s="59">
        <f t="shared" si="14"/>
        <v>277.1902485609786</v>
      </c>
      <c r="CY12" s="59">
        <f ca="1">AVERAGE(OFFSET($CX$3,0,0,'Données projet'!$E$13+1,1))-AVERAGE(OFFSET($H$3,0,0,'Données projet'!$E$13+1,1))</f>
        <v>274.37717856763146</v>
      </c>
      <c r="CZ12" s="59">
        <f t="shared" si="42"/>
        <v>264.17357326498581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7.0802562562860771</v>
      </c>
      <c r="DQ12" s="13">
        <f t="shared" si="43"/>
        <v>2.5980968744326778</v>
      </c>
      <c r="DR12" s="20">
        <f t="shared" si="16"/>
        <v>16.856465036001829</v>
      </c>
      <c r="DS12" s="59">
        <f t="shared" si="17"/>
        <v>284.52313170266854</v>
      </c>
      <c r="DT12" s="59">
        <f ca="1">AVERAGE(OFFSET($DS$3,0,0,'Données projet'!$E$14+1,1))-AVERAGE(OFFSET($H$3,0,0,'Données projet'!$E$14+1,1))</f>
        <v>304.26232113495314</v>
      </c>
      <c r="DU12" s="59">
        <f t="shared" si="44"/>
        <v>297.47246687305056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280.80793210997274</v>
      </c>
      <c r="S13" s="59">
        <f ca="1">AVERAGE(OFFSET($R$3,0,0,'Données projet'!$E$9+1,1))-AVERAGE(OFFSET($H$3,0,0,'Données projet'!$E$9+1,1))</f>
        <v>344.4940855044307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2.85</v>
      </c>
      <c r="AI13" s="13">
        <f>IF('Données projet'!$A$62&gt;35,AI12+AH13-AQ12,IF(A13&lt;'Données projet'!$A$62,$AF$205^A13,IF(A13='Données projet'!$A$62,'Données projet'!$B$62,AI12+AH13-AQ12)))</f>
        <v>7.5498344352707516</v>
      </c>
      <c r="AJ13" s="13">
        <f>AI13*VLOOKUP('Données projet'!$B$10,Paramètres!$A$1:$I$89,3,0)*VLOOKUP('Données projet'!$B$10,Paramètres!$A$1:$I$89,5,0)</f>
        <v>5.0644289391796207</v>
      </c>
      <c r="AK13" s="13">
        <f t="shared" si="35"/>
        <v>1.9323028683949215</v>
      </c>
      <c r="AL13" s="20">
        <f t="shared" si="4"/>
        <v>12.185974564858995</v>
      </c>
      <c r="AM13" s="59">
        <f t="shared" si="5"/>
        <v>281.07486345374787</v>
      </c>
      <c r="AN13" s="59">
        <f ca="1">AVERAGE(OFFSET($AM$3,0,0,'Données projet'!$E$10+1,1))-AVERAGE(OFFSET($H$3,0,0,'Données projet'!$E$10+1,1))</f>
        <v>246.71489737733248</v>
      </c>
      <c r="AO13" s="59">
        <f t="shared" si="36"/>
        <v>185.03615139960783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1.8</v>
      </c>
      <c r="BD13" s="12">
        <f>IF('Données projet'!$A$88&gt;35,BD12+BC13-BL12,IF(A13&lt;'Données projet'!$A$88,$BA$205^A13,IF(A13='Données projet'!$A$88,'Données projet'!$B$88,BD12+BC13-BL12)))</f>
        <v>3.7797631496846216</v>
      </c>
      <c r="BE13" s="13">
        <f>BD13*VLOOKUP('Données projet'!$B$11,Paramètres!$A$1:$I$89,3,0)*VLOOKUP('Données projet'!$B$11,Paramètres!$A$1:$I$89,5,0)</f>
        <v>3.6557869183749658</v>
      </c>
      <c r="BF13" s="13">
        <f t="shared" si="37"/>
        <v>1.448778410453851</v>
      </c>
      <c r="BG13" s="20">
        <f t="shared" si="7"/>
        <v>8.8904512810435214</v>
      </c>
      <c r="BH13" s="59">
        <f t="shared" si="8"/>
        <v>277.77934016993237</v>
      </c>
      <c r="BI13" s="59">
        <f ca="1">AVERAGE(OFFSET($BH$3,0,0,'Données projet'!$E$11+1,1))-AVERAGE(OFFSET($H$3,0,0,'Données projet'!$E$11+1,1))</f>
        <v>211.98817606983374</v>
      </c>
      <c r="BJ13" s="59">
        <f t="shared" si="38"/>
        <v>154.0840647586964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3.7797631496846216</v>
      </c>
      <c r="BZ13" s="13">
        <f>BY13*VLOOKUP('Données projet'!$B$12,Paramètres!$A$1:$I$89,3,0)*VLOOKUP('Données projet'!$B$12,Paramètres!$A$1:$I$89,5,0)</f>
        <v>4.0685370543205259</v>
      </c>
      <c r="CA13" s="13">
        <f t="shared" si="39"/>
        <v>1.5923983733542209</v>
      </c>
      <c r="CB13" s="20">
        <f t="shared" si="10"/>
        <v>9.8594625365335151</v>
      </c>
      <c r="CC13" s="59">
        <f t="shared" si="11"/>
        <v>278.74835142542236</v>
      </c>
      <c r="CD13" s="59">
        <f ca="1">AVERAGE(OFFSET($CC$3,0,0,'Données projet'!$E$12+1,1))-AVERAGE(OFFSET($H$3,0,0,'Données projet'!$E$12+1,1))</f>
        <v>231.89176215692947</v>
      </c>
      <c r="CE13" s="59">
        <f t="shared" si="40"/>
        <v>166.97658184507787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3.56</v>
      </c>
      <c r="CT13" s="12">
        <f>IF('Données projet'!$A$140&gt;35,CT12+CS13-DB12,IF(A13&lt;'Données projet'!$A$140,$CQ$205^A13,IF(A13='Données projet'!$A$140,'Données projet'!$B$140,CT12+CS13-DB12)))</f>
        <v>6.0222114833056102</v>
      </c>
      <c r="CU13" s="17">
        <f>CT13*VLOOKUP('Données projet'!$B$13,Paramètres!$A$1:$I$89,3,0)*VLOOKUP('Données projet'!$B$13,Paramètres!$A$1:$I$89,5,0)</f>
        <v>4.6973249569783757</v>
      </c>
      <c r="CV13" s="13">
        <f t="shared" si="41"/>
        <v>1.8080034704086858</v>
      </c>
      <c r="CW13" s="20">
        <f t="shared" si="13"/>
        <v>11.330113677699131</v>
      </c>
      <c r="CX13" s="59">
        <f t="shared" si="14"/>
        <v>280.21900256658796</v>
      </c>
      <c r="CY13" s="59">
        <f ca="1">AVERAGE(OFFSET($CX$3,0,0,'Données projet'!$E$13+1,1))-AVERAGE(OFFSET($H$3,0,0,'Données projet'!$E$13+1,1))</f>
        <v>274.37717856763146</v>
      </c>
      <c r="CZ13" s="59">
        <f t="shared" si="42"/>
        <v>264.17357326498581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9.007323442517599</v>
      </c>
      <c r="DQ13" s="13">
        <f t="shared" si="43"/>
        <v>3.2139038262141559</v>
      </c>
      <c r="DR13" s="20">
        <f t="shared" si="16"/>
        <v>21.285304159707806</v>
      </c>
      <c r="DS13" s="59">
        <f t="shared" si="17"/>
        <v>290.17419304859663</v>
      </c>
      <c r="DT13" s="59">
        <f ca="1">AVERAGE(OFFSET($DS$3,0,0,'Données projet'!$E$14+1,1))-AVERAGE(OFFSET($H$3,0,0,'Données projet'!$E$14+1,1))</f>
        <v>304.26232113495314</v>
      </c>
      <c r="DU13" s="59">
        <f t="shared" si="44"/>
        <v>297.47246687305056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284.16139697381971</v>
      </c>
      <c r="S14" s="59">
        <f ca="1">AVERAGE(OFFSET($R$3,0,0,'Données projet'!$E$9+1,1))-AVERAGE(OFFSET($H$3,0,0,'Données projet'!$E$9+1,1))</f>
        <v>344.4940855044307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2.85</v>
      </c>
      <c r="AI14" s="13">
        <f>IF('Données projet'!$A$62&gt;35,AI13+AH14-AQ13,IF(A14&lt;'Données projet'!$A$62,$AF$205^A14,IF(A14='Données projet'!$A$62,'Données projet'!$B$62,AI13+AH14-AQ13)))</f>
        <v>9.2412596055434975</v>
      </c>
      <c r="AJ14" s="13">
        <f>AI14*VLOOKUP('Données projet'!$B$10,Paramètres!$A$1:$I$89,3,0)*VLOOKUP('Données projet'!$B$10,Paramètres!$A$1:$I$89,5,0)</f>
        <v>6.1990369433985784</v>
      </c>
      <c r="AK14" s="13">
        <f t="shared" si="35"/>
        <v>2.3102009051923518</v>
      </c>
      <c r="AL14" s="20">
        <f t="shared" si="4"/>
        <v>14.820255919629199</v>
      </c>
      <c r="AM14" s="59">
        <f t="shared" si="5"/>
        <v>284.93136703074032</v>
      </c>
      <c r="AN14" s="59">
        <f ca="1">AVERAGE(OFFSET($AM$3,0,0,'Données projet'!$E$10+1,1))-AVERAGE(OFFSET($H$3,0,0,'Données projet'!$E$10+1,1))</f>
        <v>246.71489737733248</v>
      </c>
      <c r="AO14" s="59">
        <f t="shared" si="36"/>
        <v>185.03615139960783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1.8</v>
      </c>
      <c r="BD14" s="12">
        <f>IF('Données projet'!$A$88&gt;35,BD13+BC14-BL13,IF(A14&lt;'Données projet'!$A$88,$BA$205^A14,IF(A14='Données projet'!$A$88,'Données projet'!$B$88,BD13+BC14-BL13)))</f>
        <v>4.3172882434819746</v>
      </c>
      <c r="BE14" s="13">
        <f>BD14*VLOOKUP('Données projet'!$B$11,Paramètres!$A$1:$I$89,3,0)*VLOOKUP('Données projet'!$B$11,Paramètres!$A$1:$I$89,5,0)</f>
        <v>4.1756811890957666</v>
      </c>
      <c r="BF14" s="13">
        <f t="shared" si="37"/>
        <v>1.6293963398696043</v>
      </c>
      <c r="BG14" s="20">
        <f t="shared" si="7"/>
        <v>10.110510029614687</v>
      </c>
      <c r="BH14" s="59">
        <f t="shared" si="8"/>
        <v>280.2216211407258</v>
      </c>
      <c r="BI14" s="59">
        <f ca="1">AVERAGE(OFFSET($BH$3,0,0,'Données projet'!$E$11+1,1))-AVERAGE(OFFSET($H$3,0,0,'Données projet'!$E$11+1,1))</f>
        <v>211.98817606983374</v>
      </c>
      <c r="BJ14" s="59">
        <f t="shared" si="38"/>
        <v>154.0840647586964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1.8</v>
      </c>
      <c r="BY14" s="12">
        <f>IF('Données projet'!$A$114&gt;35,BY13+BX14-CG13,IF(A14&lt;'Données projet'!$A$114,$BV$205^A14,IF(A14='Données projet'!$A$114,'Données projet'!$B$114,BY13+BX14-CG13)))</f>
        <v>4.3172882434819746</v>
      </c>
      <c r="BZ14" s="13">
        <f>BY14*VLOOKUP('Données projet'!$B$12,Paramètres!$A$1:$I$89,3,0)*VLOOKUP('Données projet'!$B$12,Paramètres!$A$1:$I$89,5,0)</f>
        <v>4.6471290652839974</v>
      </c>
      <c r="CA14" s="13">
        <f t="shared" si="39"/>
        <v>1.7909212771502216</v>
      </c>
      <c r="CB14" s="20">
        <f t="shared" si="10"/>
        <v>11.212937679739598</v>
      </c>
      <c r="CC14" s="59">
        <f t="shared" si="11"/>
        <v>281.32404879085072</v>
      </c>
      <c r="CD14" s="59">
        <f ca="1">AVERAGE(OFFSET($CC$3,0,0,'Données projet'!$E$12+1,1))-AVERAGE(OFFSET($H$3,0,0,'Données projet'!$E$12+1,1))</f>
        <v>231.89176215692947</v>
      </c>
      <c r="CE14" s="59">
        <f t="shared" si="40"/>
        <v>166.97658184507787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3.56</v>
      </c>
      <c r="CT14" s="12">
        <f>IF('Données projet'!$A$140&gt;35,CT13+CS14-DB13,IF(A14&lt;'Données projet'!$A$140,$CQ$205^A14,IF(A14='Données projet'!$A$140,'Données projet'!$B$140,CT13+CS14-DB13)))</f>
        <v>7.206619673149639</v>
      </c>
      <c r="CU14" s="17">
        <f>CT14*VLOOKUP('Données projet'!$B$13,Paramètres!$A$1:$I$89,3,0)*VLOOKUP('Données projet'!$B$13,Paramètres!$A$1:$I$89,5,0)</f>
        <v>5.6211633450567184</v>
      </c>
      <c r="CV14" s="13">
        <f t="shared" si="41"/>
        <v>2.1188416445874947</v>
      </c>
      <c r="CW14" s="20">
        <f t="shared" si="13"/>
        <v>13.480508690297002</v>
      </c>
      <c r="CX14" s="59">
        <f t="shared" si="14"/>
        <v>283.59161980140817</v>
      </c>
      <c r="CY14" s="59">
        <f ca="1">AVERAGE(OFFSET($CX$3,0,0,'Données projet'!$E$13+1,1))-AVERAGE(OFFSET($H$3,0,0,'Données projet'!$E$13+1,1))</f>
        <v>274.37717856763146</v>
      </c>
      <c r="CZ14" s="59">
        <f t="shared" si="42"/>
        <v>264.17357326498581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11.458889715481076</v>
      </c>
      <c r="DQ14" s="13">
        <f t="shared" si="43"/>
        <v>3.9756707710945065</v>
      </c>
      <c r="DR14" s="20">
        <f t="shared" si="16"/>
        <v>26.881859514119139</v>
      </c>
      <c r="DS14" s="59">
        <f t="shared" si="17"/>
        <v>296.99297062523027</v>
      </c>
      <c r="DT14" s="59">
        <f ca="1">AVERAGE(OFFSET($DS$3,0,0,'Données projet'!$E$14+1,1))-AVERAGE(OFFSET($H$3,0,0,'Données projet'!$E$14+1,1))</f>
        <v>304.26232113495314</v>
      </c>
      <c r="DU14" s="59">
        <f t="shared" si="44"/>
        <v>297.47246687305056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287.89723465691981</v>
      </c>
      <c r="S15" s="59">
        <f ca="1">AVERAGE(OFFSET($R$3,0,0,'Données projet'!$E$9+1,1))-AVERAGE(OFFSET($H$3,0,0,'Données projet'!$E$9+1,1))</f>
        <v>344.4940855044307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2.85</v>
      </c>
      <c r="AI15" s="13">
        <f>IF('Données projet'!$A$62&gt;35,AI14+AH15-AQ14,IF(A15&lt;'Données projet'!$A$62,$AF$205^A15,IF(A15='Données projet'!$A$62,'Données projet'!$B$62,AI14+AH15-AQ14)))</f>
        <v>11.311622768584238</v>
      </c>
      <c r="AJ15" s="13">
        <f>AI15*VLOOKUP('Données projet'!$B$10,Paramètres!$A$1:$I$89,3,0)*VLOOKUP('Données projet'!$B$10,Paramètres!$A$1:$I$89,5,0)</f>
        <v>7.5878365531663068</v>
      </c>
      <c r="AK15" s="13">
        <f t="shared" si="35"/>
        <v>2.762003984802234</v>
      </c>
      <c r="AL15" s="20">
        <f t="shared" si="4"/>
        <v>18.02597227029521</v>
      </c>
      <c r="AM15" s="59">
        <f t="shared" si="5"/>
        <v>289.35930560362851</v>
      </c>
      <c r="AN15" s="59">
        <f ca="1">AVERAGE(OFFSET($AM$3,0,0,'Données projet'!$E$10+1,1))-AVERAGE(OFFSET($H$3,0,0,'Données projet'!$E$10+1,1))</f>
        <v>246.71489737733248</v>
      </c>
      <c r="AO15" s="59">
        <f t="shared" si="36"/>
        <v>185.03615139960783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1.8</v>
      </c>
      <c r="BD15" s="12">
        <f>IF('Données projet'!$A$88&gt;35,BD14+BC15-BL14,IF(A15&lt;'Données projet'!$A$88,$BA$205^A15,IF(A15='Données projet'!$A$88,'Données projet'!$B$88,BD14+BC15-BL14)))</f>
        <v>4.9312554885516811</v>
      </c>
      <c r="BE15" s="13">
        <f>BD15*VLOOKUP('Données projet'!$B$11,Paramètres!$A$1:$I$89,3,0)*VLOOKUP('Données projet'!$B$11,Paramètres!$A$1:$I$89,5,0)</f>
        <v>4.7695103085271864</v>
      </c>
      <c r="BF15" s="13">
        <f t="shared" si="37"/>
        <v>1.8325317475905563</v>
      </c>
      <c r="BG15" s="20">
        <f t="shared" si="7"/>
        <v>11.498556581071734</v>
      </c>
      <c r="BH15" s="59">
        <f t="shared" si="8"/>
        <v>282.83188991440505</v>
      </c>
      <c r="BI15" s="59">
        <f ca="1">AVERAGE(OFFSET($BH$3,0,0,'Données projet'!$E$11+1,1))-AVERAGE(OFFSET($H$3,0,0,'Données projet'!$E$11+1,1))</f>
        <v>211.98817606983374</v>
      </c>
      <c r="BJ15" s="59">
        <f t="shared" si="38"/>
        <v>154.0840647586964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1.8</v>
      </c>
      <c r="BY15" s="12">
        <f>IF('Données projet'!$A$114&gt;35,BY14+BX15-CG14,IF(A15&lt;'Données projet'!$A$114,$BV$205^A15,IF(A15='Données projet'!$A$114,'Données projet'!$B$114,BY14+BX15-CG14)))</f>
        <v>4.9312554885516811</v>
      </c>
      <c r="BZ15" s="13">
        <f>BY15*VLOOKUP('Données projet'!$B$12,Paramètres!$A$1:$I$89,3,0)*VLOOKUP('Données projet'!$B$12,Paramètres!$A$1:$I$89,5,0)</f>
        <v>5.3080034078770293</v>
      </c>
      <c r="CA15" s="13">
        <f t="shared" si="39"/>
        <v>2.0141938566499098</v>
      </c>
      <c r="CB15" s="20">
        <f t="shared" si="10"/>
        <v>12.752826902384419</v>
      </c>
      <c r="CC15" s="59">
        <f t="shared" si="11"/>
        <v>284.08616023571773</v>
      </c>
      <c r="CD15" s="59">
        <f ca="1">AVERAGE(OFFSET($CC$3,0,0,'Données projet'!$E$12+1,1))-AVERAGE(OFFSET($H$3,0,0,'Données projet'!$E$12+1,1))</f>
        <v>231.89176215692947</v>
      </c>
      <c r="CE15" s="59">
        <f t="shared" si="40"/>
        <v>166.97658184507787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3.56</v>
      </c>
      <c r="CT15" s="12">
        <f>IF('Données projet'!$A$140&gt;35,CT14+CS15-DB14,IF(A15&lt;'Données projet'!$A$140,$CQ$205^A15,IF(A15='Données projet'!$A$140,'Données projet'!$B$140,CT14+CS15-DB14)))</f>
        <v>8.6239693271150166</v>
      </c>
      <c r="CU15" s="17">
        <f>CT15*VLOOKUP('Données projet'!$B$13,Paramètres!$A$1:$I$89,3,0)*VLOOKUP('Données projet'!$B$13,Paramètres!$A$1:$I$89,5,0)</f>
        <v>6.7266960751497136</v>
      </c>
      <c r="CV15" s="13">
        <f t="shared" si="41"/>
        <v>2.4831201866130401</v>
      </c>
      <c r="CW15" s="20">
        <f t="shared" si="13"/>
        <v>16.040429989236795</v>
      </c>
      <c r="CX15" s="59">
        <f t="shared" si="14"/>
        <v>287.37376332257008</v>
      </c>
      <c r="CY15" s="59">
        <f ca="1">AVERAGE(OFFSET($CX$3,0,0,'Données projet'!$E$13+1,1))-AVERAGE(OFFSET($H$3,0,0,'Données projet'!$E$13+1,1))</f>
        <v>274.37717856763146</v>
      </c>
      <c r="CZ15" s="59">
        <f t="shared" si="42"/>
        <v>264.17357326498581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14.57771049852043</v>
      </c>
      <c r="DQ15" s="13">
        <f t="shared" si="43"/>
        <v>4.9179934854347964</v>
      </c>
      <c r="DR15" s="20">
        <f t="shared" si="16"/>
        <v>33.955017772055356</v>
      </c>
      <c r="DS15" s="59">
        <f t="shared" si="17"/>
        <v>305.28835110538864</v>
      </c>
      <c r="DT15" s="59">
        <f ca="1">AVERAGE(OFFSET($DS$3,0,0,'Données projet'!$E$14+1,1))-AVERAGE(OFFSET($H$3,0,0,'Données projet'!$E$14+1,1))</f>
        <v>304.26232113495314</v>
      </c>
      <c r="DU15" s="59">
        <f t="shared" si="44"/>
        <v>297.47246687305056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292.0842636185788</v>
      </c>
      <c r="S16" s="59">
        <f ca="1">AVERAGE(OFFSET($R$3,0,0,'Données projet'!$E$9+1,1))-AVERAGE(OFFSET($H$3,0,0,'Données projet'!$E$9+1,1))</f>
        <v>344.4940855044307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2.85</v>
      </c>
      <c r="AI16" s="13">
        <f>IF('Données projet'!$A$62&gt;35,AI15+AH16-AQ15,IF(A16&lt;'Données projet'!$A$62,$AF$205^A16,IF(A16='Données projet'!$A$62,'Données projet'!$B$62,AI15+AH16-AQ15)))</f>
        <v>13.845819197850375</v>
      </c>
      <c r="AJ16" s="13">
        <f>AI16*VLOOKUP('Données projet'!$B$10,Paramètres!$A$1:$I$89,3,0)*VLOOKUP('Données projet'!$B$10,Paramètres!$A$1:$I$89,5,0)</f>
        <v>9.2877755179180319</v>
      </c>
      <c r="AK16" s="13">
        <f t="shared" si="35"/>
        <v>3.3021656233089578</v>
      </c>
      <c r="AL16" s="20">
        <f t="shared" si="4"/>
        <v>21.927480820970342</v>
      </c>
      <c r="AM16" s="59">
        <f t="shared" si="5"/>
        <v>294.48303637652589</v>
      </c>
      <c r="AN16" s="59">
        <f ca="1">AVERAGE(OFFSET($AM$3,0,0,'Données projet'!$E$10+1,1))-AVERAGE(OFFSET($H$3,0,0,'Données projet'!$E$10+1,1))</f>
        <v>246.71489737733248</v>
      </c>
      <c r="AO16" s="59">
        <f t="shared" si="36"/>
        <v>185.03615139960783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1.8</v>
      </c>
      <c r="BD16" s="12">
        <f>IF('Données projet'!$A$88&gt;35,BD15+BC16-BL15,IF(A16&lt;'Données projet'!$A$88,$BA$205^A16,IF(A16='Données projet'!$A$88,'Données projet'!$B$88,BD15+BC16-BL15)))</f>
        <v>5.632535823866772</v>
      </c>
      <c r="BE16" s="13">
        <f>BD16*VLOOKUP('Données projet'!$B$11,Paramètres!$A$1:$I$89,3,0)*VLOOKUP('Données projet'!$B$11,Paramètres!$A$1:$I$89,5,0)</f>
        <v>5.4477886488439422</v>
      </c>
      <c r="BF16" s="13">
        <f t="shared" si="37"/>
        <v>2.0609918678202264</v>
      </c>
      <c r="BG16" s="20">
        <f t="shared" si="7"/>
        <v>13.077792733190094</v>
      </c>
      <c r="BH16" s="59">
        <f t="shared" si="8"/>
        <v>285.63334828874565</v>
      </c>
      <c r="BI16" s="59">
        <f ca="1">AVERAGE(OFFSET($BH$3,0,0,'Données projet'!$E$11+1,1))-AVERAGE(OFFSET($H$3,0,0,'Données projet'!$E$11+1,1))</f>
        <v>211.98817606983374</v>
      </c>
      <c r="BJ16" s="59">
        <f t="shared" si="38"/>
        <v>154.0840647586964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1.8</v>
      </c>
      <c r="BY16" s="12">
        <f>IF('Données projet'!$A$114&gt;35,BY15+BX16-CG15,IF(A16&lt;'Données projet'!$A$114,$BV$205^A16,IF(A16='Données projet'!$A$114,'Données projet'!$B$114,BY15+BX16-CG15)))</f>
        <v>5.632535823866772</v>
      </c>
      <c r="BZ16" s="13">
        <f>BY16*VLOOKUP('Données projet'!$B$12,Paramètres!$A$1:$I$89,3,0)*VLOOKUP('Données projet'!$B$12,Paramètres!$A$1:$I$89,5,0)</f>
        <v>6.0628615608101928</v>
      </c>
      <c r="CA16" s="13">
        <f t="shared" si="39"/>
        <v>2.2653016321420028</v>
      </c>
      <c r="CB16" s="20">
        <f t="shared" si="10"/>
        <v>14.504884227725073</v>
      </c>
      <c r="CC16" s="59">
        <f t="shared" si="11"/>
        <v>287.06043978328063</v>
      </c>
      <c r="CD16" s="59">
        <f ca="1">AVERAGE(OFFSET($CC$3,0,0,'Données projet'!$E$12+1,1))-AVERAGE(OFFSET($H$3,0,0,'Données projet'!$E$12+1,1))</f>
        <v>231.89176215692947</v>
      </c>
      <c r="CE16" s="59">
        <f t="shared" si="40"/>
        <v>166.97658184507787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3.56</v>
      </c>
      <c r="CT16" s="12">
        <f>IF('Données projet'!$A$140&gt;35,CT15+CS16-DB15,IF(A16&lt;'Données projet'!$A$140,$CQ$205^A16,IF(A16='Données projet'!$A$140,'Données projet'!$B$140,CT15+CS16-DB15)))</f>
        <v>10.320073811043248</v>
      </c>
      <c r="CU16" s="17">
        <f>CT16*VLOOKUP('Données projet'!$B$13,Paramètres!$A$1:$I$89,3,0)*VLOOKUP('Données projet'!$B$13,Paramètres!$A$1:$I$89,5,0)</f>
        <v>8.049657572613734</v>
      </c>
      <c r="CV16" s="13">
        <f t="shared" si="41"/>
        <v>2.9100267483017022</v>
      </c>
      <c r="CW16" s="20">
        <f t="shared" si="13"/>
        <v>19.088116858927716</v>
      </c>
      <c r="CX16" s="59">
        <f t="shared" si="14"/>
        <v>291.64367241448326</v>
      </c>
      <c r="CY16" s="59">
        <f ca="1">AVERAGE(OFFSET($CX$3,0,0,'Données projet'!$E$13+1,1))-AVERAGE(OFFSET($H$3,0,0,'Données projet'!$E$13+1,1))</f>
        <v>274.37717856763146</v>
      </c>
      <c r="CZ16" s="59">
        <f t="shared" si="42"/>
        <v>264.17357326498581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18.545395640868254</v>
      </c>
      <c r="DQ16" s="13">
        <f t="shared" si="43"/>
        <v>6.0836677168115934</v>
      </c>
      <c r="DR16" s="20">
        <f t="shared" si="16"/>
        <v>42.895618681292397</v>
      </c>
      <c r="DS16" s="59">
        <f t="shared" si="17"/>
        <v>315.45117423684792</v>
      </c>
      <c r="DT16" s="59">
        <f ca="1">AVERAGE(OFFSET($DS$3,0,0,'Données projet'!$E$14+1,1))-AVERAGE(OFFSET($H$3,0,0,'Données projet'!$E$14+1,1))</f>
        <v>304.26232113495314</v>
      </c>
      <c r="DU16" s="59">
        <f t="shared" si="44"/>
        <v>297.47246687305056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296.80372417751374</v>
      </c>
      <c r="S17" s="59">
        <f ca="1">AVERAGE(OFFSET($R$3,0,0,'Données projet'!$E$9+1,1))-AVERAGE(OFFSET($H$3,0,0,'Données projet'!$E$9+1,1))</f>
        <v>344.4940855044307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2.85</v>
      </c>
      <c r="AI17" s="13">
        <f>IF('Données projet'!$A$62&gt;35,AI16+AH17-AQ16,IF(A17&lt;'Données projet'!$A$62,$AF$205^A17,IF(A17='Données projet'!$A$62,'Données projet'!$B$62,AI16+AH17-AQ16)))</f>
        <v>16.94776365704034</v>
      </c>
      <c r="AJ17" s="13">
        <f>AI17*VLOOKUP('Données projet'!$B$10,Paramètres!$A$1:$I$89,3,0)*VLOOKUP('Données projet'!$B$10,Paramètres!$A$1:$I$89,5,0)</f>
        <v>11.368559861142661</v>
      </c>
      <c r="AK17" s="13">
        <f t="shared" si="35"/>
        <v>3.9479659927225663</v>
      </c>
      <c r="AL17" s="20">
        <f t="shared" si="4"/>
        <v>26.676282528815268</v>
      </c>
      <c r="AM17" s="59">
        <f t="shared" si="5"/>
        <v>300.45406030659302</v>
      </c>
      <c r="AN17" s="59">
        <f ca="1">AVERAGE(OFFSET($AM$3,0,0,'Données projet'!$E$10+1,1))-AVERAGE(OFFSET($H$3,0,0,'Données projet'!$E$10+1,1))</f>
        <v>246.71489737733248</v>
      </c>
      <c r="AO17" s="59">
        <f t="shared" si="36"/>
        <v>185.03615139960783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1.8</v>
      </c>
      <c r="BD17" s="12">
        <f>IF('Données projet'!$A$88&gt;35,BD16+BC17-BL16,IF(A17&lt;'Données projet'!$A$88,$BA$205^A17,IF(A17='Données projet'!$A$88,'Données projet'!$B$88,BD16+BC17-BL16)))</f>
        <v>6.4335461589438685</v>
      </c>
      <c r="BE17" s="13">
        <f>BD17*VLOOKUP('Données projet'!$B$11,Paramètres!$A$1:$I$89,3,0)*VLOOKUP('Données projet'!$B$11,Paramètres!$A$1:$I$89,5,0)</f>
        <v>6.2225258449305096</v>
      </c>
      <c r="BF17" s="13">
        <f t="shared" si="37"/>
        <v>2.3179339101797485</v>
      </c>
      <c r="BG17" s="20">
        <f t="shared" si="7"/>
        <v>14.874634073483699</v>
      </c>
      <c r="BH17" s="59">
        <f t="shared" si="8"/>
        <v>288.65241185126149</v>
      </c>
      <c r="BI17" s="59">
        <f ca="1">AVERAGE(OFFSET($BH$3,0,0,'Données projet'!$E$11+1,1))-AVERAGE(OFFSET($H$3,0,0,'Données projet'!$E$11+1,1))</f>
        <v>211.98817606983374</v>
      </c>
      <c r="BJ17" s="59">
        <f t="shared" si="38"/>
        <v>154.0840647586964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1.8</v>
      </c>
      <c r="BY17" s="12">
        <f>IF('Données projet'!$A$114&gt;35,BY16+BX17-CG16,IF(A17&lt;'Données projet'!$A$114,$BV$205^A17,IF(A17='Données projet'!$A$114,'Données projet'!$B$114,BY16+BX17-CG16)))</f>
        <v>6.4335461589438685</v>
      </c>
      <c r="BZ17" s="13">
        <f>BY17*VLOOKUP('Données projet'!$B$12,Paramètres!$A$1:$I$89,3,0)*VLOOKUP('Données projet'!$B$12,Paramètres!$A$1:$I$89,5,0)</f>
        <v>6.9250690854871788</v>
      </c>
      <c r="CA17" s="13">
        <f t="shared" si="39"/>
        <v>2.5477147930141619</v>
      </c>
      <c r="CB17" s="20">
        <f t="shared" si="10"/>
        <v>16.498431921723171</v>
      </c>
      <c r="CC17" s="59">
        <f t="shared" si="11"/>
        <v>290.27620969950095</v>
      </c>
      <c r="CD17" s="59">
        <f ca="1">AVERAGE(OFFSET($CC$3,0,0,'Données projet'!$E$12+1,1))-AVERAGE(OFFSET($H$3,0,0,'Données projet'!$E$12+1,1))</f>
        <v>231.89176215692947</v>
      </c>
      <c r="CE17" s="59">
        <f t="shared" si="40"/>
        <v>166.97658184507787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3.56</v>
      </c>
      <c r="CT17" s="12">
        <f>IF('Données projet'!$A$140&gt;35,CT16+CS17-DB16,IF(A17&lt;'Données projet'!$A$140,$CQ$205^A17,IF(A17='Données projet'!$A$140,'Données projet'!$B$140,CT16+CS17-DB16)))</f>
        <v>12.349756756499216</v>
      </c>
      <c r="CU17" s="17">
        <f>CT17*VLOOKUP('Données projet'!$B$13,Paramètres!$A$1:$I$89,3,0)*VLOOKUP('Données projet'!$B$13,Paramètres!$A$1:$I$89,5,0)</f>
        <v>9.6328102700693883</v>
      </c>
      <c r="CV17" s="13">
        <f t="shared" si="41"/>
        <v>3.4103285541655652</v>
      </c>
      <c r="CW17" s="20">
        <f t="shared" si="13"/>
        <v>22.716800118875877</v>
      </c>
      <c r="CX17" s="59">
        <f t="shared" si="14"/>
        <v>296.49457789665365</v>
      </c>
      <c r="CY17" s="59">
        <f ca="1">AVERAGE(OFFSET($CX$3,0,0,'Données projet'!$E$13+1,1))-AVERAGE(OFFSET($H$3,0,0,'Données projet'!$E$13+1,1))</f>
        <v>274.37717856763146</v>
      </c>
      <c r="CZ17" s="59">
        <f t="shared" si="42"/>
        <v>264.17357326498581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23.592984612449435</v>
      </c>
      <c r="DQ17" s="13">
        <f t="shared" si="43"/>
        <v>7.5256327602279143</v>
      </c>
      <c r="DR17" s="20">
        <f t="shared" si="16"/>
        <v>54.198258590746377</v>
      </c>
      <c r="DS17" s="59">
        <f t="shared" si="17"/>
        <v>327.97603636852415</v>
      </c>
      <c r="DT17" s="59">
        <f ca="1">AVERAGE(OFFSET($DS$3,0,0,'Données projet'!$E$14+1,1))-AVERAGE(OFFSET($H$3,0,0,'Données projet'!$E$14+1,1))</f>
        <v>304.26232113495314</v>
      </c>
      <c r="DU17" s="59">
        <f t="shared" si="44"/>
        <v>297.47246687305056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302.15152669905046</v>
      </c>
      <c r="S18" s="59">
        <f ca="1">AVERAGE(OFFSET($R$3,0,0,'Données projet'!$E$9+1,1))-AVERAGE(OFFSET($H$3,0,0,'Données projet'!$E$9+1,1))</f>
        <v>344.4940855044307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2.85</v>
      </c>
      <c r="AI18" s="13">
        <f>IF('Données projet'!$A$62&gt;35,AI17+AH18-AQ17,IF(A18&lt;'Données projet'!$A$62,$AF$205^A18,IF(A18='Données projet'!$A$62,'Données projet'!$B$62,AI17+AH18-AQ17)))</f>
        <v>20.744651426583019</v>
      </c>
      <c r="AJ18" s="13">
        <f>AI18*VLOOKUP('Données projet'!$B$10,Paramètres!$A$1:$I$89,3,0)*VLOOKUP('Données projet'!$B$10,Paramètres!$A$1:$I$89,5,0)</f>
        <v>13.915512176951887</v>
      </c>
      <c r="AK18" s="13">
        <f t="shared" si="35"/>
        <v>4.7200647265158606</v>
      </c>
      <c r="AL18" s="20">
        <f t="shared" si="4"/>
        <v>32.456963106872998</v>
      </c>
      <c r="AM18" s="59">
        <f t="shared" si="5"/>
        <v>307.45696310687299</v>
      </c>
      <c r="AN18" s="59">
        <f ca="1">AVERAGE(OFFSET($AM$3,0,0,'Données projet'!$E$10+1,1))-AVERAGE(OFFSET($H$3,0,0,'Données projet'!$E$10+1,1))</f>
        <v>246.71489737733248</v>
      </c>
      <c r="AO18" s="59">
        <f t="shared" si="36"/>
        <v>185.03615139960783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1.8</v>
      </c>
      <c r="BD18" s="12">
        <f>IF('Données projet'!$A$88&gt;35,BD17+BC18-BL17,IF(A18&lt;'Données projet'!$A$88,$BA$205^A18,IF(A18='Données projet'!$A$88,'Données projet'!$B$88,BD17+BC18-BL17)))</f>
        <v>7.3484692283495407</v>
      </c>
      <c r="BE18" s="13">
        <f>BD18*VLOOKUP('Données projet'!$B$11,Paramètres!$A$1:$I$89,3,0)*VLOOKUP('Données projet'!$B$11,Paramètres!$A$1:$I$89,5,0)</f>
        <v>7.1074394376596759</v>
      </c>
      <c r="BF18" s="13">
        <f t="shared" si="37"/>
        <v>2.60690869083518</v>
      </c>
      <c r="BG18" s="20">
        <f t="shared" si="7"/>
        <v>16.919156323795203</v>
      </c>
      <c r="BH18" s="59">
        <f t="shared" si="8"/>
        <v>291.91915632379522</v>
      </c>
      <c r="BI18" s="59">
        <f ca="1">AVERAGE(OFFSET($BH$3,0,0,'Données projet'!$E$11+1,1))-AVERAGE(OFFSET($H$3,0,0,'Données projet'!$E$11+1,1))</f>
        <v>211.98817606983374</v>
      </c>
      <c r="BJ18" s="59">
        <f t="shared" si="38"/>
        <v>154.0840647586964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1.8</v>
      </c>
      <c r="BY18" s="12">
        <f>IF('Données projet'!$A$114&gt;35,BY17+BX18-CG17,IF(A18&lt;'Données projet'!$A$114,$BV$205^A18,IF(A18='Données projet'!$A$114,'Données projet'!$B$114,BY17+BX18-CG17)))</f>
        <v>7.3484692283495407</v>
      </c>
      <c r="BZ18" s="13">
        <f>BY18*VLOOKUP('Données projet'!$B$12,Paramètres!$A$1:$I$89,3,0)*VLOOKUP('Données projet'!$B$12,Paramètres!$A$1:$I$89,5,0)</f>
        <v>7.9098922773954454</v>
      </c>
      <c r="CA18" s="13">
        <f t="shared" si="39"/>
        <v>2.8653361541110254</v>
      </c>
      <c r="CB18" s="20">
        <f t="shared" si="10"/>
        <v>18.76685618487377</v>
      </c>
      <c r="CC18" s="59">
        <f t="shared" si="11"/>
        <v>293.76685618487375</v>
      </c>
      <c r="CD18" s="59">
        <f ca="1">AVERAGE(OFFSET($CC$3,0,0,'Données projet'!$E$12+1,1))-AVERAGE(OFFSET($H$3,0,0,'Données projet'!$E$12+1,1))</f>
        <v>231.89176215692947</v>
      </c>
      <c r="CE18" s="59">
        <f t="shared" si="40"/>
        <v>166.97658184507787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3.56</v>
      </c>
      <c r="CT18" s="12">
        <f>IF('Données projet'!$A$140&gt;35,CT17+CS18-DB17,IF(A18&lt;'Données projet'!$A$140,$CQ$205^A18,IF(A18='Données projet'!$A$140,'Données projet'!$B$140,CT17+CS18-DB17)))</f>
        <v>14.778624139441142</v>
      </c>
      <c r="CU18" s="17">
        <f>CT18*VLOOKUP('Données projet'!$B$13,Paramètres!$A$1:$I$89,3,0)*VLOOKUP('Données projet'!$B$13,Paramètres!$A$1:$I$89,5,0)</f>
        <v>11.527326828764091</v>
      </c>
      <c r="CV18" s="13">
        <f t="shared" si="41"/>
        <v>3.9966439669822584</v>
      </c>
      <c r="CW18" s="20">
        <f t="shared" si="13"/>
        <v>27.037582469258226</v>
      </c>
      <c r="CX18" s="59">
        <f t="shared" si="14"/>
        <v>302.03758246925821</v>
      </c>
      <c r="CY18" s="59">
        <f ca="1">AVERAGE(OFFSET($CX$3,0,0,'Données projet'!$E$13+1,1))-AVERAGE(OFFSET($H$3,0,0,'Données projet'!$E$13+1,1))</f>
        <v>274.37717856763146</v>
      </c>
      <c r="CZ18" s="59">
        <f t="shared" si="42"/>
        <v>264.17357326498581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30.014400000000006</v>
      </c>
      <c r="DQ18" s="13">
        <f t="shared" si="43"/>
        <v>9.309375705269078</v>
      </c>
      <c r="DR18" s="20">
        <f t="shared" si="16"/>
        <v>68.488909353343658</v>
      </c>
      <c r="DS18" s="59">
        <f t="shared" si="17"/>
        <v>343.48890935334367</v>
      </c>
      <c r="DT18" s="59">
        <f ca="1">AVERAGE(OFFSET($DS$3,0,0,'Données projet'!$E$14+1,1))-AVERAGE(OFFSET($H$3,0,0,'Données projet'!$E$14+1,1))</f>
        <v>304.26232113495314</v>
      </c>
      <c r="DU18" s="59">
        <f t="shared" si="44"/>
        <v>297.47246687305056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308.24090767423354</v>
      </c>
      <c r="S19" s="59">
        <f ca="1">AVERAGE(OFFSET($R$3,0,0,'Données projet'!$E$9+1,1))-AVERAGE(OFFSET($H$3,0,0,'Données projet'!$E$9+1,1))</f>
        <v>344.4940855044307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2.85</v>
      </c>
      <c r="AI19" s="13">
        <f>IF('Données projet'!$A$62&gt;35,AI18+AH19-AQ18,IF(A19&lt;'Données projet'!$A$62,$AF$205^A19,IF(A19='Données projet'!$A$62,'Données projet'!$B$62,AI18+AH19-AQ18)))</f>
        <v>25.392173948075062</v>
      </c>
      <c r="AJ19" s="13">
        <f>AI19*VLOOKUP('Données projet'!$B$10,Paramètres!$A$1:$I$89,3,0)*VLOOKUP('Données projet'!$B$10,Paramètres!$A$1:$I$89,5,0)</f>
        <v>17.033070284368751</v>
      </c>
      <c r="AK19" s="13">
        <f t="shared" si="35"/>
        <v>5.6431618366437304</v>
      </c>
      <c r="AL19" s="20">
        <f t="shared" si="4"/>
        <v>39.494437610763406</v>
      </c>
      <c r="AM19" s="59">
        <f t="shared" si="5"/>
        <v>315.71665983298561</v>
      </c>
      <c r="AN19" s="59">
        <f ca="1">AVERAGE(OFFSET($AM$3,0,0,'Données projet'!$E$10+1,1))-AVERAGE(OFFSET($H$3,0,0,'Données projet'!$E$10+1,1))</f>
        <v>246.71489737733248</v>
      </c>
      <c r="AO19" s="59">
        <f t="shared" si="36"/>
        <v>185.03615139960783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1.8</v>
      </c>
      <c r="BD19" s="12">
        <f>IF('Données projet'!$A$88&gt;35,BD18+BC19-BL18,IF(A19&lt;'Données projet'!$A$88,$BA$205^A19,IF(A19='Données projet'!$A$88,'Données projet'!$B$88,BD18+BC19-BL18)))</f>
        <v>8.3935047120054769</v>
      </c>
      <c r="BE19" s="13">
        <f>BD19*VLOOKUP('Données projet'!$B$11,Paramètres!$A$1:$I$89,3,0)*VLOOKUP('Données projet'!$B$11,Paramètres!$A$1:$I$89,5,0)</f>
        <v>8.1181977574516981</v>
      </c>
      <c r="BF19" s="13">
        <f t="shared" si="37"/>
        <v>2.9319097030790608</v>
      </c>
      <c r="BG19" s="20">
        <f t="shared" si="7"/>
        <v>19.24560382709107</v>
      </c>
      <c r="BH19" s="59">
        <f t="shared" si="8"/>
        <v>295.46782604931332</v>
      </c>
      <c r="BI19" s="59">
        <f ca="1">AVERAGE(OFFSET($BH$3,0,0,'Données projet'!$E$11+1,1))-AVERAGE(OFFSET($H$3,0,0,'Données projet'!$E$11+1,1))</f>
        <v>211.98817606983374</v>
      </c>
      <c r="BJ19" s="59">
        <f t="shared" si="38"/>
        <v>154.0840647586964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1.8</v>
      </c>
      <c r="BY19" s="12">
        <f>IF('Données projet'!$A$114&gt;35,BY18+BX19-CG18,IF(A19&lt;'Données projet'!$A$114,$BV$205^A19,IF(A19='Données projet'!$A$114,'Données projet'!$B$114,BY18+BX19-CG18)))</f>
        <v>8.3935047120054769</v>
      </c>
      <c r="BZ19" s="13">
        <f>BY19*VLOOKUP('Données projet'!$B$12,Paramètres!$A$1:$I$89,3,0)*VLOOKUP('Données projet'!$B$12,Paramètres!$A$1:$I$89,5,0)</f>
        <v>9.0347684720026944</v>
      </c>
      <c r="CA19" s="13">
        <f t="shared" si="39"/>
        <v>3.2225550907691893</v>
      </c>
      <c r="CB19" s="20">
        <f t="shared" si="10"/>
        <v>21.348171871827699</v>
      </c>
      <c r="CC19" s="59">
        <f t="shared" si="11"/>
        <v>297.5703940940499</v>
      </c>
      <c r="CD19" s="59">
        <f ca="1">AVERAGE(OFFSET($CC$3,0,0,'Données projet'!$E$12+1,1))-AVERAGE(OFFSET($H$3,0,0,'Données projet'!$E$12+1,1))</f>
        <v>231.89176215692947</v>
      </c>
      <c r="CE19" s="59">
        <f t="shared" si="40"/>
        <v>166.97658184507787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3.56</v>
      </c>
      <c r="CT19" s="12">
        <f>IF('Données projet'!$A$140&gt;35,CT18+CS19-DB18,IF(A19&lt;'Données projet'!$A$140,$CQ$205^A19,IF(A19='Données projet'!$A$140,'Données projet'!$B$140,CT18+CS19-DB18)))</f>
        <v>17.68518487944571</v>
      </c>
      <c r="CU19" s="17">
        <f>CT19*VLOOKUP('Données projet'!$B$13,Paramètres!$A$1:$I$89,3,0)*VLOOKUP('Données projet'!$B$13,Paramètres!$A$1:$I$89,5,0)</f>
        <v>13.794444205967654</v>
      </c>
      <c r="CV19" s="13">
        <f t="shared" si="41"/>
        <v>4.6837607418514473</v>
      </c>
      <c r="CW19" s="20">
        <f t="shared" si="13"/>
        <v>32.182873617451598</v>
      </c>
      <c r="CX19" s="59">
        <f t="shared" si="14"/>
        <v>308.40509583967383</v>
      </c>
      <c r="CY19" s="59">
        <f ca="1">AVERAGE(OFFSET($CX$3,0,0,'Données projet'!$E$13+1,1))-AVERAGE(OFFSET($H$3,0,0,'Données projet'!$E$13+1,1))</f>
        <v>274.37717856763146</v>
      </c>
      <c r="CZ19" s="59">
        <f t="shared" si="42"/>
        <v>264.17357326498581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27.256320000000002</v>
      </c>
      <c r="DQ19" s="13">
        <f t="shared" si="43"/>
        <v>8.5493067504276556</v>
      </c>
      <c r="DR19" s="20">
        <f t="shared" si="16"/>
        <v>62.361466590328156</v>
      </c>
      <c r="DS19" s="59">
        <f t="shared" si="17"/>
        <v>338.58368881255041</v>
      </c>
      <c r="DT19" s="59">
        <f ca="1">AVERAGE(OFFSET($DS$3,0,0,'Données projet'!$E$14+1,1))-AVERAGE(OFFSET($H$3,0,0,'Données projet'!$E$14+1,1))</f>
        <v>304.26232113495314</v>
      </c>
      <c r="DU19" s="59">
        <f t="shared" si="44"/>
        <v>297.47246687305056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315.20556786121267</v>
      </c>
      <c r="S20" s="59">
        <f ca="1">AVERAGE(OFFSET($R$3,0,0,'Données projet'!$E$9+1,1))-AVERAGE(OFFSET($H$3,0,0,'Données projet'!$E$9+1,1))</f>
        <v>344.4940855044307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2.85</v>
      </c>
      <c r="AI20" s="13">
        <f>IF('Données projet'!$A$62&gt;35,AI19+AH20-AQ19,IF(A20&lt;'Données projet'!$A$62,$AF$205^A20,IF(A20='Données projet'!$A$62,'Données projet'!$B$62,AI19+AH20-AQ19)))</f>
        <v>31.080902954246678</v>
      </c>
      <c r="AJ20" s="13">
        <f>AI20*VLOOKUP('Données projet'!$B$10,Paramètres!$A$1:$I$89,3,0)*VLOOKUP('Données projet'!$B$10,Paramètres!$A$1:$I$89,5,0)</f>
        <v>20.849069701708672</v>
      </c>
      <c r="AK20" s="13">
        <f t="shared" si="35"/>
        <v>6.7467878852710115</v>
      </c>
      <c r="AL20" s="20">
        <f t="shared" si="4"/>
        <v>48.062785297322939</v>
      </c>
      <c r="AM20" s="59">
        <f t="shared" si="5"/>
        <v>325.50722974176739</v>
      </c>
      <c r="AN20" s="59">
        <f ca="1">AVERAGE(OFFSET($AM$3,0,0,'Données projet'!$E$10+1,1))-AVERAGE(OFFSET($H$3,0,0,'Données projet'!$E$10+1,1))</f>
        <v>246.71489737733248</v>
      </c>
      <c r="AO20" s="59">
        <f t="shared" si="36"/>
        <v>185.03615139960783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1.8</v>
      </c>
      <c r="BD20" s="12">
        <f>IF('Données projet'!$A$88&gt;35,BD19+BC20-BL19,IF(A20&lt;'Données projet'!$A$88,$BA$205^A20,IF(A20='Données projet'!$A$88,'Données projet'!$B$88,BD19+BC20-BL19)))</f>
        <v>9.5871560676428587</v>
      </c>
      <c r="BE20" s="13">
        <f>BD20*VLOOKUP('Données projet'!$B$11,Paramètres!$A$1:$I$89,3,0)*VLOOKUP('Données projet'!$B$11,Paramètres!$A$1:$I$89,5,0)</f>
        <v>9.2726973486241739</v>
      </c>
      <c r="BF20" s="13">
        <f t="shared" si="37"/>
        <v>3.2974283054981877</v>
      </c>
      <c r="BG20" s="20">
        <f t="shared" si="7"/>
        <v>21.892968847596446</v>
      </c>
      <c r="BH20" s="59">
        <f t="shared" si="8"/>
        <v>299.33741329204088</v>
      </c>
      <c r="BI20" s="59">
        <f ca="1">AVERAGE(OFFSET($BH$3,0,0,'Données projet'!$E$11+1,1))-AVERAGE(OFFSET($H$3,0,0,'Données projet'!$E$11+1,1))</f>
        <v>211.98817606983374</v>
      </c>
      <c r="BJ20" s="59">
        <f t="shared" si="38"/>
        <v>154.0840647586964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1.8</v>
      </c>
      <c r="BY20" s="12">
        <f>IF('Données projet'!$A$114&gt;35,BY19+BX20-CG19,IF(A20&lt;'Données projet'!$A$114,$BV$205^A20,IF(A20='Données projet'!$A$114,'Données projet'!$B$114,BY19+BX20-CG19)))</f>
        <v>9.5871560676428587</v>
      </c>
      <c r="BZ20" s="13">
        <f>BY20*VLOOKUP('Données projet'!$B$12,Paramètres!$A$1:$I$89,3,0)*VLOOKUP('Données projet'!$B$12,Paramètres!$A$1:$I$89,5,0)</f>
        <v>10.319614791210773</v>
      </c>
      <c r="CA20" s="13">
        <f t="shared" si="39"/>
        <v>3.6243081978855423</v>
      </c>
      <c r="CB20" s="20">
        <f t="shared" si="10"/>
        <v>24.285665872676081</v>
      </c>
      <c r="CC20" s="59">
        <f t="shared" si="11"/>
        <v>301.73011031712053</v>
      </c>
      <c r="CD20" s="59">
        <f ca="1">AVERAGE(OFFSET($CC$3,0,0,'Données projet'!$E$12+1,1))-AVERAGE(OFFSET($H$3,0,0,'Données projet'!$E$12+1,1))</f>
        <v>231.89176215692947</v>
      </c>
      <c r="CE20" s="59">
        <f t="shared" si="40"/>
        <v>166.97658184507787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3.56</v>
      </c>
      <c r="CT20" s="12">
        <f>IF('Données projet'!$A$140&gt;35,CT19+CS20-DB19,IF(A20&lt;'Données projet'!$A$140,$CQ$205^A20,IF(A20='Données projet'!$A$140,'Données projet'!$B$140,CT19+CS20-DB19)))</f>
        <v>21.163388504175224</v>
      </c>
      <c r="CU20" s="17">
        <f>CT20*VLOOKUP('Données projet'!$B$13,Paramètres!$A$1:$I$89,3,0)*VLOOKUP('Données projet'!$B$13,Paramètres!$A$1:$I$89,5,0)</f>
        <v>16.507443033256674</v>
      </c>
      <c r="CV20" s="13">
        <f t="shared" si="41"/>
        <v>5.4890089955831698</v>
      </c>
      <c r="CW20" s="20">
        <f t="shared" si="13"/>
        <v>38.310487283562729</v>
      </c>
      <c r="CX20" s="59">
        <f t="shared" si="14"/>
        <v>315.75493172800719</v>
      </c>
      <c r="CY20" s="59">
        <f ca="1">AVERAGE(OFFSET($CX$3,0,0,'Données projet'!$E$13+1,1))-AVERAGE(OFFSET($H$3,0,0,'Données projet'!$E$13+1,1))</f>
        <v>274.37717856763146</v>
      </c>
      <c r="CZ20" s="59">
        <f t="shared" si="42"/>
        <v>264.17357326498581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36.666240000000002</v>
      </c>
      <c r="DQ20" s="13">
        <f t="shared" si="43"/>
        <v>11.110608259650514</v>
      </c>
      <c r="DR20" s="20">
        <f t="shared" si="16"/>
        <v>83.211344052224646</v>
      </c>
      <c r="DS20" s="59">
        <f t="shared" si="17"/>
        <v>360.65578849666912</v>
      </c>
      <c r="DT20" s="59">
        <f ca="1">AVERAGE(OFFSET($DS$3,0,0,'Données projet'!$E$14+1,1))-AVERAGE(OFFSET($H$3,0,0,'Données projet'!$E$14+1,1))</f>
        <v>304.26232113495314</v>
      </c>
      <c r="DU20" s="59">
        <f t="shared" si="44"/>
        <v>297.47246687305056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323.20338017372916</v>
      </c>
      <c r="S21" s="59">
        <f ca="1">AVERAGE(OFFSET($R$3,0,0,'Données projet'!$E$9+1,1))-AVERAGE(OFFSET($H$3,0,0,'Données projet'!$E$9+1,1))</f>
        <v>344.4940855044307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2.85</v>
      </c>
      <c r="AI21" s="13">
        <f>IF('Données projet'!$A$62&gt;35,AI20+AH21-AQ20,IF(A21&lt;'Données projet'!$A$62,$AF$205^A21,IF(A21='Données projet'!$A$62,'Données projet'!$B$62,AI20+AH21-AQ20)))</f>
        <v>38.044104865803838</v>
      </c>
      <c r="AJ21" s="13">
        <f>AI21*VLOOKUP('Données projet'!$B$10,Paramètres!$A$1:$I$89,3,0)*VLOOKUP('Données projet'!$B$10,Paramètres!$A$1:$I$89,5,0)</f>
        <v>25.519985543981218</v>
      </c>
      <c r="AK21" s="13">
        <f t="shared" si="35"/>
        <v>8.066248689389381</v>
      </c>
      <c r="AL21" s="20">
        <f t="shared" si="4"/>
        <v>58.496024623120455</v>
      </c>
      <c r="AM21" s="59">
        <f t="shared" si="5"/>
        <v>337.16269128978712</v>
      </c>
      <c r="AN21" s="59">
        <f ca="1">AVERAGE(OFFSET($AM$3,0,0,'Données projet'!$E$10+1,1))-AVERAGE(OFFSET($H$3,0,0,'Données projet'!$E$10+1,1))</f>
        <v>246.71489737733248</v>
      </c>
      <c r="AO21" s="59">
        <f t="shared" si="36"/>
        <v>185.03615139960783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1.8</v>
      </c>
      <c r="BD21" s="12">
        <f>IF('Données projet'!$A$88&gt;35,BD20+BC21-BL20,IF(A21&lt;'Données projet'!$A$88,$BA$205^A21,IF(A21='Données projet'!$A$88,'Données projet'!$B$88,BD20+BC21-BL20)))</f>
        <v>10.950558154077715</v>
      </c>
      <c r="BE21" s="13">
        <f>BD21*VLOOKUP('Données projet'!$B$11,Paramètres!$A$1:$I$89,3,0)*VLOOKUP('Données projet'!$B$11,Paramètres!$A$1:$I$89,5,0)</f>
        <v>10.591379846623965</v>
      </c>
      <c r="BF21" s="13">
        <f t="shared" si="37"/>
        <v>3.7085157904016968</v>
      </c>
      <c r="BG21" s="20">
        <f t="shared" si="7"/>
        <v>24.905651567819692</v>
      </c>
      <c r="BH21" s="59">
        <f t="shared" si="8"/>
        <v>303.57231823448637</v>
      </c>
      <c r="BI21" s="59">
        <f ca="1">AVERAGE(OFFSET($BH$3,0,0,'Données projet'!$E$11+1,1))-AVERAGE(OFFSET($H$3,0,0,'Données projet'!$E$11+1,1))</f>
        <v>211.98817606983374</v>
      </c>
      <c r="BJ21" s="59">
        <f t="shared" si="38"/>
        <v>154.0840647586964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1.8</v>
      </c>
      <c r="BY21" s="12">
        <f>IF('Données projet'!$A$114&gt;35,BY20+BX21-CG20,IF(A21&lt;'Données projet'!$A$114,$BV$205^A21,IF(A21='Données projet'!$A$114,'Données projet'!$B$114,BY20+BX21-CG20)))</f>
        <v>10.950558154077715</v>
      </c>
      <c r="BZ21" s="13">
        <f>BY21*VLOOKUP('Données projet'!$B$12,Paramètres!$A$1:$I$89,3,0)*VLOOKUP('Données projet'!$B$12,Paramètres!$A$1:$I$89,5,0)</f>
        <v>11.787180797049253</v>
      </c>
      <c r="CA21" s="13">
        <f t="shared" si="39"/>
        <v>4.0761475112982524</v>
      </c>
      <c r="CB21" s="20">
        <f t="shared" si="10"/>
        <v>27.62863013703857</v>
      </c>
      <c r="CC21" s="59">
        <f t="shared" si="11"/>
        <v>306.29529680370524</v>
      </c>
      <c r="CD21" s="59">
        <f ca="1">AVERAGE(OFFSET($CC$3,0,0,'Données projet'!$E$12+1,1))-AVERAGE(OFFSET($H$3,0,0,'Données projet'!$E$12+1,1))</f>
        <v>231.89176215692947</v>
      </c>
      <c r="CE21" s="59">
        <f t="shared" si="40"/>
        <v>166.97658184507787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3.56</v>
      </c>
      <c r="CT21" s="12">
        <f>IF('Données projet'!$A$140&gt;35,CT20+CS21-DB20,IF(A21&lt;'Données projet'!$A$140,$CQ$205^A21,IF(A21='Données projet'!$A$140,'Données projet'!$B$140,CT20+CS21-DB20)))</f>
        <v>25.325661904683113</v>
      </c>
      <c r="CU21" s="17">
        <f>CT21*VLOOKUP('Données projet'!$B$13,Paramètres!$A$1:$I$89,3,0)*VLOOKUP('Données projet'!$B$13,Paramètres!$A$1:$I$89,5,0)</f>
        <v>19.754016285652828</v>
      </c>
      <c r="CV21" s="13">
        <f t="shared" si="41"/>
        <v>6.4326982982660121</v>
      </c>
      <c r="CW21" s="20">
        <f t="shared" si="13"/>
        <v>45.608527900325306</v>
      </c>
      <c r="CX21" s="59">
        <f t="shared" si="14"/>
        <v>324.27519456699201</v>
      </c>
      <c r="CY21" s="59">
        <f ca="1">AVERAGE(OFFSET($CX$3,0,0,'Données projet'!$E$13+1,1))-AVERAGE(OFFSET($H$3,0,0,'Données projet'!$E$13+1,1))</f>
        <v>274.37717856763146</v>
      </c>
      <c r="CZ21" s="59">
        <f t="shared" si="42"/>
        <v>264.17357326498581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46.076160000000009</v>
      </c>
      <c r="DQ21" s="13">
        <f t="shared" si="43"/>
        <v>13.595641486972058</v>
      </c>
      <c r="DR21" s="20">
        <f t="shared" si="16"/>
        <v>103.92838758980967</v>
      </c>
      <c r="DS21" s="59">
        <f t="shared" si="17"/>
        <v>382.59505425647637</v>
      </c>
      <c r="DT21" s="59">
        <f ca="1">AVERAGE(OFFSET($DS$3,0,0,'Données projet'!$E$14+1,1))-AVERAGE(OFFSET($H$3,0,0,'Données projet'!$E$14+1,1))</f>
        <v>304.26232113495314</v>
      </c>
      <c r="DU21" s="59">
        <f t="shared" si="44"/>
        <v>297.47246687305056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332.42077098296102</v>
      </c>
      <c r="S22" s="59">
        <f ca="1">AVERAGE(OFFSET($R$3,0,0,'Données projet'!$E$9+1,1))-AVERAGE(OFFSET($H$3,0,0,'Données projet'!$E$9+1,1))</f>
        <v>344.4940855044307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2.85</v>
      </c>
      <c r="AI22" s="13">
        <f>IF('Données projet'!$A$62&gt;35,AI21+AH22-AQ21,IF(A22&lt;'Données projet'!$A$62,$AF$205^A22,IF(A22='Données projet'!$A$62,'Données projet'!$B$62,AI21+AH22-AQ21)))</f>
        <v>46.567305884609858</v>
      </c>
      <c r="AJ22" s="13">
        <f>AI22*VLOOKUP('Données projet'!$B$10,Paramètres!$A$1:$I$89,3,0)*VLOOKUP('Données projet'!$B$10,Paramètres!$A$1:$I$89,5,0)</f>
        <v>31.237348787396293</v>
      </c>
      <c r="AK22" s="13">
        <f t="shared" si="35"/>
        <v>9.6437547801256205</v>
      </c>
      <c r="AL22" s="20">
        <f t="shared" si="4"/>
        <v>71.201255380100662</v>
      </c>
      <c r="AM22" s="59">
        <f t="shared" si="5"/>
        <v>351.09014426898955</v>
      </c>
      <c r="AN22" s="59">
        <f ca="1">AVERAGE(OFFSET($AM$3,0,0,'Données projet'!$E$10+1,1))-AVERAGE(OFFSET($H$3,0,0,'Données projet'!$E$10+1,1))</f>
        <v>246.71489737733248</v>
      </c>
      <c r="AO22" s="59">
        <f t="shared" si="36"/>
        <v>185.03615139960783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1.8</v>
      </c>
      <c r="BD22" s="12">
        <f>IF('Données projet'!$A$88&gt;35,BD21+BC22-BL21,IF(A22&lt;'Données projet'!$A$88,$BA$205^A22,IF(A22='Données projet'!$A$88,'Données projet'!$B$88,BD21+BC22-BL21)))</f>
        <v>12.507851446223583</v>
      </c>
      <c r="BE22" s="13">
        <f>BD22*VLOOKUP('Données projet'!$B$11,Paramètres!$A$1:$I$89,3,0)*VLOOKUP('Données projet'!$B$11,Paramètres!$A$1:$I$89,5,0)</f>
        <v>12.097593918787449</v>
      </c>
      <c r="BF22" s="13">
        <f t="shared" si="37"/>
        <v>4.1708531902654524</v>
      </c>
      <c r="BG22" s="20">
        <f t="shared" si="7"/>
        <v>28.334212048267133</v>
      </c>
      <c r="BH22" s="59">
        <f t="shared" si="8"/>
        <v>308.223100937156</v>
      </c>
      <c r="BI22" s="59">
        <f ca="1">AVERAGE(OFFSET($BH$3,0,0,'Données projet'!$E$11+1,1))-AVERAGE(OFFSET($H$3,0,0,'Données projet'!$E$11+1,1))</f>
        <v>211.98817606983374</v>
      </c>
      <c r="BJ22" s="59">
        <f t="shared" si="38"/>
        <v>154.0840647586964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1.8</v>
      </c>
      <c r="BY22" s="12">
        <f>IF('Données projet'!$A$114&gt;35,BY21+BX22-CG21,IF(A22&lt;'Données projet'!$A$114,$BV$205^A22,IF(A22='Données projet'!$A$114,'Données projet'!$B$114,BY21+BX22-CG21)))</f>
        <v>12.507851446223583</v>
      </c>
      <c r="BZ22" s="13">
        <f>BY22*VLOOKUP('Données projet'!$B$12,Paramètres!$A$1:$I$89,3,0)*VLOOKUP('Données projet'!$B$12,Paramètres!$A$1:$I$89,5,0)</f>
        <v>13.463451296715064</v>
      </c>
      <c r="CA22" s="13">
        <f t="shared" si="39"/>
        <v>4.5843172342672958</v>
      </c>
      <c r="CB22" s="20">
        <f t="shared" si="10"/>
        <v>31.433196858127605</v>
      </c>
      <c r="CC22" s="59">
        <f t="shared" si="11"/>
        <v>311.32208574701644</v>
      </c>
      <c r="CD22" s="59">
        <f ca="1">AVERAGE(OFFSET($CC$3,0,0,'Données projet'!$E$12+1,1))-AVERAGE(OFFSET($H$3,0,0,'Données projet'!$E$12+1,1))</f>
        <v>231.89176215692947</v>
      </c>
      <c r="CE22" s="59">
        <f t="shared" si="40"/>
        <v>166.97658184507787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3.56</v>
      </c>
      <c r="CT22" s="12">
        <f>IF('Données projet'!$A$140&gt;35,CT21+CS22-DB21,IF(A22&lt;'Données projet'!$A$140,$CQ$205^A22,IF(A22='Données projet'!$A$140,'Données projet'!$B$140,CT21+CS22-DB21)))</f>
        <v>30.306543339398647</v>
      </c>
      <c r="CU22" s="17">
        <f>CT22*VLOOKUP('Données projet'!$B$13,Paramètres!$A$1:$I$89,3,0)*VLOOKUP('Données projet'!$B$13,Paramètres!$A$1:$I$89,5,0)</f>
        <v>23.639103804730947</v>
      </c>
      <c r="CV22" s="13">
        <f t="shared" si="41"/>
        <v>7.5386299111208031</v>
      </c>
      <c r="CW22" s="20">
        <f t="shared" si="13"/>
        <v>54.301219555108467</v>
      </c>
      <c r="CX22" s="59">
        <f t="shared" si="14"/>
        <v>334.1901084439973</v>
      </c>
      <c r="CY22" s="59">
        <f ca="1">AVERAGE(OFFSET($CX$3,0,0,'Données projet'!$E$13+1,1))-AVERAGE(OFFSET($H$3,0,0,'Données projet'!$E$13+1,1))</f>
        <v>274.37717856763146</v>
      </c>
      <c r="CZ22" s="59">
        <f t="shared" si="42"/>
        <v>264.17357326498581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55.486080000000008</v>
      </c>
      <c r="DQ22" s="13">
        <f t="shared" si="43"/>
        <v>16.021865657934267</v>
      </c>
      <c r="DR22" s="20">
        <f t="shared" si="16"/>
        <v>124.54300535423552</v>
      </c>
      <c r="DS22" s="59">
        <f t="shared" si="17"/>
        <v>404.43189424312436</v>
      </c>
      <c r="DT22" s="59">
        <f ca="1">AVERAGE(OFFSET($DS$3,0,0,'Données projet'!$E$14+1,1))-AVERAGE(OFFSET($H$3,0,0,'Données projet'!$E$14+1,1))</f>
        <v>304.26232113495314</v>
      </c>
      <c r="DU22" s="59">
        <f t="shared" si="44"/>
        <v>297.47246687305056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343.07789739847863</v>
      </c>
      <c r="S23" s="59">
        <f ca="1">AVERAGE(OFFSET($R$3,0,0,'Données projet'!$E$9+1,1))-AVERAGE(OFFSET($H$3,0,0,'Données projet'!$E$9+1,1))</f>
        <v>344.4940855044307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57</v>
      </c>
      <c r="AG23" s="12">
        <f>VLOOKUP(A23,'Données projet'!$A$61:$I$81,9,0)</f>
        <v>2.85</v>
      </c>
      <c r="AH23" s="12">
        <f t="array" ref="AH23">INDEX(AG:AG,MIN(IF(ISNUMBER(AG23:AG219),ROW(AG23:AG219),"")))</f>
        <v>2.85</v>
      </c>
      <c r="AI23" s="13">
        <f>IF('Données projet'!$A$62&gt;35,AI22+AH23-AQ22,IF(A23&lt;'Données projet'!$A$62,$AF$205^A23,IF(A23='Données projet'!$A$62,'Données projet'!$B$62,AI22+AH23-AQ22)))</f>
        <v>57</v>
      </c>
      <c r="AJ23" s="13">
        <f>AI23*VLOOKUP('Données projet'!$B$10,Paramètres!$A$1:$I$89,3,0)*VLOOKUP('Données projet'!$B$10,Paramètres!$A$1:$I$89,5,0)</f>
        <v>38.235599999999998</v>
      </c>
      <c r="AK23" s="13">
        <f t="shared" si="35"/>
        <v>11.529771748983352</v>
      </c>
      <c r="AL23" s="20">
        <f t="shared" si="4"/>
        <v>86.674689129479319</v>
      </c>
      <c r="AM23" s="59">
        <f t="shared" si="5"/>
        <v>367.78580024059045</v>
      </c>
      <c r="AN23" s="59">
        <f ca="1">AVERAGE(OFFSET($AM$3,0,0,'Données projet'!$E$10+1,1))-AVERAGE(OFFSET($H$3,0,0,'Données projet'!$E$10+1,1))</f>
        <v>246.71489737733248</v>
      </c>
      <c r="AO23" s="59">
        <f t="shared" si="36"/>
        <v>185.03615139960783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1.8</v>
      </c>
      <c r="BD23" s="12">
        <f>IF('Données projet'!$A$88&gt;35,BD22+BC23-BL22,IF(A23&lt;'Données projet'!$A$88,$BA$205^A23,IF(A23='Données projet'!$A$88,'Données projet'!$B$88,BD22+BC23-BL22)))</f>
        <v>14.286609467713813</v>
      </c>
      <c r="BE23" s="13">
        <f>BD23*VLOOKUP('Données projet'!$B$11,Paramètres!$A$1:$I$89,3,0)*VLOOKUP('Données projet'!$B$11,Paramètres!$A$1:$I$89,5,0)</f>
        <v>13.8180086771728</v>
      </c>
      <c r="BF23" s="13">
        <f t="shared" si="37"/>
        <v>4.6908297868844215</v>
      </c>
      <c r="BG23" s="20">
        <f t="shared" si="7"/>
        <v>32.236226991566326</v>
      </c>
      <c r="BH23" s="59">
        <f t="shared" si="8"/>
        <v>313.34733810267744</v>
      </c>
      <c r="BI23" s="59">
        <f ca="1">AVERAGE(OFFSET($BH$3,0,0,'Données projet'!$E$11+1,1))-AVERAGE(OFFSET($H$3,0,0,'Données projet'!$E$11+1,1))</f>
        <v>211.98817606983374</v>
      </c>
      <c r="BJ23" s="59">
        <f t="shared" si="38"/>
        <v>154.0840647586964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1.8</v>
      </c>
      <c r="BY23" s="12">
        <f>IF('Données projet'!$A$114&gt;35,BY22+BX23-CG22,IF(A23&lt;'Données projet'!$A$114,$BV$205^A23,IF(A23='Données projet'!$A$114,'Données projet'!$B$114,BY22+BX23-CG22)))</f>
        <v>14.286609467713813</v>
      </c>
      <c r="BZ23" s="13">
        <f>BY23*VLOOKUP('Données projet'!$B$12,Paramètres!$A$1:$I$89,3,0)*VLOOKUP('Données projet'!$B$12,Paramètres!$A$1:$I$89,5,0)</f>
        <v>15.378106431047147</v>
      </c>
      <c r="CA23" s="13">
        <f t="shared" si="39"/>
        <v>5.1558400293777824</v>
      </c>
      <c r="CB23" s="20">
        <f t="shared" si="10"/>
        <v>35.763290085240087</v>
      </c>
      <c r="CC23" s="59">
        <f t="shared" si="11"/>
        <v>316.87440119635124</v>
      </c>
      <c r="CD23" s="59">
        <f ca="1">AVERAGE(OFFSET($CC$3,0,0,'Données projet'!$E$12+1,1))-AVERAGE(OFFSET($H$3,0,0,'Données projet'!$E$12+1,1))</f>
        <v>231.89176215692947</v>
      </c>
      <c r="CE23" s="59">
        <f t="shared" si="40"/>
        <v>166.97658184507787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3.56</v>
      </c>
      <c r="CT23" s="12">
        <f>IF('Données projet'!$A$140&gt;35,CT22+CS23-DB22,IF(A23&lt;'Données projet'!$A$140,$CQ$205^A23,IF(A23='Données projet'!$A$140,'Données projet'!$B$140,CT22+CS23-DB22)))</f>
        <v>36.267031149657967</v>
      </c>
      <c r="CU23" s="17">
        <f>CT23*VLOOKUP('Données projet'!$B$13,Paramètres!$A$1:$I$89,3,0)*VLOOKUP('Données projet'!$B$13,Paramètres!$A$1:$I$89,5,0)</f>
        <v>28.288284296733217</v>
      </c>
      <c r="CV23" s="13">
        <f t="shared" si="41"/>
        <v>8.834697090047662</v>
      </c>
      <c r="CW23" s="20">
        <f t="shared" si="13"/>
        <v>64.655859248643353</v>
      </c>
      <c r="CX23" s="59">
        <f t="shared" si="14"/>
        <v>345.76697035975451</v>
      </c>
      <c r="CY23" s="59">
        <f ca="1">AVERAGE(OFFSET($CX$3,0,0,'Données projet'!$E$13+1,1))-AVERAGE(OFFSET($H$3,0,0,'Données projet'!$E$13+1,1))</f>
        <v>274.37717856763146</v>
      </c>
      <c r="CZ23" s="59">
        <f t="shared" si="42"/>
        <v>264.17357326498581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64.896000000000001</v>
      </c>
      <c r="DQ23" s="13">
        <f t="shared" si="43"/>
        <v>18.400423846102964</v>
      </c>
      <c r="DR23" s="20">
        <f t="shared" si="16"/>
        <v>145.07460486529598</v>
      </c>
      <c r="DS23" s="59">
        <f t="shared" si="17"/>
        <v>426.1857159764071</v>
      </c>
      <c r="DT23" s="59">
        <f ca="1">AVERAGE(OFFSET($DS$3,0,0,'Données projet'!$E$14+1,1))-AVERAGE(OFFSET($H$3,0,0,'Données projet'!$E$14+1,1))</f>
        <v>304.26232113495314</v>
      </c>
      <c r="DU23" s="59">
        <f t="shared" si="44"/>
        <v>297.47246687305056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355.4347654452813</v>
      </c>
      <c r="S24" s="59">
        <f ca="1">AVERAGE(OFFSET($R$3,0,0,'Données projet'!$E$9+1,1))-AVERAGE(OFFSET($H$3,0,0,'Données projet'!$E$9+1,1))</f>
        <v>344.4940855044307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6.6</v>
      </c>
      <c r="AI24" s="13">
        <f>IF('Données projet'!$A$62&gt;35,AI23+AH24-AQ23,IF(A24&lt;'Données projet'!$A$62,$AF$205^A24,IF(A24='Données projet'!$A$62,'Données projet'!$B$62,AI23+AH24-AQ23)))</f>
        <v>52.6</v>
      </c>
      <c r="AJ24" s="13">
        <f>AI24*VLOOKUP('Données projet'!$B$10,Paramètres!$A$1:$I$89,3,0)*VLOOKUP('Données projet'!$B$10,Paramètres!$A$1:$I$89,5,0)</f>
        <v>35.284079999999996</v>
      </c>
      <c r="AK24" s="13">
        <f t="shared" si="35"/>
        <v>10.739713373406857</v>
      </c>
      <c r="AL24" s="20">
        <f t="shared" si="4"/>
        <v>80.158106792016937</v>
      </c>
      <c r="AM24" s="59">
        <f t="shared" si="5"/>
        <v>362.49144012535027</v>
      </c>
      <c r="AN24" s="59">
        <f ca="1">AVERAGE(OFFSET($AM$3,0,0,'Données projet'!$E$10+1,1))-AVERAGE(OFFSET($H$3,0,0,'Données projet'!$E$10+1,1))</f>
        <v>246.71489737733248</v>
      </c>
      <c r="AO24" s="59">
        <f t="shared" si="36"/>
        <v>185.03615139960783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1.8</v>
      </c>
      <c r="BD24" s="12">
        <f>IF('Données projet'!$A$88&gt;35,BD23+BC24-BL23,IF(A24&lt;'Données projet'!$A$88,$BA$205^A24,IF(A24='Données projet'!$A$88,'Données projet'!$B$88,BD23+BC24-BL23)))</f>
        <v>16.31832700927982</v>
      </c>
      <c r="BE24" s="13">
        <f>BD24*VLOOKUP('Données projet'!$B$11,Paramètres!$A$1:$I$89,3,0)*VLOOKUP('Données projet'!$B$11,Paramètres!$A$1:$I$89,5,0)</f>
        <v>15.78308588337544</v>
      </c>
      <c r="BF24" s="13">
        <f t="shared" si="37"/>
        <v>5.275631408191984</v>
      </c>
      <c r="BG24" s="20">
        <f t="shared" si="7"/>
        <v>36.677265949479931</v>
      </c>
      <c r="BH24" s="59">
        <f t="shared" si="8"/>
        <v>319.01059928281325</v>
      </c>
      <c r="BI24" s="59">
        <f ca="1">AVERAGE(OFFSET($BH$3,0,0,'Données projet'!$E$11+1,1))-AVERAGE(OFFSET($H$3,0,0,'Données projet'!$E$11+1,1))</f>
        <v>211.98817606983374</v>
      </c>
      <c r="BJ24" s="59">
        <f t="shared" si="38"/>
        <v>154.0840647586964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1.8</v>
      </c>
      <c r="BY24" s="12">
        <f>IF('Données projet'!$A$114&gt;35,BY23+BX24-CG23,IF(A24&lt;'Données projet'!$A$114,$BV$205^A24,IF(A24='Données projet'!$A$114,'Données projet'!$B$114,BY23+BX24-CG23)))</f>
        <v>16.31832700927982</v>
      </c>
      <c r="BZ24" s="13">
        <f>BY24*VLOOKUP('Données projet'!$B$12,Paramètres!$A$1:$I$89,3,0)*VLOOKUP('Données projet'!$B$12,Paramètres!$A$1:$I$89,5,0)</f>
        <v>17.565047192788796</v>
      </c>
      <c r="CA24" s="13">
        <f t="shared" si="39"/>
        <v>5.7986140683789227</v>
      </c>
      <c r="CB24" s="20">
        <f t="shared" si="10"/>
        <v>40.691710029867117</v>
      </c>
      <c r="CC24" s="59">
        <f t="shared" si="11"/>
        <v>323.02504336320044</v>
      </c>
      <c r="CD24" s="59">
        <f ca="1">AVERAGE(OFFSET($CC$3,0,0,'Données projet'!$E$12+1,1))-AVERAGE(OFFSET($H$3,0,0,'Données projet'!$E$12+1,1))</f>
        <v>231.89176215692947</v>
      </c>
      <c r="CE24" s="59">
        <f t="shared" si="40"/>
        <v>166.97658184507787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3.56</v>
      </c>
      <c r="CT24" s="12">
        <f>IF('Données projet'!$A$140&gt;35,CT23+CS24-DB23,IF(A24&lt;'Données projet'!$A$140,$CQ$205^A24,IF(A24='Données projet'!$A$140,'Données projet'!$B$140,CT23+CS24-DB23)))</f>
        <v>43.399787751457886</v>
      </c>
      <c r="CU24" s="17">
        <f>CT24*VLOOKUP('Données projet'!$B$13,Paramètres!$A$1:$I$89,3,0)*VLOOKUP('Données projet'!$B$13,Paramètres!$A$1:$I$89,5,0)</f>
        <v>33.851834446137154</v>
      </c>
      <c r="CV24" s="13">
        <f t="shared" si="41"/>
        <v>10.353588595423204</v>
      </c>
      <c r="CW24" s="20">
        <f t="shared" si="13"/>
        <v>76.991111797384278</v>
      </c>
      <c r="CX24" s="59">
        <f t="shared" si="14"/>
        <v>359.32444513071761</v>
      </c>
      <c r="CY24" s="59">
        <f ca="1">AVERAGE(OFFSET($CX$3,0,0,'Données projet'!$E$13+1,1))-AVERAGE(OFFSET($H$3,0,0,'Données projet'!$E$13+1,1))</f>
        <v>274.37717856763146</v>
      </c>
      <c r="CZ24" s="59">
        <f t="shared" si="42"/>
        <v>264.17357326498581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52.40352</v>
      </c>
      <c r="DQ24" s="13">
        <f t="shared" si="43"/>
        <v>15.232772897226488</v>
      </c>
      <c r="DR24" s="20">
        <f t="shared" si="16"/>
        <v>117.79987679600281</v>
      </c>
      <c r="DS24" s="59">
        <f t="shared" si="17"/>
        <v>400.13321012933613</v>
      </c>
      <c r="DT24" s="59">
        <f ca="1">AVERAGE(OFFSET($DS$3,0,0,'Données projet'!$E$14+1,1))-AVERAGE(OFFSET($H$3,0,0,'Données projet'!$E$14+1,1))</f>
        <v>304.26232113495314</v>
      </c>
      <c r="DU24" s="59">
        <f t="shared" si="44"/>
        <v>297.47246687305056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369.7984604882671</v>
      </c>
      <c r="S25" s="59">
        <f ca="1">AVERAGE(OFFSET($R$3,0,0,'Données projet'!$E$9+1,1))-AVERAGE(OFFSET($H$3,0,0,'Données projet'!$E$9+1,1))</f>
        <v>344.4940855044307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6.6</v>
      </c>
      <c r="AI25" s="13">
        <f>IF('Données projet'!$A$62&gt;35,AI24+AH25-AQ24,IF(A25&lt;'Données projet'!$A$62,$AF$205^A25,IF(A25='Données projet'!$A$62,'Données projet'!$B$62,AI24+AH25-AQ24)))</f>
        <v>59.2</v>
      </c>
      <c r="AJ25" s="13">
        <f>AI25*VLOOKUP('Données projet'!$B$10,Paramètres!$A$1:$I$89,3,0)*VLOOKUP('Données projet'!$B$10,Paramètres!$A$1:$I$89,5,0)</f>
        <v>39.711359999999999</v>
      </c>
      <c r="AK25" s="13">
        <f t="shared" si="35"/>
        <v>11.922110626785175</v>
      </c>
      <c r="AL25" s="20">
        <f t="shared" si="4"/>
        <v>89.928294674984173</v>
      </c>
      <c r="AM25" s="59">
        <f t="shared" si="5"/>
        <v>373.4838502305397</v>
      </c>
      <c r="AN25" s="59">
        <f ca="1">AVERAGE(OFFSET($AM$3,0,0,'Données projet'!$E$10+1,1))-AVERAGE(OFFSET($H$3,0,0,'Données projet'!$E$10+1,1))</f>
        <v>246.71489737733248</v>
      </c>
      <c r="AO25" s="59">
        <f t="shared" si="36"/>
        <v>185.03615139960783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1.8</v>
      </c>
      <c r="BD25" s="12">
        <f>IF('Données projet'!$A$88&gt;35,BD24+BC25-BL24,IF(A25&lt;'Données projet'!$A$88,$BA$205^A25,IF(A25='Données projet'!$A$88,'Données projet'!$B$88,BD24+BC25-BL24)))</f>
        <v>18.63897777730768</v>
      </c>
      <c r="BE25" s="13">
        <f>BD25*VLOOKUP('Données projet'!$B$11,Paramètres!$A$1:$I$89,3,0)*VLOOKUP('Données projet'!$B$11,Paramètres!$A$1:$I$89,5,0)</f>
        <v>18.027619306211989</v>
      </c>
      <c r="BF25" s="13">
        <f t="shared" si="37"/>
        <v>5.9333397329659894</v>
      </c>
      <c r="BG25" s="20">
        <f t="shared" si="7"/>
        <v>41.732003659901643</v>
      </c>
      <c r="BH25" s="59">
        <f t="shared" si="8"/>
        <v>325.28755921545718</v>
      </c>
      <c r="BI25" s="59">
        <f ca="1">AVERAGE(OFFSET($BH$3,0,0,'Données projet'!$E$11+1,1))-AVERAGE(OFFSET($H$3,0,0,'Données projet'!$E$11+1,1))</f>
        <v>211.98817606983374</v>
      </c>
      <c r="BJ25" s="59">
        <f t="shared" si="38"/>
        <v>154.0840647586964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1.8</v>
      </c>
      <c r="BY25" s="12">
        <f>IF('Données projet'!$A$114&gt;35,BY24+BX25-CG24,IF(A25&lt;'Données projet'!$A$114,$BV$205^A25,IF(A25='Données projet'!$A$114,'Données projet'!$B$114,BY24+BX25-CG24)))</f>
        <v>18.63897777730768</v>
      </c>
      <c r="BZ25" s="13">
        <f>BY25*VLOOKUP('Données projet'!$B$12,Paramètres!$A$1:$I$89,3,0)*VLOOKUP('Données projet'!$B$12,Paramètres!$A$1:$I$89,5,0)</f>
        <v>20.062995679493987</v>
      </c>
      <c r="CA25" s="13">
        <f t="shared" si="39"/>
        <v>6.5215221811410133</v>
      </c>
      <c r="CB25" s="20">
        <f t="shared" si="10"/>
        <v>46.301368607272622</v>
      </c>
      <c r="CC25" s="59">
        <f t="shared" si="11"/>
        <v>329.85692416282814</v>
      </c>
      <c r="CD25" s="59">
        <f ca="1">AVERAGE(OFFSET($CC$3,0,0,'Données projet'!$E$12+1,1))-AVERAGE(OFFSET($H$3,0,0,'Données projet'!$E$12+1,1))</f>
        <v>231.89176215692947</v>
      </c>
      <c r="CE25" s="59">
        <f t="shared" si="40"/>
        <v>166.97658184507787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3.56</v>
      </c>
      <c r="CT25" s="12">
        <f>IF('Données projet'!$A$140&gt;35,CT24+CS25-DB24,IF(A25&lt;'Données projet'!$A$140,$CQ$205^A25,IF(A25='Données projet'!$A$140,'Données projet'!$B$140,CT24+CS25-DB24)))</f>
        <v>51.935367113427411</v>
      </c>
      <c r="CU25" s="17">
        <f>CT25*VLOOKUP('Données projet'!$B$13,Paramètres!$A$1:$I$89,3,0)*VLOOKUP('Données projet'!$B$13,Paramètres!$A$1:$I$89,5,0)</f>
        <v>40.509586348473384</v>
      </c>
      <c r="CV25" s="13">
        <f t="shared" si="41"/>
        <v>12.133613151721432</v>
      </c>
      <c r="CW25" s="20">
        <f t="shared" si="13"/>
        <v>91.686905796172638</v>
      </c>
      <c r="CX25" s="59">
        <f t="shared" si="14"/>
        <v>375.2424613517282</v>
      </c>
      <c r="CY25" s="59">
        <f ca="1">AVERAGE(OFFSET($CX$3,0,0,'Données projet'!$E$13+1,1))-AVERAGE(OFFSET($H$3,0,0,'Données projet'!$E$13+1,1))</f>
        <v>274.37717856763146</v>
      </c>
      <c r="CZ25" s="59">
        <f t="shared" si="42"/>
        <v>264.17357326498581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62.624639999999999</v>
      </c>
      <c r="DQ25" s="13">
        <f t="shared" si="43"/>
        <v>17.830197796836153</v>
      </c>
      <c r="DR25" s="20">
        <f t="shared" si="16"/>
        <v>140.12550916282296</v>
      </c>
      <c r="DS25" s="59">
        <f t="shared" si="17"/>
        <v>423.68106471837848</v>
      </c>
      <c r="DT25" s="59">
        <f ca="1">AVERAGE(OFFSET($DS$3,0,0,'Données projet'!$E$14+1,1))-AVERAGE(OFFSET($H$3,0,0,'Données projet'!$E$14+1,1))</f>
        <v>304.26232113495314</v>
      </c>
      <c r="DU25" s="59">
        <f t="shared" si="44"/>
        <v>297.47246687305056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386.53169252010935</v>
      </c>
      <c r="S26" s="59">
        <f ca="1">AVERAGE(OFFSET($R$3,0,0,'Données projet'!$E$9+1,1))-AVERAGE(OFFSET($H$3,0,0,'Données projet'!$E$9+1,1))</f>
        <v>344.4940855044307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6.6</v>
      </c>
      <c r="AI26" s="13">
        <f>IF('Données projet'!$A$62&gt;35,AI25+AH26-AQ25,IF(A26&lt;'Données projet'!$A$62,$AF$205^A26,IF(A26='Données projet'!$A$62,'Données projet'!$B$62,AI25+AH26-AQ25)))</f>
        <v>65.8</v>
      </c>
      <c r="AJ26" s="13">
        <f>AI26*VLOOKUP('Données projet'!$B$10,Paramètres!$A$1:$I$89,3,0)*VLOOKUP('Données projet'!$B$10,Paramètres!$A$1:$I$89,5,0)</f>
        <v>44.138639999999995</v>
      </c>
      <c r="AK26" s="13">
        <f t="shared" si="35"/>
        <v>13.089229634046784</v>
      </c>
      <c r="AL26" s="20">
        <f t="shared" si="4"/>
        <v>99.671872945964807</v>
      </c>
      <c r="AM26" s="59">
        <f t="shared" si="5"/>
        <v>384.44965072374259</v>
      </c>
      <c r="AN26" s="59">
        <f ca="1">AVERAGE(OFFSET($AM$3,0,0,'Données projet'!$E$10+1,1))-AVERAGE(OFFSET($H$3,0,0,'Données projet'!$E$10+1,1))</f>
        <v>246.71489737733248</v>
      </c>
      <c r="AO26" s="59">
        <f t="shared" si="36"/>
        <v>185.03615139960783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1.8</v>
      </c>
      <c r="BD26" s="12">
        <f>IF('Données projet'!$A$88&gt;35,BD25+BC26-BL25,IF(A26&lt;'Données projet'!$A$88,$BA$205^A26,IF(A26='Données projet'!$A$88,'Données projet'!$B$88,BD25+BC26-BL25)))</f>
        <v>21.289651346330135</v>
      </c>
      <c r="BE26" s="13">
        <f>BD26*VLOOKUP('Données projet'!$B$11,Paramètres!$A$1:$I$89,3,0)*VLOOKUP('Données projet'!$B$11,Paramètres!$A$1:$I$89,5,0)</f>
        <v>20.591350782170508</v>
      </c>
      <c r="BF26" s="13">
        <f t="shared" si="37"/>
        <v>6.6730439757651494</v>
      </c>
      <c r="BG26" s="20">
        <f t="shared" si="7"/>
        <v>47.485487536737935</v>
      </c>
      <c r="BH26" s="59">
        <f t="shared" si="8"/>
        <v>332.26326531451571</v>
      </c>
      <c r="BI26" s="59">
        <f ca="1">AVERAGE(OFFSET($BH$3,0,0,'Données projet'!$E$11+1,1))-AVERAGE(OFFSET($H$3,0,0,'Données projet'!$E$11+1,1))</f>
        <v>211.98817606983374</v>
      </c>
      <c r="BJ26" s="59">
        <f t="shared" si="38"/>
        <v>154.0840647586964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1.8</v>
      </c>
      <c r="BY26" s="12">
        <f>IF('Données projet'!$A$114&gt;35,BY25+BX26-CG25,IF(A26&lt;'Données projet'!$A$114,$BV$205^A26,IF(A26='Données projet'!$A$114,'Données projet'!$B$114,BY25+BX26-CG25)))</f>
        <v>21.289651346330135</v>
      </c>
      <c r="BZ26" s="13">
        <f>BY26*VLOOKUP('Données projet'!$B$12,Paramètres!$A$1:$I$89,3,0)*VLOOKUP('Données projet'!$B$12,Paramètres!$A$1:$I$89,5,0)</f>
        <v>22.916180709189756</v>
      </c>
      <c r="CA26" s="13">
        <f t="shared" si="39"/>
        <v>7.3345546121168441</v>
      </c>
      <c r="CB26" s="20">
        <f t="shared" si="10"/>
        <v>52.686697351275654</v>
      </c>
      <c r="CC26" s="59">
        <f t="shared" si="11"/>
        <v>337.46447512905343</v>
      </c>
      <c r="CD26" s="59">
        <f ca="1">AVERAGE(OFFSET($CC$3,0,0,'Données projet'!$E$12+1,1))-AVERAGE(OFFSET($H$3,0,0,'Données projet'!$E$12+1,1))</f>
        <v>231.89176215692947</v>
      </c>
      <c r="CE26" s="59">
        <f t="shared" si="40"/>
        <v>166.97658184507787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3.56</v>
      </c>
      <c r="CT26" s="12">
        <f>IF('Données projet'!$A$140&gt;35,CT25+CS26-DB25,IF(A26&lt;'Données projet'!$A$140,$CQ$205^A26,IF(A26='Données projet'!$A$140,'Données projet'!$B$140,CT25+CS26-DB25)))</f>
        <v>62.149667013426139</v>
      </c>
      <c r="CU26" s="17">
        <f>CT26*VLOOKUP('Données projet'!$B$13,Paramètres!$A$1:$I$89,3,0)*VLOOKUP('Données projet'!$B$13,Paramètres!$A$1:$I$89,5,0)</f>
        <v>48.476740270472391</v>
      </c>
      <c r="CV26" s="13">
        <f t="shared" si="41"/>
        <v>14.219665651067873</v>
      </c>
      <c r="CW26" s="20">
        <f t="shared" si="13"/>
        <v>109.19624031334928</v>
      </c>
      <c r="CX26" s="59">
        <f t="shared" si="14"/>
        <v>393.97401809112705</v>
      </c>
      <c r="CY26" s="59">
        <f ca="1">AVERAGE(OFFSET($CX$3,0,0,'Données projet'!$E$13+1,1))-AVERAGE(OFFSET($H$3,0,0,'Données projet'!$E$13+1,1))</f>
        <v>274.37717856763146</v>
      </c>
      <c r="CZ26" s="59">
        <f t="shared" si="42"/>
        <v>264.17357326498581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72.845759999999984</v>
      </c>
      <c r="DQ26" s="13">
        <f t="shared" si="43"/>
        <v>20.378512751497539</v>
      </c>
      <c r="DR26" s="20">
        <f t="shared" si="16"/>
        <v>162.36560837552486</v>
      </c>
      <c r="DS26" s="59">
        <f t="shared" si="17"/>
        <v>447.14338615330263</v>
      </c>
      <c r="DT26" s="59">
        <f ca="1">AVERAGE(OFFSET($DS$3,0,0,'Données projet'!$E$14+1,1))-AVERAGE(OFFSET($H$3,0,0,'Données projet'!$E$14+1,1))</f>
        <v>304.26232113495314</v>
      </c>
      <c r="DU26" s="59">
        <f t="shared" si="44"/>
        <v>297.47246687305056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406.06289590738135</v>
      </c>
      <c r="S27" s="59">
        <f ca="1">AVERAGE(OFFSET($R$3,0,0,'Données projet'!$E$9+1,1))-AVERAGE(OFFSET($H$3,0,0,'Données projet'!$E$9+1,1))</f>
        <v>344.4940855044307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6.6</v>
      </c>
      <c r="AI27" s="13">
        <f>IF('Données projet'!$A$62&gt;35,AI26+AH27-AQ26,IF(A27&lt;'Données projet'!$A$62,$AF$205^A27,IF(A27='Données projet'!$A$62,'Données projet'!$B$62,AI26+AH27-AQ26)))</f>
        <v>72.399999999999991</v>
      </c>
      <c r="AJ27" s="13">
        <f>AI27*VLOOKUP('Données projet'!$B$10,Paramètres!$A$1:$I$89,3,0)*VLOOKUP('Données projet'!$B$10,Paramètres!$A$1:$I$89,5,0)</f>
        <v>48.565919999999991</v>
      </c>
      <c r="AK27" s="13">
        <f t="shared" si="35"/>
        <v>14.242777323038169</v>
      </c>
      <c r="AL27" s="20">
        <f t="shared" si="4"/>
        <v>109.39181450429146</v>
      </c>
      <c r="AM27" s="59">
        <f t="shared" si="5"/>
        <v>395.39181450429146</v>
      </c>
      <c r="AN27" s="59">
        <f ca="1">AVERAGE(OFFSET($AM$3,0,0,'Données projet'!$E$10+1,1))-AVERAGE(OFFSET($H$3,0,0,'Données projet'!$E$10+1,1))</f>
        <v>246.71489737733248</v>
      </c>
      <c r="AO27" s="59">
        <f t="shared" si="36"/>
        <v>185.03615139960783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1.8</v>
      </c>
      <c r="BD27" s="12">
        <f>IF('Données projet'!$A$88&gt;35,BD26+BC27-BL26,IF(A27&lt;'Données projet'!$A$88,$BA$205^A27,IF(A27='Données projet'!$A$88,'Données projet'!$B$88,BD26+BC27-BL26)))</f>
        <v>24.317280693371075</v>
      </c>
      <c r="BE27" s="13">
        <f>BD27*VLOOKUP('Données projet'!$B$11,Paramètres!$A$1:$I$89,3,0)*VLOOKUP('Données projet'!$B$11,Paramètres!$A$1:$I$89,5,0)</f>
        <v>23.519673886628503</v>
      </c>
      <c r="BF27" s="13">
        <f t="shared" si="37"/>
        <v>7.5049664955281195</v>
      </c>
      <c r="BG27" s="20">
        <f t="shared" si="7"/>
        <v>54.034581998922782</v>
      </c>
      <c r="BH27" s="59">
        <f t="shared" si="8"/>
        <v>340.03458199892276</v>
      </c>
      <c r="BI27" s="59">
        <f ca="1">AVERAGE(OFFSET($BH$3,0,0,'Données projet'!$E$11+1,1))-AVERAGE(OFFSET($H$3,0,0,'Données projet'!$E$11+1,1))</f>
        <v>211.98817606983374</v>
      </c>
      <c r="BJ27" s="59">
        <f t="shared" si="38"/>
        <v>154.0840647586964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1.8</v>
      </c>
      <c r="BY27" s="12">
        <f>IF('Données projet'!$A$114&gt;35,BY26+BX27-CG26,IF(A27&lt;'Données projet'!$A$114,$BV$205^A27,IF(A27='Données projet'!$A$114,'Données projet'!$B$114,BY26+BX27-CG26)))</f>
        <v>24.317280693371075</v>
      </c>
      <c r="BZ27" s="13">
        <f>BY27*VLOOKUP('Données projet'!$B$12,Paramètres!$A$1:$I$89,3,0)*VLOOKUP('Données projet'!$B$12,Paramètres!$A$1:$I$89,5,0)</f>
        <v>26.175120938344623</v>
      </c>
      <c r="CA27" s="13">
        <f t="shared" si="39"/>
        <v>8.248947080743088</v>
      </c>
      <c r="CB27" s="20">
        <f t="shared" si="10"/>
        <v>59.955251799911103</v>
      </c>
      <c r="CC27" s="59">
        <f t="shared" si="11"/>
        <v>345.95525179991108</v>
      </c>
      <c r="CD27" s="59">
        <f ca="1">AVERAGE(OFFSET($CC$3,0,0,'Données projet'!$E$12+1,1))-AVERAGE(OFFSET($H$3,0,0,'Données projet'!$E$12+1,1))</f>
        <v>231.89176215692947</v>
      </c>
      <c r="CE27" s="59">
        <f t="shared" si="40"/>
        <v>166.97658184507787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3.56</v>
      </c>
      <c r="CT27" s="12">
        <f>IF('Données projet'!$A$140&gt;35,CT26+CS27-DB26,IF(A27&lt;'Données projet'!$A$140,$CQ$205^A27,IF(A27='Données projet'!$A$140,'Données projet'!$B$140,CT26+CS27-DB26)))</f>
        <v>74.372846955020648</v>
      </c>
      <c r="CU27" s="17">
        <f>CT27*VLOOKUP('Données projet'!$B$13,Paramètres!$A$1:$I$89,3,0)*VLOOKUP('Données projet'!$B$13,Paramètres!$A$1:$I$89,5,0)</f>
        <v>58.010820624916107</v>
      </c>
      <c r="CV27" s="13">
        <f t="shared" si="41"/>
        <v>16.664359469831368</v>
      </c>
      <c r="CW27" s="20">
        <f t="shared" si="13"/>
        <v>130.05927199835185</v>
      </c>
      <c r="CX27" s="59">
        <f t="shared" si="14"/>
        <v>416.05927199835185</v>
      </c>
      <c r="CY27" s="59">
        <f ca="1">AVERAGE(OFFSET($CX$3,0,0,'Données projet'!$E$13+1,1))-AVERAGE(OFFSET($H$3,0,0,'Données projet'!$E$13+1,1))</f>
        <v>274.37717856763146</v>
      </c>
      <c r="CZ27" s="59">
        <f t="shared" si="42"/>
        <v>264.17357326498581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83.066879999999983</v>
      </c>
      <c r="DQ27" s="13">
        <f t="shared" si="43"/>
        <v>22.88540255569357</v>
      </c>
      <c r="DR27" s="20">
        <f t="shared" si="16"/>
        <v>184.5335587844996</v>
      </c>
      <c r="DS27" s="59">
        <f t="shared" si="17"/>
        <v>470.53355878449963</v>
      </c>
      <c r="DT27" s="59">
        <f ca="1">AVERAGE(OFFSET($DS$3,0,0,'Données projet'!$E$14+1,1))-AVERAGE(OFFSET($H$3,0,0,'Données projet'!$E$14+1,1))</f>
        <v>304.26232113495314</v>
      </c>
      <c r="DU27" s="59">
        <f t="shared" si="44"/>
        <v>297.47246687305056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344.4940855044307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2.731850087471857</v>
      </c>
      <c r="AC28" s="22">
        <f t="shared" si="3"/>
        <v>2.731850087471857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79</v>
      </c>
      <c r="AG28" s="12">
        <f>VLOOKUP(A28,'Données projet'!$A$61:$I$81,9,0)</f>
        <v>6.6</v>
      </c>
      <c r="AH28" s="12">
        <f t="array" ref="AH28">INDEX(AG:AG,MIN(IF(ISNUMBER(AG28:AG224),ROW(AG28:AG224),"")))</f>
        <v>6.6</v>
      </c>
      <c r="AI28" s="13">
        <f>IF('Données projet'!$A$62&gt;35,AI27+AH28-AQ27,IF(A28&lt;'Données projet'!$A$62,$AF$205^A28,IF(A28='Données projet'!$A$62,'Données projet'!$B$62,AI27+AH28-AQ27)))</f>
        <v>78.999999999999986</v>
      </c>
      <c r="AJ28" s="13">
        <f>AI28*VLOOKUP('Données projet'!$B$10,Paramètres!$A$1:$I$89,3,0)*VLOOKUP('Données projet'!$B$10,Paramètres!$A$1:$I$89,5,0)</f>
        <v>52.993199999999987</v>
      </c>
      <c r="AK28" s="13">
        <f t="shared" si="35"/>
        <v>15.384131560034538</v>
      </c>
      <c r="AL28" s="20">
        <f t="shared" si="4"/>
        <v>119.09051913372679</v>
      </c>
      <c r="AM28" s="59">
        <f t="shared" si="5"/>
        <v>406.31274135594902</v>
      </c>
      <c r="AN28" s="59">
        <f ca="1">AVERAGE(OFFSET($AM$3,0,0,'Données projet'!$E$10+1,1))-AVERAGE(OFFSET($H$3,0,0,'Données projet'!$E$10+1,1))</f>
        <v>246.71489737733248</v>
      </c>
      <c r="AO28" s="59">
        <f t="shared" si="36"/>
        <v>185.03615139960783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1.8</v>
      </c>
      <c r="BD28" s="12">
        <f>IF('Données projet'!$A$88&gt;35,BD27+BC28-BL27,IF(A28&lt;'Données projet'!$A$88,$BA$205^A28,IF(A28='Données projet'!$A$88,'Données projet'!$B$88,BD27+BC28-BL27)))</f>
        <v>27.775473195906979</v>
      </c>
      <c r="BE28" s="13">
        <f>BD28*VLOOKUP('Données projet'!$B$11,Paramètres!$A$1:$I$89,3,0)*VLOOKUP('Données projet'!$B$11,Paramètres!$A$1:$I$89,5,0)</f>
        <v>26.864437675081234</v>
      </c>
      <c r="BF28" s="13">
        <f t="shared" si="37"/>
        <v>8.4406040636861466</v>
      </c>
      <c r="BG28" s="20">
        <f t="shared" si="7"/>
        <v>61.489614361686527</v>
      </c>
      <c r="BH28" s="59">
        <f t="shared" si="8"/>
        <v>348.71183658390873</v>
      </c>
      <c r="BI28" s="59">
        <f ca="1">AVERAGE(OFFSET($BH$3,0,0,'Données projet'!$E$11+1,1))-AVERAGE(OFFSET($H$3,0,0,'Données projet'!$E$11+1,1))</f>
        <v>211.98817606983374</v>
      </c>
      <c r="BJ28" s="59">
        <f t="shared" si="38"/>
        <v>154.0840647586964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1.8</v>
      </c>
      <c r="BY28" s="12">
        <f>IF('Données projet'!$A$114&gt;35,BY27+BX28-CG27,IF(A28&lt;'Données projet'!$A$114,$BV$205^A28,IF(A28='Données projet'!$A$114,'Données projet'!$B$114,BY27+BX28-CG27)))</f>
        <v>27.775473195906979</v>
      </c>
      <c r="BZ28" s="13">
        <f>BY28*VLOOKUP('Données projet'!$B$12,Paramètres!$A$1:$I$89,3,0)*VLOOKUP('Données projet'!$B$12,Paramètres!$A$1:$I$89,5,0)</f>
        <v>29.897519348074272</v>
      </c>
      <c r="CA28" s="13">
        <f t="shared" si="39"/>
        <v>9.2773360537104583</v>
      </c>
      <c r="CB28" s="20">
        <f t="shared" si="10"/>
        <v>68.229539824775074</v>
      </c>
      <c r="CC28" s="59">
        <f t="shared" si="11"/>
        <v>355.45176204699732</v>
      </c>
      <c r="CD28" s="59">
        <f ca="1">AVERAGE(OFFSET($CC$3,0,0,'Données projet'!$E$12+1,1))-AVERAGE(OFFSET($H$3,0,0,'Données projet'!$E$12+1,1))</f>
        <v>231.89176215692947</v>
      </c>
      <c r="CE28" s="59">
        <f t="shared" si="40"/>
        <v>166.97658184507787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89</v>
      </c>
      <c r="CR28" s="12">
        <f>VLOOKUP(A28,'Données projet'!$A$139:$I$159,9,0)</f>
        <v>3.56</v>
      </c>
      <c r="CS28" s="12">
        <f t="array" ref="CS28">INDEX(CR:CR,MIN(IF(ISNUMBER(CR28:CR224),ROW(CR28:CR224),"")))</f>
        <v>3.56</v>
      </c>
      <c r="CT28" s="12">
        <f>IF('Données projet'!$A$140&gt;35,CT27+CS28-DB27,IF(A28&lt;'Données projet'!$A$140,$CQ$205^A28,IF(A28='Données projet'!$A$140,'Données projet'!$B$140,CT27+CS28-DB27)))</f>
        <v>89</v>
      </c>
      <c r="CU28" s="17">
        <f>CT28*VLOOKUP('Données projet'!$B$13,Paramètres!$A$1:$I$89,3,0)*VLOOKUP('Données projet'!$B$13,Paramètres!$A$1:$I$89,5,0)</f>
        <v>69.42</v>
      </c>
      <c r="CV28" s="13">
        <f t="shared" si="41"/>
        <v>19.529353456978352</v>
      </c>
      <c r="CW28" s="20">
        <f t="shared" si="13"/>
        <v>154.92012393757065</v>
      </c>
      <c r="CX28" s="59">
        <f t="shared" si="14"/>
        <v>442.14234615979285</v>
      </c>
      <c r="CY28" s="59">
        <f ca="1">AVERAGE(OFFSET($CX$3,0,0,'Données projet'!$E$13+1,1))-AVERAGE(OFFSET($H$3,0,0,'Données projet'!$E$13+1,1))</f>
        <v>274.37717856763146</v>
      </c>
      <c r="CZ28" s="59">
        <f t="shared" si="42"/>
        <v>264.17357326498581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1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20.606627814981682</v>
      </c>
      <c r="DI28" s="22">
        <f t="shared" si="15"/>
        <v>20.606627814981682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93.287999999999982</v>
      </c>
      <c r="DQ28" s="13">
        <f t="shared" si="43"/>
        <v>25.356547829040977</v>
      </c>
      <c r="DR28" s="20">
        <f t="shared" si="16"/>
        <v>206.63925413557965</v>
      </c>
      <c r="DS28" s="59">
        <f t="shared" si="17"/>
        <v>493.86147635780185</v>
      </c>
      <c r="DT28" s="59">
        <f ca="1">AVERAGE(OFFSET($DS$3,0,0,'Données projet'!$E$14+1,1))-AVERAGE(OFFSET($H$3,0,0,'Données projet'!$E$14+1,1))</f>
        <v>304.26232113495314</v>
      </c>
      <c r="DU28" s="59">
        <f t="shared" si="44"/>
        <v>297.47246687305056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344.4940855044307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1.9317097220364132</v>
      </c>
      <c r="AC29" s="22">
        <f t="shared" si="3"/>
        <v>1.9317097220364132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70.999999999999986</v>
      </c>
      <c r="AJ29" s="13">
        <f>AI29*VLOOKUP('Données projet'!$B$10,Paramètres!$A$1:$I$89,3,0)*VLOOKUP('Données projet'!$B$10,Paramètres!$A$1:$I$89,5,0)</f>
        <v>47.626799999999996</v>
      </c>
      <c r="AK29" s="13">
        <f t="shared" si="35"/>
        <v>13.999146688105517</v>
      </c>
      <c r="AL29" s="20">
        <f t="shared" si="4"/>
        <v>107.33185714845042</v>
      </c>
      <c r="AM29" s="59">
        <f t="shared" si="5"/>
        <v>395.77630159289487</v>
      </c>
      <c r="AN29" s="59">
        <f ca="1">AVERAGE(OFFSET($AM$3,0,0,'Données projet'!$E$10+1,1))-AVERAGE(OFFSET($H$3,0,0,'Données projet'!$E$10+1,1))</f>
        <v>246.71489737733248</v>
      </c>
      <c r="AO29" s="59">
        <f t="shared" si="36"/>
        <v>185.03615139960783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1.8</v>
      </c>
      <c r="BD29" s="12">
        <f>IF('Données projet'!$A$88&gt;35,BD28+BC29-BL28,IF(A29&lt;'Données projet'!$A$88,$BA$205^A29,IF(A29='Données projet'!$A$88,'Données projet'!$B$88,BD28+BC29-BL28)))</f>
        <v>31.725459807142535</v>
      </c>
      <c r="BE29" s="13">
        <f>BD29*VLOOKUP('Données projet'!$B$11,Paramètres!$A$1:$I$89,3,0)*VLOOKUP('Données projet'!$B$11,Paramètres!$A$1:$I$89,5,0)</f>
        <v>30.684864725468262</v>
      </c>
      <c r="BF29" s="13">
        <f t="shared" si="37"/>
        <v>9.492886744046908</v>
      </c>
      <c r="BG29" s="20">
        <f t="shared" si="7"/>
        <v>69.976250476072252</v>
      </c>
      <c r="BH29" s="59">
        <f t="shared" si="8"/>
        <v>358.42069492051672</v>
      </c>
      <c r="BI29" s="59">
        <f ca="1">AVERAGE(OFFSET($BH$3,0,0,'Données projet'!$E$11+1,1))-AVERAGE(OFFSET($H$3,0,0,'Données projet'!$E$11+1,1))</f>
        <v>211.98817606983374</v>
      </c>
      <c r="BJ29" s="59">
        <f t="shared" si="38"/>
        <v>154.0840647586964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1.8</v>
      </c>
      <c r="BY29" s="12">
        <f>IF('Données projet'!$A$114&gt;35,BY28+BX29-CG28,IF(A29&lt;'Données projet'!$A$114,$BV$205^A29,IF(A29='Données projet'!$A$114,'Données projet'!$B$114,BY28+BX29-CG28)))</f>
        <v>31.725459807142535</v>
      </c>
      <c r="BZ29" s="13">
        <f>BY29*VLOOKUP('Données projet'!$B$12,Paramètres!$A$1:$I$89,3,0)*VLOOKUP('Données projet'!$B$12,Paramètres!$A$1:$I$89,5,0)</f>
        <v>34.149284936408222</v>
      </c>
      <c r="CA29" s="13">
        <f t="shared" si="39"/>
        <v>10.43393337489112</v>
      </c>
      <c r="CB29" s="20">
        <f t="shared" si="10"/>
        <v>77.649105225513026</v>
      </c>
      <c r="CC29" s="59">
        <f t="shared" si="11"/>
        <v>366.0935496699575</v>
      </c>
      <c r="CD29" s="59">
        <f ca="1">AVERAGE(OFFSET($CC$3,0,0,'Données projet'!$E$12+1,1))-AVERAGE(OFFSET($H$3,0,0,'Données projet'!$E$12+1,1))</f>
        <v>231.89176215692947</v>
      </c>
      <c r="CE29" s="59">
        <f t="shared" si="40"/>
        <v>166.97658184507787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75.2</v>
      </c>
      <c r="CU29" s="17">
        <f>CT29*VLOOKUP('Données projet'!$B$13,Paramètres!$A$1:$I$89,3,0)*VLOOKUP('Données projet'!$B$13,Paramètres!$A$1:$I$89,5,0)</f>
        <v>58.656000000000006</v>
      </c>
      <c r="CV29" s="13">
        <f t="shared" si="41"/>
        <v>16.828016909929076</v>
      </c>
      <c r="CW29" s="20">
        <f t="shared" si="13"/>
        <v>131.46799611812648</v>
      </c>
      <c r="CX29" s="59">
        <f t="shared" si="14"/>
        <v>419.91244056257096</v>
      </c>
      <c r="CY29" s="59">
        <f ca="1">AVERAGE(OFFSET($CX$3,0,0,'Données projet'!$E$13+1,1))-AVERAGE(OFFSET($H$3,0,0,'Données projet'!$E$13+1,1))</f>
        <v>274.37717856763146</v>
      </c>
      <c r="CZ29" s="59">
        <f t="shared" si="42"/>
        <v>264.17357326498581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14.571086265360877</v>
      </c>
      <c r="DI29" s="22">
        <f t="shared" si="15"/>
        <v>14.571086265360877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80.14655999999998</v>
      </c>
      <c r="DQ29" s="13">
        <f t="shared" si="43"/>
        <v>22.17301499240547</v>
      </c>
      <c r="DR29" s="20">
        <f t="shared" si="16"/>
        <v>178.2065931117728</v>
      </c>
      <c r="DS29" s="59">
        <f t="shared" si="17"/>
        <v>466.65103755621726</v>
      </c>
      <c r="DT29" s="59">
        <f ca="1">AVERAGE(OFFSET($DS$3,0,0,'Données projet'!$E$14+1,1))-AVERAGE(OFFSET($H$3,0,0,'Données projet'!$E$14+1,1))</f>
        <v>304.26232113495314</v>
      </c>
      <c r="DU29" s="59">
        <f t="shared" si="44"/>
        <v>297.47246687305056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344.4940855044307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1.3659250437359287</v>
      </c>
      <c r="AC30" s="22">
        <f t="shared" si="3"/>
        <v>1.3659250437359287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77.999999999999986</v>
      </c>
      <c r="AJ30" s="13">
        <f>AI30*VLOOKUP('Données projet'!$B$10,Paramètres!$A$1:$I$89,3,0)*VLOOKUP('Données projet'!$B$10,Paramètres!$A$1:$I$89,5,0)</f>
        <v>52.322399999999988</v>
      </c>
      <c r="AK30" s="13">
        <f t="shared" si="35"/>
        <v>15.211935603956732</v>
      </c>
      <c r="AL30" s="20">
        <f t="shared" si="4"/>
        <v>117.62230117689127</v>
      </c>
      <c r="AM30" s="59">
        <f t="shared" si="5"/>
        <v>407.28896784355794</v>
      </c>
      <c r="AN30" s="59">
        <f ca="1">AVERAGE(OFFSET($AM$3,0,0,'Données projet'!$E$10+1,1))-AVERAGE(OFFSET($H$3,0,0,'Données projet'!$E$10+1,1))</f>
        <v>246.71489737733248</v>
      </c>
      <c r="AO30" s="59">
        <f t="shared" si="36"/>
        <v>185.03615139960783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1.8</v>
      </c>
      <c r="BD30" s="12">
        <f>IF('Données projet'!$A$88&gt;35,BD29+BC30-BL29,IF(A30&lt;'Données projet'!$A$88,$BA$205^A30,IF(A30='Données projet'!$A$88,'Données projet'!$B$88,BD29+BC30-BL29)))</f>
        <v>36.237179214751805</v>
      </c>
      <c r="BE30" s="13">
        <f>BD30*VLOOKUP('Données projet'!$B$11,Paramètres!$A$1:$I$89,3,0)*VLOOKUP('Données projet'!$B$11,Paramètres!$A$1:$I$89,5,0)</f>
        <v>35.048599736507946</v>
      </c>
      <c r="BF30" s="13">
        <f t="shared" si="37"/>
        <v>10.676356580093739</v>
      </c>
      <c r="BG30" s="20">
        <f t="shared" si="7"/>
        <v>79.637632251414587</v>
      </c>
      <c r="BH30" s="59">
        <f t="shared" si="8"/>
        <v>369.30429891808126</v>
      </c>
      <c r="BI30" s="59">
        <f ca="1">AVERAGE(OFFSET($BH$3,0,0,'Données projet'!$E$11+1,1))-AVERAGE(OFFSET($H$3,0,0,'Données projet'!$E$11+1,1))</f>
        <v>211.98817606983374</v>
      </c>
      <c r="BJ30" s="59">
        <f t="shared" si="38"/>
        <v>154.0840647586964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1.8</v>
      </c>
      <c r="BY30" s="12">
        <f>IF('Données projet'!$A$114&gt;35,BY29+BX30-CG29,IF(A30&lt;'Données projet'!$A$114,$BV$205^A30,IF(A30='Données projet'!$A$114,'Données projet'!$B$114,BY29+BX30-CG29)))</f>
        <v>36.237179214751805</v>
      </c>
      <c r="BZ30" s="13">
        <f>BY30*VLOOKUP('Données projet'!$B$12,Paramètres!$A$1:$I$89,3,0)*VLOOKUP('Données projet'!$B$12,Paramètres!$A$1:$I$89,5,0)</f>
        <v>39.005699706758847</v>
      </c>
      <c r="CA30" s="13">
        <f t="shared" si="39"/>
        <v>11.734722666225464</v>
      </c>
      <c r="CB30" s="20">
        <f t="shared" si="10"/>
        <v>88.372902299614339</v>
      </c>
      <c r="CC30" s="59">
        <f t="shared" si="11"/>
        <v>378.03956896628102</v>
      </c>
      <c r="CD30" s="59">
        <f ca="1">AVERAGE(OFFSET($CC$3,0,0,'Données projet'!$E$12+1,1))-AVERAGE(OFFSET($H$3,0,0,'Données projet'!$E$12+1,1))</f>
        <v>231.89176215692947</v>
      </c>
      <c r="CE30" s="59">
        <f t="shared" si="40"/>
        <v>166.97658184507787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89.4</v>
      </c>
      <c r="CU30" s="17">
        <f>CT30*VLOOKUP('Données projet'!$B$13,Paramètres!$A$1:$I$89,3,0)*VLOOKUP('Données projet'!$B$13,Paramètres!$A$1:$I$89,5,0)</f>
        <v>69.732000000000014</v>
      </c>
      <c r="CV30" s="13">
        <f t="shared" si="41"/>
        <v>19.606888874982506</v>
      </c>
      <c r="CW30" s="20">
        <f t="shared" si="13"/>
        <v>155.59856479059454</v>
      </c>
      <c r="CX30" s="59">
        <f t="shared" si="14"/>
        <v>445.26523145726122</v>
      </c>
      <c r="CY30" s="59">
        <f ca="1">AVERAGE(OFFSET($CX$3,0,0,'Données projet'!$E$13+1,1))-AVERAGE(OFFSET($H$3,0,0,'Données projet'!$E$13+1,1))</f>
        <v>274.37717856763146</v>
      </c>
      <c r="CZ30" s="59">
        <f t="shared" si="42"/>
        <v>264.17357326498581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10.303313907490843</v>
      </c>
      <c r="DI30" s="22">
        <f t="shared" si="15"/>
        <v>10.303313907490843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89.718719999999976</v>
      </c>
      <c r="DQ30" s="13">
        <f t="shared" si="43"/>
        <v>24.49737467739692</v>
      </c>
      <c r="DR30" s="20">
        <f t="shared" si="16"/>
        <v>198.92636489646625</v>
      </c>
      <c r="DS30" s="59">
        <f t="shared" si="17"/>
        <v>488.59303156313297</v>
      </c>
      <c r="DT30" s="59">
        <f ca="1">AVERAGE(OFFSET($DS$3,0,0,'Données projet'!$E$14+1,1))-AVERAGE(OFFSET($H$3,0,0,'Données projet'!$E$14+1,1))</f>
        <v>304.26232113495314</v>
      </c>
      <c r="DU30" s="59">
        <f t="shared" si="44"/>
        <v>297.47246687305056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344.4940855044307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0.96585486101820672</v>
      </c>
      <c r="AC31" s="22">
        <f t="shared" si="3"/>
        <v>0.96585486101820672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84.999999999999986</v>
      </c>
      <c r="AJ31" s="13">
        <f>AI31*VLOOKUP('Données projet'!$B$10,Paramètres!$A$1:$I$89,3,0)*VLOOKUP('Données projet'!$B$10,Paramètres!$A$1:$I$89,5,0)</f>
        <v>57.017999999999986</v>
      </c>
      <c r="AK31" s="13">
        <f t="shared" si="35"/>
        <v>16.412103612717626</v>
      </c>
      <c r="AL31" s="20">
        <f t="shared" si="4"/>
        <v>127.89076379214983</v>
      </c>
      <c r="AM31" s="59">
        <f t="shared" si="5"/>
        <v>418.77965268103867</v>
      </c>
      <c r="AN31" s="59">
        <f ca="1">AVERAGE(OFFSET($AM$3,0,0,'Données projet'!$E$10+1,1))-AVERAGE(OFFSET($H$3,0,0,'Données projet'!$E$10+1,1))</f>
        <v>246.71489737733248</v>
      </c>
      <c r="AO31" s="59">
        <f t="shared" si="36"/>
        <v>185.03615139960783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1.8</v>
      </c>
      <c r="BD31" s="12">
        <f>IF('Données projet'!$A$88&gt;35,BD30+BC31-BL30,IF(A31&lt;'Données projet'!$A$88,$BA$205^A31,IF(A31='Données projet'!$A$88,'Données projet'!$B$88,BD30+BC31-BL30)))</f>
        <v>41.390516179261404</v>
      </c>
      <c r="BE31" s="13">
        <f>BD31*VLOOKUP('Données projet'!$B$11,Paramètres!$A$1:$I$89,3,0)*VLOOKUP('Données projet'!$B$11,Paramètres!$A$1:$I$89,5,0)</f>
        <v>40.03290724858163</v>
      </c>
      <c r="BF31" s="13">
        <f t="shared" si="37"/>
        <v>12.007368559073118</v>
      </c>
      <c r="BG31" s="20">
        <f t="shared" si="7"/>
        <v>90.636813698332006</v>
      </c>
      <c r="BH31" s="59">
        <f t="shared" si="8"/>
        <v>381.52570258722085</v>
      </c>
      <c r="BI31" s="59">
        <f ca="1">AVERAGE(OFFSET($BH$3,0,0,'Données projet'!$E$11+1,1))-AVERAGE(OFFSET($H$3,0,0,'Données projet'!$E$11+1,1))</f>
        <v>211.98817606983374</v>
      </c>
      <c r="BJ31" s="59">
        <f t="shared" si="38"/>
        <v>154.0840647586964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1.8</v>
      </c>
      <c r="BY31" s="12">
        <f>IF('Données projet'!$A$114&gt;35,BY30+BX31-CG30,IF(A31&lt;'Données projet'!$A$114,$BV$205^A31,IF(A31='Données projet'!$A$114,'Données projet'!$B$114,BY30+BX31-CG30)))</f>
        <v>41.390516179261404</v>
      </c>
      <c r="BZ31" s="13">
        <f>BY31*VLOOKUP('Données projet'!$B$12,Paramètres!$A$1:$I$89,3,0)*VLOOKUP('Données projet'!$B$12,Paramètres!$A$1:$I$89,5,0)</f>
        <v>44.552751615356975</v>
      </c>
      <c r="CA31" s="13">
        <f t="shared" si="39"/>
        <v>13.197680213734596</v>
      </c>
      <c r="CB31" s="20">
        <f t="shared" si="10"/>
        <v>100.58200210233447</v>
      </c>
      <c r="CC31" s="59">
        <f t="shared" si="11"/>
        <v>391.47089099122331</v>
      </c>
      <c r="CD31" s="59">
        <f ca="1">AVERAGE(OFFSET($CC$3,0,0,'Données projet'!$E$12+1,1))-AVERAGE(OFFSET($H$3,0,0,'Données projet'!$E$12+1,1))</f>
        <v>231.89176215692947</v>
      </c>
      <c r="CE31" s="59">
        <f t="shared" si="40"/>
        <v>166.97658184507787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103.60000000000001</v>
      </c>
      <c r="CU31" s="17">
        <f>CT31*VLOOKUP('Données projet'!$B$13,Paramètres!$A$1:$I$89,3,0)*VLOOKUP('Données projet'!$B$13,Paramètres!$A$1:$I$89,5,0)</f>
        <v>80.808000000000007</v>
      </c>
      <c r="CV31" s="13">
        <f t="shared" si="41"/>
        <v>22.334628633536209</v>
      </c>
      <c r="CW31" s="20">
        <f t="shared" si="13"/>
        <v>179.64007820340893</v>
      </c>
      <c r="CX31" s="59">
        <f t="shared" si="14"/>
        <v>470.52896709229776</v>
      </c>
      <c r="CY31" s="59">
        <f ca="1">AVERAGE(OFFSET($CX$3,0,0,'Données projet'!$E$13+1,1))-AVERAGE(OFFSET($H$3,0,0,'Données projet'!$E$13+1,1))</f>
        <v>274.37717856763146</v>
      </c>
      <c r="CZ31" s="59">
        <f t="shared" si="42"/>
        <v>264.17357326498581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7.2855431326804396</v>
      </c>
      <c r="DI31" s="22">
        <f t="shared" si="15"/>
        <v>7.2855431326804396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99.290879999999973</v>
      </c>
      <c r="DQ31" s="13">
        <f t="shared" si="43"/>
        <v>26.792989580133234</v>
      </c>
      <c r="DR31" s="20">
        <f t="shared" si="16"/>
        <v>219.5960728520653</v>
      </c>
      <c r="DS31" s="59">
        <f t="shared" si="17"/>
        <v>510.48496174095419</v>
      </c>
      <c r="DT31" s="59">
        <f ca="1">AVERAGE(OFFSET($DS$3,0,0,'Données projet'!$E$14+1,1))-AVERAGE(OFFSET($H$3,0,0,'Données projet'!$E$14+1,1))</f>
        <v>304.26232113495314</v>
      </c>
      <c r="DU31" s="59">
        <f t="shared" si="44"/>
        <v>297.47246687305056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344.4940855044307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0.68296252186796447</v>
      </c>
      <c r="AC32" s="22">
        <f t="shared" si="3"/>
        <v>0.68296252186796447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91.999999999999986</v>
      </c>
      <c r="AJ32" s="13">
        <f>AI32*VLOOKUP('Données projet'!$B$10,Paramètres!$A$1:$I$89,3,0)*VLOOKUP('Données projet'!$B$10,Paramètres!$A$1:$I$89,5,0)</f>
        <v>61.713599999999992</v>
      </c>
      <c r="AK32" s="13">
        <f t="shared" si="35"/>
        <v>17.600808249116106</v>
      </c>
      <c r="AL32" s="20">
        <f t="shared" si="4"/>
        <v>138.1392610338772</v>
      </c>
      <c r="AM32" s="59">
        <f t="shared" si="5"/>
        <v>430.25037214498832</v>
      </c>
      <c r="AN32" s="59">
        <f ca="1">AVERAGE(OFFSET($AM$3,0,0,'Données projet'!$E$10+1,1))-AVERAGE(OFFSET($H$3,0,0,'Données projet'!$E$10+1,1))</f>
        <v>246.71489737733248</v>
      </c>
      <c r="AO32" s="59">
        <f t="shared" si="36"/>
        <v>185.03615139960783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1.8</v>
      </c>
      <c r="BD32" s="12">
        <f>IF('Données projet'!$A$88&gt;35,BD31+BC32-BL31,IF(A32&lt;'Données projet'!$A$88,$BA$205^A32,IF(A32='Données projet'!$A$88,'Données projet'!$B$88,BD31+BC32-BL31)))</f>
        <v>47.276715978165399</v>
      </c>
      <c r="BE32" s="13">
        <f>BD32*VLOOKUP('Données projet'!$B$11,Paramètres!$A$1:$I$89,3,0)*VLOOKUP('Données projet'!$B$11,Paramètres!$A$1:$I$89,5,0)</f>
        <v>45.726039694081571</v>
      </c>
      <c r="BF32" s="13">
        <f t="shared" si="37"/>
        <v>13.504316630098145</v>
      </c>
      <c r="BG32" s="20">
        <f t="shared" si="7"/>
        <v>103.15953726461299</v>
      </c>
      <c r="BH32" s="59">
        <f t="shared" si="8"/>
        <v>395.27064837572414</v>
      </c>
      <c r="BI32" s="59">
        <f ca="1">AVERAGE(OFFSET($BH$3,0,0,'Données projet'!$E$11+1,1))-AVERAGE(OFFSET($H$3,0,0,'Données projet'!$E$11+1,1))</f>
        <v>211.98817606983374</v>
      </c>
      <c r="BJ32" s="59">
        <f t="shared" si="38"/>
        <v>154.0840647586964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1.8</v>
      </c>
      <c r="BY32" s="12">
        <f>IF('Données projet'!$A$114&gt;35,BY31+BX32-CG31,IF(A32&lt;'Données projet'!$A$114,$BV$205^A32,IF(A32='Données projet'!$A$114,'Données projet'!$B$114,BY31+BX32-CG31)))</f>
        <v>47.276715978165399</v>
      </c>
      <c r="BZ32" s="13">
        <f>BY32*VLOOKUP('Données projet'!$B$12,Paramètres!$A$1:$I$89,3,0)*VLOOKUP('Données projet'!$B$12,Paramètres!$A$1:$I$89,5,0)</f>
        <v>50.888657078897232</v>
      </c>
      <c r="CA32" s="13">
        <f t="shared" si="39"/>
        <v>14.843023391197638</v>
      </c>
      <c r="CB32" s="20">
        <f t="shared" si="10"/>
        <v>114.48267681874857</v>
      </c>
      <c r="CC32" s="59">
        <f t="shared" si="11"/>
        <v>406.59378792985973</v>
      </c>
      <c r="CD32" s="59">
        <f ca="1">AVERAGE(OFFSET($CC$3,0,0,'Données projet'!$E$12+1,1))-AVERAGE(OFFSET($H$3,0,0,'Données projet'!$E$12+1,1))</f>
        <v>231.89176215692947</v>
      </c>
      <c r="CE32" s="59">
        <f t="shared" si="40"/>
        <v>166.97658184507787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117.80000000000001</v>
      </c>
      <c r="CU32" s="17">
        <f>CT32*VLOOKUP('Données projet'!$B$13,Paramètres!$A$1:$I$89,3,0)*VLOOKUP('Données projet'!$B$13,Paramètres!$A$1:$I$89,5,0)</f>
        <v>91.884000000000015</v>
      </c>
      <c r="CV32" s="13">
        <f t="shared" si="41"/>
        <v>25.019051117801563</v>
      </c>
      <c r="CW32" s="20">
        <f t="shared" si="13"/>
        <v>203.60614736350442</v>
      </c>
      <c r="CX32" s="59">
        <f t="shared" si="14"/>
        <v>495.71725847461556</v>
      </c>
      <c r="CY32" s="59">
        <f ca="1">AVERAGE(OFFSET($CX$3,0,0,'Données projet'!$E$13+1,1))-AVERAGE(OFFSET($H$3,0,0,'Données projet'!$E$13+1,1))</f>
        <v>274.37717856763146</v>
      </c>
      <c r="CZ32" s="59">
        <f t="shared" si="42"/>
        <v>264.17357326498581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5.1516569537454222</v>
      </c>
      <c r="DI32" s="22">
        <f t="shared" si="15"/>
        <v>5.1516569537454222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108.86303999999997</v>
      </c>
      <c r="DQ32" s="13">
        <f t="shared" si="43"/>
        <v>29.062946162784755</v>
      </c>
      <c r="DR32" s="20">
        <f t="shared" si="16"/>
        <v>240.22109256685007</v>
      </c>
      <c r="DS32" s="59">
        <f t="shared" si="17"/>
        <v>532.33220367796116</v>
      </c>
      <c r="DT32" s="59">
        <f ca="1">AVERAGE(OFFSET($DS$3,0,0,'Données projet'!$E$14+1,1))-AVERAGE(OFFSET($H$3,0,0,'Données projet'!$E$14+1,1))</f>
        <v>304.26232113495314</v>
      </c>
      <c r="DU32" s="59">
        <f t="shared" si="44"/>
        <v>297.47246687305056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344.4940855044307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7.6540339101227266</v>
      </c>
      <c r="AC33" s="22">
        <f t="shared" si="3"/>
        <v>7.6540339101227266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99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98.999999999999986</v>
      </c>
      <c r="AJ33" s="13">
        <f>AI33*VLOOKUP('Données projet'!$B$10,Paramètres!$A$1:$I$89,3,0)*VLOOKUP('Données projet'!$B$10,Paramètres!$A$1:$I$89,5,0)</f>
        <v>66.409199999999998</v>
      </c>
      <c r="AK33" s="13">
        <f t="shared" si="35"/>
        <v>18.779020899296363</v>
      </c>
      <c r="AL33" s="20">
        <f t="shared" si="4"/>
        <v>148.36948473294117</v>
      </c>
      <c r="AM33" s="59">
        <f t="shared" si="5"/>
        <v>441.70281806627452</v>
      </c>
      <c r="AN33" s="59">
        <f ca="1">AVERAGE(OFFSET($AM$3,0,0,'Données projet'!$E$10+1,1))-AVERAGE(OFFSET($H$3,0,0,'Données projet'!$E$10+1,1))</f>
        <v>246.71489737733248</v>
      </c>
      <c r="AO33" s="59">
        <f t="shared" si="36"/>
        <v>185.03615139960783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17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1.8</v>
      </c>
      <c r="BC33" s="12">
        <f t="array" ref="BC33">INDEX(BB:BB,MIN(IF(ISNUMBER(BB33:BB229),ROW(BB33:BB229),"")))</f>
        <v>1.8</v>
      </c>
      <c r="BD33" s="12">
        <f>IF('Données projet'!$A$88&gt;35,BD32+BC33-BL32,IF(A33&lt;'Données projet'!$A$88,$BA$205^A33,IF(A33='Données projet'!$A$88,'Données projet'!$B$88,BD32+BC33-BL32)))</f>
        <v>54</v>
      </c>
      <c r="BE33" s="13">
        <f>BD33*VLOOKUP('Données projet'!$B$11,Paramètres!$A$1:$I$89,3,0)*VLOOKUP('Données projet'!$B$11,Paramètres!$A$1:$I$89,5,0)</f>
        <v>52.2288</v>
      </c>
      <c r="BF33" s="13">
        <f t="shared" si="37"/>
        <v>15.187887899730002</v>
      </c>
      <c r="BG33" s="20">
        <f t="shared" si="7"/>
        <v>117.41739809202976</v>
      </c>
      <c r="BH33" s="59">
        <f t="shared" si="8"/>
        <v>410.75073142536309</v>
      </c>
      <c r="BI33" s="59">
        <f ca="1">AVERAGE(OFFSET($BH$3,0,0,'Données projet'!$E$11+1,1))-AVERAGE(OFFSET($H$3,0,0,'Données projet'!$E$11+1,1))</f>
        <v>211.98817606983374</v>
      </c>
      <c r="BJ33" s="59">
        <f t="shared" si="38"/>
        <v>154.0840647586964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1.8</v>
      </c>
      <c r="BX33" s="12">
        <f t="array" ref="BX33">INDEX(BW:BW,MIN(IF(ISNUMBER(BW33:BW229),ROW(BW33:BW229),"")))</f>
        <v>1.8</v>
      </c>
      <c r="BY33" s="12">
        <f>IF('Données projet'!$A$114&gt;35,BY32+BX33-CG32,IF(A33&lt;'Données projet'!$A$114,$BV$205^A33,IF(A33='Données projet'!$A$114,'Données projet'!$B$114,BY32+BX33-CG32)))</f>
        <v>54</v>
      </c>
      <c r="BZ33" s="13">
        <f>BY33*VLOOKUP('Données projet'!$B$12,Paramètres!$A$1:$I$89,3,0)*VLOOKUP('Données projet'!$B$12,Paramètres!$A$1:$I$89,5,0)</f>
        <v>58.125599999999999</v>
      </c>
      <c r="CA33" s="13">
        <f t="shared" si="39"/>
        <v>16.693490054590161</v>
      </c>
      <c r="CB33" s="20">
        <f t="shared" si="10"/>
        <v>130.30991517841122</v>
      </c>
      <c r="CC33" s="59">
        <f t="shared" si="11"/>
        <v>423.64324851174456</v>
      </c>
      <c r="CD33" s="59">
        <f ca="1">AVERAGE(OFFSET($CC$3,0,0,'Données projet'!$E$12+1,1))-AVERAGE(OFFSET($H$3,0,0,'Données projet'!$E$12+1,1))</f>
        <v>231.89176215692947</v>
      </c>
      <c r="CE33" s="59">
        <f t="shared" si="40"/>
        <v>166.97658184507787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132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132</v>
      </c>
      <c r="CU33" s="17">
        <f>CT33*VLOOKUP('Données projet'!$B$13,Paramètres!$A$1:$I$89,3,0)*VLOOKUP('Données projet'!$B$13,Paramètres!$A$1:$I$89,5,0)</f>
        <v>102.96000000000001</v>
      </c>
      <c r="CV33" s="13">
        <f t="shared" si="41"/>
        <v>27.665975080374633</v>
      </c>
      <c r="CW33" s="20">
        <f t="shared" si="13"/>
        <v>227.50690659831915</v>
      </c>
      <c r="CX33" s="59">
        <f t="shared" si="14"/>
        <v>520.84023993165249</v>
      </c>
      <c r="CY33" s="59">
        <f ca="1">AVERAGE(OFFSET($CX$3,0,0,'Données projet'!$E$13+1,1))-AVERAGE(OFFSET($H$3,0,0,'Données projet'!$E$13+1,1))</f>
        <v>274.37717856763146</v>
      </c>
      <c r="CZ33" s="59">
        <f t="shared" si="42"/>
        <v>264.17357326498581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1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21.305595407753088</v>
      </c>
      <c r="DI33" s="22">
        <f t="shared" si="15"/>
        <v>21.305595407753088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118.43519999999998</v>
      </c>
      <c r="DQ33" s="13">
        <f t="shared" si="43"/>
        <v>31.309757056296963</v>
      </c>
      <c r="DR33" s="20">
        <f t="shared" si="16"/>
        <v>260.80580020638388</v>
      </c>
      <c r="DS33" s="59">
        <f t="shared" si="17"/>
        <v>554.13913353971725</v>
      </c>
      <c r="DT33" s="59">
        <f ca="1">AVERAGE(OFFSET($DS$3,0,0,'Données projet'!$E$14+1,1))-AVERAGE(OFFSET($H$3,0,0,'Données projet'!$E$14+1,1))</f>
        <v>304.26232113495314</v>
      </c>
      <c r="DU33" s="59">
        <f t="shared" si="44"/>
        <v>297.47246687305056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84.2</v>
      </c>
      <c r="O34" s="13">
        <f>N34*VLOOKUP('Données projet'!$B$9,Paramètres!$A$1:$I$89,3,0)*VLOOKUP('Données projet'!$B$9,Paramètres!$A$1:$I$89,5,0)</f>
        <v>76.184160000000006</v>
      </c>
      <c r="P34" s="13">
        <f t="shared" si="33"/>
        <v>21.201554232857223</v>
      </c>
      <c r="Q34" s="20">
        <f t="shared" si="2"/>
        <v>169.613452288893</v>
      </c>
      <c r="R34" s="59">
        <f t="shared" si="0"/>
        <v>462.94678562222634</v>
      </c>
      <c r="S34" s="59">
        <f ca="1">AVERAGE(OFFSET($R$3,0,0,'Données projet'!$E$9+1,1))-AVERAGE(OFFSET($H$3,0,0,'Données projet'!$E$9+1,1))</f>
        <v>344.4940855044307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5.4122192812795662</v>
      </c>
      <c r="AC34" s="22">
        <f t="shared" si="3"/>
        <v>5.4122192812795662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7.4</v>
      </c>
      <c r="AI34" s="13">
        <f>IF('Données projet'!$A$62&gt;35,AI33+AH34-AQ33,IF(A34&lt;'Données projet'!$A$62,$AF$205^A34,IF(A34='Données projet'!$A$62,'Données projet'!$B$62,AI33+AH34-AQ33)))</f>
        <v>89.399999999999991</v>
      </c>
      <c r="AJ34" s="13">
        <f>AI34*VLOOKUP('Données projet'!$B$10,Paramètres!$A$1:$I$89,3,0)*VLOOKUP('Données projet'!$B$10,Paramètres!$A$1:$I$89,5,0)</f>
        <v>59.969519999999989</v>
      </c>
      <c r="AK34" s="13">
        <f t="shared" si="35"/>
        <v>17.160562484303114</v>
      </c>
      <c r="AL34" s="20">
        <f t="shared" si="4"/>
        <v>134.33489366016121</v>
      </c>
      <c r="AM34" s="59">
        <f t="shared" si="5"/>
        <v>427.6682269934945</v>
      </c>
      <c r="AN34" s="59">
        <f ca="1">AVERAGE(OFFSET($AM$3,0,0,'Données projet'!$E$10+1,1))-AVERAGE(OFFSET($H$3,0,0,'Données projet'!$E$10+1,1))</f>
        <v>246.71489737733248</v>
      </c>
      <c r="AO34" s="59">
        <f t="shared" si="36"/>
        <v>185.03615139960783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3.6</v>
      </c>
      <c r="BD34" s="12">
        <f>IF('Données projet'!$A$88&gt;35,BD33+BC34-BL33,IF(A34&lt;'Données projet'!$A$88,$BA$205^A34,IF(A34='Données projet'!$A$88,'Données projet'!$B$88,BD33+BC34-BL33)))</f>
        <v>48.6</v>
      </c>
      <c r="BE34" s="13">
        <f>BD34*VLOOKUP('Données projet'!$B$11,Paramètres!$A$1:$I$89,3,0)*VLOOKUP('Données projet'!$B$11,Paramètres!$A$1:$I$89,5,0)</f>
        <v>47.005920000000003</v>
      </c>
      <c r="BF34" s="13">
        <f t="shared" si="37"/>
        <v>13.83776861377101</v>
      </c>
      <c r="BG34" s="20">
        <f t="shared" si="7"/>
        <v>105.96942433565118</v>
      </c>
      <c r="BH34" s="59">
        <f t="shared" si="8"/>
        <v>399.3027576689845</v>
      </c>
      <c r="BI34" s="59">
        <f ca="1">AVERAGE(OFFSET($BH$3,0,0,'Données projet'!$E$11+1,1))-AVERAGE(OFFSET($H$3,0,0,'Données projet'!$E$11+1,1))</f>
        <v>211.98817606983374</v>
      </c>
      <c r="BJ34" s="59">
        <f t="shared" si="38"/>
        <v>154.0840647586964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3.6</v>
      </c>
      <c r="BY34" s="12">
        <f>IF('Données projet'!$A$114&gt;35,BY33+BX34-CG33,IF(A34&lt;'Données projet'!$A$114,$BV$205^A34,IF(A34='Données projet'!$A$114,'Données projet'!$B$114,BY33+BX34-CG33)))</f>
        <v>48.6</v>
      </c>
      <c r="BZ34" s="13">
        <f>BY34*VLOOKUP('Données projet'!$B$12,Paramètres!$A$1:$I$89,3,0)*VLOOKUP('Données projet'!$B$12,Paramètres!$A$1:$I$89,5,0)</f>
        <v>52.313040000000001</v>
      </c>
      <c r="CA34" s="13">
        <f t="shared" si="39"/>
        <v>15.209531059010045</v>
      </c>
      <c r="CB34" s="20">
        <f t="shared" si="10"/>
        <v>117.60181126110916</v>
      </c>
      <c r="CC34" s="59">
        <f t="shared" si="11"/>
        <v>410.93514459444248</v>
      </c>
      <c r="CD34" s="59">
        <f ca="1">AVERAGE(OFFSET($CC$3,0,0,'Données projet'!$E$12+1,1))-AVERAGE(OFFSET($H$3,0,0,'Données projet'!$E$12+1,1))</f>
        <v>231.89176215692947</v>
      </c>
      <c r="CE34" s="59">
        <f t="shared" si="40"/>
        <v>166.97658184507787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</v>
      </c>
      <c r="CT34" s="12">
        <f>IF('Données projet'!$A$140&gt;35,CT33+CS34-DB33,IF(A34&lt;'Données projet'!$A$140,$CQ$205^A34,IF(A34='Données projet'!$A$140,'Données projet'!$B$140,CT33+CS34-DB33)))</f>
        <v>118</v>
      </c>
      <c r="CU34" s="17">
        <f>CT34*VLOOKUP('Données projet'!$B$13,Paramètres!$A$1:$I$89,3,0)*VLOOKUP('Données projet'!$B$13,Paramètres!$A$1:$I$89,5,0)</f>
        <v>92.04</v>
      </c>
      <c r="CV34" s="13">
        <f t="shared" si="41"/>
        <v>25.056580235859606</v>
      </c>
      <c r="CW34" s="20">
        <f t="shared" si="13"/>
        <v>203.94321057745549</v>
      </c>
      <c r="CX34" s="59">
        <f t="shared" si="14"/>
        <v>497.2765439107888</v>
      </c>
      <c r="CY34" s="59">
        <f ca="1">AVERAGE(OFFSET($CX$3,0,0,'Données projet'!$E$13+1,1))-AVERAGE(OFFSET($H$3,0,0,'Données projet'!$E$13+1,1))</f>
        <v>274.37717856763146</v>
      </c>
      <c r="CZ34" s="59">
        <f t="shared" si="42"/>
        <v>264.17357326498581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15.065330990039175</v>
      </c>
      <c r="DI34" s="22">
        <f t="shared" si="15"/>
        <v>15.065330990039175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104.48256000000001</v>
      </c>
      <c r="DQ34" s="13">
        <f t="shared" si="43"/>
        <v>28.02716504477474</v>
      </c>
      <c r="DR34" s="20">
        <f t="shared" si="16"/>
        <v>230.78777111964931</v>
      </c>
      <c r="DS34" s="59">
        <f t="shared" si="17"/>
        <v>524.12110445298265</v>
      </c>
      <c r="DT34" s="59">
        <f ca="1">AVERAGE(OFFSET($DS$3,0,0,'Données projet'!$E$14+1,1))-AVERAGE(OFFSET($H$3,0,0,'Données projet'!$E$14+1,1))</f>
        <v>304.26232113495314</v>
      </c>
      <c r="DU34" s="59">
        <f t="shared" si="44"/>
        <v>297.47246687305056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92.4</v>
      </c>
      <c r="O35" s="13">
        <f>N35*VLOOKUP('Données projet'!$B$9,Paramètres!$A$1:$I$89,3,0)*VLOOKUP('Données projet'!$B$9,Paramètres!$A$1:$I$89,5,0)</f>
        <v>83.603520000000003</v>
      </c>
      <c r="P35" s="13">
        <f t="shared" si="33"/>
        <v>23.0159915192997</v>
      </c>
      <c r="Q35" s="20">
        <f t="shared" ref="Q35:Q66" si="53">(O35+P35)*0.475*44/12</f>
        <v>185.69564922944699</v>
      </c>
      <c r="R35" s="59">
        <f t="shared" si="0"/>
        <v>479.0289825627803</v>
      </c>
      <c r="S35" s="59">
        <f ca="1">AVERAGE(OFFSET($R$3,0,0,'Données projet'!$E$9+1,1))-AVERAGE(OFFSET($H$3,0,0,'Données projet'!$E$9+1,1))</f>
        <v>344.4940855044307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3.8270169550613642</v>
      </c>
      <c r="AC35" s="22">
        <f t="shared" si="3"/>
        <v>3.8270169550613642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7.4</v>
      </c>
      <c r="AI35" s="13">
        <f>IF('Données projet'!$A$62&gt;35,AI34+AH35-AQ34,IF(A35&lt;'Données projet'!$A$62,$AF$205^A35,IF(A35='Données projet'!$A$62,'Données projet'!$B$62,AI34+AH35-AQ34)))</f>
        <v>96.8</v>
      </c>
      <c r="AJ35" s="13">
        <f>AI35*VLOOKUP('Données projet'!$B$10,Paramètres!$A$1:$I$89,3,0)*VLOOKUP('Données projet'!$B$10,Paramètres!$A$1:$I$89,5,0)</f>
        <v>64.93343999999999</v>
      </c>
      <c r="AK35" s="13">
        <f t="shared" si="35"/>
        <v>18.409803501129879</v>
      </c>
      <c r="AL35" s="20">
        <f t="shared" si="4"/>
        <v>145.15614909780118</v>
      </c>
      <c r="AM35" s="59">
        <f t="shared" si="5"/>
        <v>438.48948243113449</v>
      </c>
      <c r="AN35" s="59">
        <f ca="1">AVERAGE(OFFSET($AM$3,0,0,'Données projet'!$E$10+1,1))-AVERAGE(OFFSET($H$3,0,0,'Données projet'!$E$10+1,1))</f>
        <v>246.71489737733248</v>
      </c>
      <c r="AO35" s="59">
        <f t="shared" si="36"/>
        <v>185.03615139960783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3.6</v>
      </c>
      <c r="BD35" s="12">
        <f>IF('Données projet'!$A$88&gt;35,BD34+BC35-BL34,IF(A35&lt;'Données projet'!$A$88,$BA$205^A35,IF(A35='Données projet'!$A$88,'Données projet'!$B$88,BD34+BC35-BL34)))</f>
        <v>52.2</v>
      </c>
      <c r="BE35" s="13">
        <f>BD35*VLOOKUP('Données projet'!$B$11,Paramètres!$A$1:$I$89,3,0)*VLOOKUP('Données projet'!$B$11,Paramètres!$A$1:$I$89,5,0)</f>
        <v>50.487840000000006</v>
      </c>
      <c r="BF35" s="13">
        <f t="shared" si="37"/>
        <v>14.73967518815938</v>
      </c>
      <c r="BG35" s="20">
        <f t="shared" si="7"/>
        <v>113.60458895271091</v>
      </c>
      <c r="BH35" s="59">
        <f t="shared" si="8"/>
        <v>406.93792228604423</v>
      </c>
      <c r="BI35" s="59">
        <f ca="1">AVERAGE(OFFSET($BH$3,0,0,'Données projet'!$E$11+1,1))-AVERAGE(OFFSET($H$3,0,0,'Données projet'!$E$11+1,1))</f>
        <v>211.98817606983374</v>
      </c>
      <c r="BJ35" s="59">
        <f t="shared" si="38"/>
        <v>154.0840647586964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3.6</v>
      </c>
      <c r="BY35" s="12">
        <f>IF('Données projet'!$A$114&gt;35,BY34+BX35-CG34,IF(A35&lt;'Données projet'!$A$114,$BV$205^A35,IF(A35='Données projet'!$A$114,'Données projet'!$B$114,BY34+BX35-CG34)))</f>
        <v>52.2</v>
      </c>
      <c r="BZ35" s="13">
        <f>BY35*VLOOKUP('Données projet'!$B$12,Paramètres!$A$1:$I$89,3,0)*VLOOKUP('Données projet'!$B$12,Paramètres!$A$1:$I$89,5,0)</f>
        <v>56.188080000000006</v>
      </c>
      <c r="CA35" s="13">
        <f t="shared" si="39"/>
        <v>16.200845225214124</v>
      </c>
      <c r="CB35" s="20">
        <f t="shared" si="10"/>
        <v>126.0773781005813</v>
      </c>
      <c r="CC35" s="59">
        <f t="shared" si="11"/>
        <v>419.41071143391463</v>
      </c>
      <c r="CD35" s="59">
        <f ca="1">AVERAGE(OFFSET($CC$3,0,0,'Données projet'!$E$12+1,1))-AVERAGE(OFFSET($H$3,0,0,'Données projet'!$E$12+1,1))</f>
        <v>231.89176215692947</v>
      </c>
      <c r="CE35" s="59">
        <f t="shared" si="40"/>
        <v>166.97658184507787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</v>
      </c>
      <c r="CT35" s="12">
        <f>IF('Données projet'!$A$140&gt;35,CT34+CS35-DB34,IF(A35&lt;'Données projet'!$A$140,$CQ$205^A35,IF(A35='Données projet'!$A$140,'Données projet'!$B$140,CT34+CS35-DB34)))</f>
        <v>128</v>
      </c>
      <c r="CU35" s="17">
        <f>CT35*VLOOKUP('Données projet'!$B$13,Paramètres!$A$1:$I$89,3,0)*VLOOKUP('Données projet'!$B$13,Paramètres!$A$1:$I$89,5,0)</f>
        <v>99.84</v>
      </c>
      <c r="CV35" s="13">
        <f t="shared" si="41"/>
        <v>26.923876203052867</v>
      </c>
      <c r="CW35" s="20">
        <f t="shared" si="13"/>
        <v>220.7804177203171</v>
      </c>
      <c r="CX35" s="59">
        <f t="shared" si="14"/>
        <v>514.11375105365039</v>
      </c>
      <c r="CY35" s="59">
        <f ca="1">AVERAGE(OFFSET($CX$3,0,0,'Données projet'!$E$13+1,1))-AVERAGE(OFFSET($H$3,0,0,'Données projet'!$E$13+1,1))</f>
        <v>274.37717856763146</v>
      </c>
      <c r="CZ35" s="59">
        <f t="shared" si="42"/>
        <v>264.17357326498581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10.652797703876546</v>
      </c>
      <c r="DI35" s="22">
        <f t="shared" si="15"/>
        <v>10.652797703876546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113.24352</v>
      </c>
      <c r="DQ35" s="13">
        <f t="shared" si="43"/>
        <v>30.093885898919435</v>
      </c>
      <c r="DR35" s="20">
        <f t="shared" si="16"/>
        <v>249.64598194061804</v>
      </c>
      <c r="DS35" s="59">
        <f t="shared" si="17"/>
        <v>542.97931527395133</v>
      </c>
      <c r="DT35" s="59">
        <f ca="1">AVERAGE(OFFSET($DS$3,0,0,'Données projet'!$E$14+1,1))-AVERAGE(OFFSET($H$3,0,0,'Données projet'!$E$14+1,1))</f>
        <v>304.26232113495314</v>
      </c>
      <c r="DU35" s="59">
        <f t="shared" si="44"/>
        <v>297.47246687305056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100.60000000000001</v>
      </c>
      <c r="O36" s="13">
        <f>N36*VLOOKUP('Données projet'!$B$9,Paramètres!$A$1:$I$89,3,0)*VLOOKUP('Données projet'!$B$9,Paramètres!$A$1:$I$89,5,0)</f>
        <v>91.022880000000001</v>
      </c>
      <c r="P36" s="13">
        <f t="shared" si="33"/>
        <v>24.811756526220293</v>
      </c>
      <c r="Q36" s="20">
        <f t="shared" si="53"/>
        <v>201.74532528316698</v>
      </c>
      <c r="R36" s="59">
        <f t="shared" si="0"/>
        <v>495.07865861650032</v>
      </c>
      <c r="S36" s="59">
        <f ca="1">AVERAGE(OFFSET($R$3,0,0,'Données projet'!$E$9+1,1))-AVERAGE(OFFSET($H$3,0,0,'Données projet'!$E$9+1,1))</f>
        <v>344.4940855044307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2.7061096406397835</v>
      </c>
      <c r="AC36" s="22">
        <f t="shared" si="3"/>
        <v>2.7061096406397835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7.4</v>
      </c>
      <c r="AI36" s="13">
        <f>IF('Données projet'!$A$62&gt;35,AI35+AH36-AQ35,IF(A36&lt;'Données projet'!$A$62,$AF$205^A36,IF(A36='Données projet'!$A$62,'Données projet'!$B$62,AI35+AH36-AQ35)))</f>
        <v>104.2</v>
      </c>
      <c r="AJ36" s="13">
        <f>AI36*VLOOKUP('Données projet'!$B$10,Paramètres!$A$1:$I$89,3,0)*VLOOKUP('Données projet'!$B$10,Paramètres!$A$1:$I$89,5,0)</f>
        <v>69.897359999999992</v>
      </c>
      <c r="AK36" s="13">
        <f t="shared" si="35"/>
        <v>19.647966265515983</v>
      </c>
      <c r="AL36" s="20">
        <f t="shared" si="4"/>
        <v>155.95810991244028</v>
      </c>
      <c r="AM36" s="59">
        <f t="shared" si="5"/>
        <v>449.29144324577362</v>
      </c>
      <c r="AN36" s="59">
        <f ca="1">AVERAGE(OFFSET($AM$3,0,0,'Données projet'!$E$10+1,1))-AVERAGE(OFFSET($H$3,0,0,'Données projet'!$E$10+1,1))</f>
        <v>246.71489737733248</v>
      </c>
      <c r="AO36" s="59">
        <f t="shared" si="36"/>
        <v>185.03615139960783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3.6</v>
      </c>
      <c r="BD36" s="12">
        <f>IF('Données projet'!$A$88&gt;35,BD35+BC36-BL35,IF(A36&lt;'Données projet'!$A$88,$BA$205^A36,IF(A36='Données projet'!$A$88,'Données projet'!$B$88,BD35+BC36-BL35)))</f>
        <v>55.800000000000004</v>
      </c>
      <c r="BE36" s="13">
        <f>BD36*VLOOKUP('Données projet'!$B$11,Paramètres!$A$1:$I$89,3,0)*VLOOKUP('Données projet'!$B$11,Paramètres!$A$1:$I$89,5,0)</f>
        <v>53.969760000000008</v>
      </c>
      <c r="BF36" s="13">
        <f t="shared" si="37"/>
        <v>15.634364575776658</v>
      </c>
      <c r="BG36" s="20">
        <f t="shared" si="7"/>
        <v>121.22718363614437</v>
      </c>
      <c r="BH36" s="59">
        <f t="shared" si="8"/>
        <v>414.5605169694777</v>
      </c>
      <c r="BI36" s="59">
        <f ca="1">AVERAGE(OFFSET($BH$3,0,0,'Données projet'!$E$11+1,1))-AVERAGE(OFFSET($H$3,0,0,'Données projet'!$E$11+1,1))</f>
        <v>211.98817606983374</v>
      </c>
      <c r="BJ36" s="59">
        <f t="shared" si="38"/>
        <v>154.0840647586964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3.6</v>
      </c>
      <c r="BY36" s="12">
        <f>IF('Données projet'!$A$114&gt;35,BY35+BX36-CG35,IF(A36&lt;'Données projet'!$A$114,$BV$205^A36,IF(A36='Données projet'!$A$114,'Données projet'!$B$114,BY35+BX36-CG35)))</f>
        <v>55.800000000000004</v>
      </c>
      <c r="BZ36" s="13">
        <f>BY36*VLOOKUP('Données projet'!$B$12,Paramètres!$A$1:$I$89,3,0)*VLOOKUP('Données projet'!$B$12,Paramètres!$A$1:$I$89,5,0)</f>
        <v>60.063120000000005</v>
      </c>
      <c r="CA36" s="13">
        <f t="shared" si="39"/>
        <v>17.184226752174279</v>
      </c>
      <c r="CB36" s="20">
        <f t="shared" si="10"/>
        <v>134.53912892670354</v>
      </c>
      <c r="CC36" s="59">
        <f t="shared" si="11"/>
        <v>427.87246226003685</v>
      </c>
      <c r="CD36" s="59">
        <f ca="1">AVERAGE(OFFSET($CC$3,0,0,'Données projet'!$E$12+1,1))-AVERAGE(OFFSET($H$3,0,0,'Données projet'!$E$12+1,1))</f>
        <v>231.89176215692947</v>
      </c>
      <c r="CE36" s="59">
        <f t="shared" si="40"/>
        <v>166.97658184507787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</v>
      </c>
      <c r="CT36" s="12">
        <f>IF('Données projet'!$A$140&gt;35,CT35+CS36-DB35,IF(A36&lt;'Données projet'!$A$140,$CQ$205^A36,IF(A36='Données projet'!$A$140,'Données projet'!$B$140,CT35+CS36-DB35)))</f>
        <v>138</v>
      </c>
      <c r="CU36" s="17">
        <f>CT36*VLOOKUP('Données projet'!$B$13,Paramètres!$A$1:$I$89,3,0)*VLOOKUP('Données projet'!$B$13,Paramètres!$A$1:$I$89,5,0)</f>
        <v>107.64</v>
      </c>
      <c r="CV36" s="13">
        <f t="shared" si="41"/>
        <v>28.774250263353583</v>
      </c>
      <c r="CW36" s="20">
        <f t="shared" si="13"/>
        <v>237.58815254200749</v>
      </c>
      <c r="CX36" s="59">
        <f t="shared" si="14"/>
        <v>530.92148587534075</v>
      </c>
      <c r="CY36" s="59">
        <f ca="1">AVERAGE(OFFSET($CX$3,0,0,'Données projet'!$E$13+1,1))-AVERAGE(OFFSET($H$3,0,0,'Données projet'!$E$13+1,1))</f>
        <v>274.37717856763146</v>
      </c>
      <c r="CZ36" s="59">
        <f t="shared" si="42"/>
        <v>264.17357326498581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7.5326654950195895</v>
      </c>
      <c r="DI36" s="22">
        <f t="shared" si="15"/>
        <v>7.5326654950195895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122.00448000000003</v>
      </c>
      <c r="DQ36" s="13">
        <f t="shared" si="43"/>
        <v>32.142059634860118</v>
      </c>
      <c r="DR36" s="20">
        <f t="shared" si="16"/>
        <v>268.47188986404808</v>
      </c>
      <c r="DS36" s="59">
        <f t="shared" si="17"/>
        <v>561.80522319738134</v>
      </c>
      <c r="DT36" s="59">
        <f ca="1">AVERAGE(OFFSET($DS$3,0,0,'Données projet'!$E$14+1,1))-AVERAGE(OFFSET($H$3,0,0,'Données projet'!$E$14+1,1))</f>
        <v>304.26232113495314</v>
      </c>
      <c r="DU36" s="59">
        <f t="shared" si="44"/>
        <v>297.47246687305056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108.80000000000001</v>
      </c>
      <c r="O37" s="13">
        <f>N37*VLOOKUP('Données projet'!$B$9,Paramètres!$A$1:$I$89,3,0)*VLOOKUP('Données projet'!$B$9,Paramètres!$A$1:$I$89,5,0)</f>
        <v>98.442239999999998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344.4940855044307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1.9135084775306823</v>
      </c>
      <c r="AC37" s="22">
        <f t="shared" si="3"/>
        <v>1.9135084775306823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7.4</v>
      </c>
      <c r="AI37" s="13">
        <f>IF('Données projet'!$A$62&gt;35,AI36+AH37-AQ36,IF(A37&lt;'Données projet'!$A$62,$AF$205^A37,IF(A37='Données projet'!$A$62,'Données projet'!$B$62,AI36+AH37-AQ36)))</f>
        <v>111.60000000000001</v>
      </c>
      <c r="AJ37" s="13">
        <f>AI37*VLOOKUP('Données projet'!$B$10,Paramètres!$A$1:$I$89,3,0)*VLOOKUP('Données projet'!$B$10,Paramètres!$A$1:$I$89,5,0)</f>
        <v>74.861280000000008</v>
      </c>
      <c r="AK37" s="13">
        <f t="shared" si="35"/>
        <v>20.875927007330482</v>
      </c>
      <c r="AL37" s="20">
        <f t="shared" si="4"/>
        <v>166.74230220443391</v>
      </c>
      <c r="AM37" s="59">
        <f t="shared" si="5"/>
        <v>460.0756355377672</v>
      </c>
      <c r="AN37" s="59">
        <f ca="1">AVERAGE(OFFSET($AM$3,0,0,'Données projet'!$E$10+1,1))-AVERAGE(OFFSET($H$3,0,0,'Données projet'!$E$10+1,1))</f>
        <v>246.71489737733248</v>
      </c>
      <c r="AO37" s="59">
        <f t="shared" si="36"/>
        <v>185.03615139960783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3.6</v>
      </c>
      <c r="BD37" s="12">
        <f>IF('Données projet'!$A$88&gt;35,BD36+BC37-BL36,IF(A37&lt;'Données projet'!$A$88,$BA$205^A37,IF(A37='Données projet'!$A$88,'Données projet'!$B$88,BD36+BC37-BL36)))</f>
        <v>59.400000000000006</v>
      </c>
      <c r="BE37" s="13">
        <f>BD37*VLOOKUP('Données projet'!$B$11,Paramètres!$A$1:$I$89,3,0)*VLOOKUP('Données projet'!$B$11,Paramètres!$A$1:$I$89,5,0)</f>
        <v>57.451680000000003</v>
      </c>
      <c r="BF37" s="13">
        <f t="shared" si="37"/>
        <v>16.522355395881359</v>
      </c>
      <c r="BG37" s="20">
        <f t="shared" si="7"/>
        <v>128.83811164782671</v>
      </c>
      <c r="BH37" s="59">
        <f t="shared" si="8"/>
        <v>422.17144498115999</v>
      </c>
      <c r="BI37" s="59">
        <f ca="1">AVERAGE(OFFSET($BH$3,0,0,'Données projet'!$E$11+1,1))-AVERAGE(OFFSET($H$3,0,0,'Données projet'!$E$11+1,1))</f>
        <v>211.98817606983374</v>
      </c>
      <c r="BJ37" s="59">
        <f t="shared" si="38"/>
        <v>154.0840647586964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3.6</v>
      </c>
      <c r="BY37" s="12">
        <f>IF('Données projet'!$A$114&gt;35,BY36+BX37-CG36,IF(A37&lt;'Données projet'!$A$114,$BV$205^A37,IF(A37='Données projet'!$A$114,'Données projet'!$B$114,BY36+BX37-CG36)))</f>
        <v>59.400000000000006</v>
      </c>
      <c r="BZ37" s="13">
        <f>BY37*VLOOKUP('Données projet'!$B$12,Paramètres!$A$1:$I$89,3,0)*VLOOKUP('Données projet'!$B$12,Paramètres!$A$1:$I$89,5,0)</f>
        <v>63.938160000000011</v>
      </c>
      <c r="CA37" s="13">
        <f t="shared" si="39"/>
        <v>18.160245670792243</v>
      </c>
      <c r="CB37" s="20">
        <f t="shared" si="10"/>
        <v>142.98805654329652</v>
      </c>
      <c r="CC37" s="59">
        <f t="shared" si="11"/>
        <v>436.32138987662984</v>
      </c>
      <c r="CD37" s="59">
        <f ca="1">AVERAGE(OFFSET($CC$3,0,0,'Données projet'!$E$12+1,1))-AVERAGE(OFFSET($H$3,0,0,'Données projet'!$E$12+1,1))</f>
        <v>231.89176215692947</v>
      </c>
      <c r="CE37" s="59">
        <f t="shared" si="40"/>
        <v>166.97658184507787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</v>
      </c>
      <c r="CT37" s="12">
        <f>IF('Données projet'!$A$140&gt;35,CT36+CS37-DB36,IF(A37&lt;'Données projet'!$A$140,$CQ$205^A37,IF(A37='Données projet'!$A$140,'Données projet'!$B$140,CT36+CS37-DB36)))</f>
        <v>148</v>
      </c>
      <c r="CU37" s="17">
        <f>CT37*VLOOKUP('Données projet'!$B$13,Paramètres!$A$1:$I$89,3,0)*VLOOKUP('Données projet'!$B$13,Paramètres!$A$1:$I$89,5,0)</f>
        <v>115.44</v>
      </c>
      <c r="CV37" s="13">
        <f t="shared" si="41"/>
        <v>30.60906809471021</v>
      </c>
      <c r="CW37" s="20">
        <f t="shared" si="13"/>
        <v>254.36879359828689</v>
      </c>
      <c r="CX37" s="59">
        <f t="shared" si="14"/>
        <v>547.70212693162023</v>
      </c>
      <c r="CY37" s="59">
        <f ca="1">AVERAGE(OFFSET($CX$3,0,0,'Données projet'!$E$13+1,1))-AVERAGE(OFFSET($H$3,0,0,'Données projet'!$E$13+1,1))</f>
        <v>274.37717856763146</v>
      </c>
      <c r="CZ37" s="59">
        <f t="shared" si="42"/>
        <v>264.17357326498581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5.3263988519382739</v>
      </c>
      <c r="DI37" s="22">
        <f t="shared" si="15"/>
        <v>5.3263988519382739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130.76544000000001</v>
      </c>
      <c r="DQ37" s="13">
        <f t="shared" si="43"/>
        <v>34.173169564532692</v>
      </c>
      <c r="DR37" s="20">
        <f t="shared" si="16"/>
        <v>287.26807832489447</v>
      </c>
      <c r="DS37" s="59">
        <f t="shared" si="17"/>
        <v>580.60141165822779</v>
      </c>
      <c r="DT37" s="59">
        <f ca="1">AVERAGE(OFFSET($DS$3,0,0,'Données projet'!$E$14+1,1))-AVERAGE(OFFSET($H$3,0,0,'Données projet'!$E$14+1,1))</f>
        <v>304.26232113495314</v>
      </c>
      <c r="DU37" s="59">
        <f t="shared" si="44"/>
        <v>297.47246687305056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117.00000000000001</v>
      </c>
      <c r="O38" s="13">
        <f>N38*VLOOKUP('Données projet'!$B$9,Paramètres!$A$1:$I$89,3,0)*VLOOKUP('Données projet'!$B$9,Paramètres!$A$1:$I$89,5,0)</f>
        <v>105.8616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344.4940855044307</v>
      </c>
      <c r="T38" s="59">
        <f t="shared" si="34"/>
        <v>231.36959598460686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1.353054820319892</v>
      </c>
      <c r="AC38" s="22">
        <f t="shared" si="3"/>
        <v>1.353054820319892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119</v>
      </c>
      <c r="AG38" s="12">
        <f>VLOOKUP(A38,'Données projet'!$A$61:$I$81,9,0)</f>
        <v>7.4</v>
      </c>
      <c r="AH38" s="12">
        <f t="array" ref="AH38">INDEX(AG:AG,MIN(IF(ISNUMBER(AG38:AG234),ROW(AG38:AG234),"")))</f>
        <v>7.4</v>
      </c>
      <c r="AI38" s="13">
        <f>IF('Données projet'!$A$62&gt;35,AI37+AH38-AQ37,IF(A38&lt;'Données projet'!$A$62,$AF$205^A38,IF(A38='Données projet'!$A$62,'Données projet'!$B$62,AI37+AH38-AQ37)))</f>
        <v>119.00000000000001</v>
      </c>
      <c r="AJ38" s="13">
        <f>AI38*VLOOKUP('Données projet'!$B$10,Paramètres!$A$1:$I$89,3,0)*VLOOKUP('Données projet'!$B$10,Paramètres!$A$1:$I$89,5,0)</f>
        <v>79.825200000000009</v>
      </c>
      <c r="AK38" s="13">
        <f t="shared" si="35"/>
        <v>22.094439180448873</v>
      </c>
      <c r="AL38" s="20">
        <f t="shared" si="4"/>
        <v>177.51003823928178</v>
      </c>
      <c r="AM38" s="59">
        <f t="shared" si="5"/>
        <v>470.84337157261507</v>
      </c>
      <c r="AN38" s="59">
        <f ca="1">AVERAGE(OFFSET($AM$3,0,0,'Données projet'!$E$10+1,1))-AVERAGE(OFFSET($H$3,0,0,'Données projet'!$E$10+1,1))</f>
        <v>246.71489737733248</v>
      </c>
      <c r="AO38" s="59">
        <f t="shared" si="36"/>
        <v>185.03615139960783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19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63</v>
      </c>
      <c r="BB38" s="12">
        <f>VLOOKUP(A38,'Données projet'!$A$87:$I$107,9,0)</f>
        <v>3.6</v>
      </c>
      <c r="BC38" s="12">
        <f t="array" ref="BC38">INDEX(BB:BB,MIN(IF(ISNUMBER(BB38:BB234),ROW(BB38:BB234),"")))</f>
        <v>3.6</v>
      </c>
      <c r="BD38" s="12">
        <f>IF('Données projet'!$A$88&gt;35,BD37+BC38-BL37,IF(A38&lt;'Données projet'!$A$88,$BA$205^A38,IF(A38='Données projet'!$A$88,'Données projet'!$B$88,BD37+BC38-BL37)))</f>
        <v>63.000000000000007</v>
      </c>
      <c r="BE38" s="13">
        <f>BD38*VLOOKUP('Données projet'!$B$11,Paramètres!$A$1:$I$89,3,0)*VLOOKUP('Données projet'!$B$11,Paramètres!$A$1:$I$89,5,0)</f>
        <v>60.933600000000006</v>
      </c>
      <c r="BF38" s="13">
        <f t="shared" si="37"/>
        <v>17.404099852856145</v>
      </c>
      <c r="BG38" s="20">
        <f t="shared" si="7"/>
        <v>136.4381605770578</v>
      </c>
      <c r="BH38" s="59">
        <f t="shared" si="8"/>
        <v>429.77149391039109</v>
      </c>
      <c r="BI38" s="59">
        <f ca="1">AVERAGE(OFFSET($BH$3,0,0,'Données projet'!$E$11+1,1))-AVERAGE(OFFSET($H$3,0,0,'Données projet'!$E$11+1,1))</f>
        <v>211.98817606983374</v>
      </c>
      <c r="BJ38" s="59">
        <f t="shared" si="38"/>
        <v>154.0840647586964</v>
      </c>
      <c r="BK38" s="15">
        <f>IF(ISNA(VLOOKUP(A38,'Données projet'!$A$87:$I$107,3,0)),0,VLOOKUP(A38,'Données projet'!$A$87:$I$107,3,0))</f>
        <v>2</v>
      </c>
      <c r="BL38" s="15">
        <f>IF(ISNA(VLOOKUP(A38,'Données projet'!$A$87:$I$107,4,0)),0,VLOOKUP(A38,'Données projet'!$A$87:$I$107,4,0))</f>
        <v>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63</v>
      </c>
      <c r="BW38" s="12">
        <f>VLOOKUP(A38,'Données projet'!$A$113:$I$133,9,0)</f>
        <v>3.6</v>
      </c>
      <c r="BX38" s="12">
        <f t="array" ref="BX38">INDEX(BW:BW,MIN(IF(ISNUMBER(BW38:BW234),ROW(BW38:BW234),"")))</f>
        <v>3.6</v>
      </c>
      <c r="BY38" s="12">
        <f>IF('Données projet'!$A$114&gt;35,BY37+BX38-CG37,IF(A38&lt;'Données projet'!$A$114,$BV$205^A38,IF(A38='Données projet'!$A$114,'Données projet'!$B$114,BY37+BX38-CG37)))</f>
        <v>63.000000000000007</v>
      </c>
      <c r="BZ38" s="13">
        <f>BY38*VLOOKUP('Données projet'!$B$12,Paramètres!$A$1:$I$89,3,0)*VLOOKUP('Données projet'!$B$12,Paramètres!$A$1:$I$89,5,0)</f>
        <v>67.813199999999995</v>
      </c>
      <c r="CA38" s="13">
        <f t="shared" si="39"/>
        <v>19.12939901326985</v>
      </c>
      <c r="CB38" s="20">
        <f t="shared" si="10"/>
        <v>151.42502661477829</v>
      </c>
      <c r="CC38" s="59">
        <f t="shared" si="11"/>
        <v>444.7583599481116</v>
      </c>
      <c r="CD38" s="59">
        <f ca="1">AVERAGE(OFFSET($CC$3,0,0,'Données projet'!$E$12+1,1))-AVERAGE(OFFSET($H$3,0,0,'Données projet'!$E$12+1,1))</f>
        <v>231.89176215692947</v>
      </c>
      <c r="CE38" s="59">
        <f t="shared" si="40"/>
        <v>166.97658184507787</v>
      </c>
      <c r="CF38" s="15">
        <f>IF(ISNA(VLOOKUP(A38,'Données projet'!$A$113:$I$133,3,0)),0,VLOOKUP(A38,'Données projet'!$A$113:$I$133,3,0))</f>
        <v>2</v>
      </c>
      <c r="CG38" s="15">
        <f>IF(ISNA(VLOOKUP(A38,'Données projet'!$A$113:$I$133,4,0)),0,VLOOKUP(A38,'Données projet'!$A$113:$I$133,4,0))</f>
        <v>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</v>
      </c>
      <c r="CT38" s="12">
        <f>IF('Données projet'!$A$140&gt;35,CT37+CS38-DB37,IF(A38&lt;'Données projet'!$A$140,$CQ$205^A38,IF(A38='Données projet'!$A$140,'Données projet'!$B$140,CT37+CS38-DB37)))</f>
        <v>158</v>
      </c>
      <c r="CU38" s="17">
        <f>CT38*VLOOKUP('Données projet'!$B$13,Paramètres!$A$1:$I$89,3,0)*VLOOKUP('Données projet'!$B$13,Paramètres!$A$1:$I$89,5,0)</f>
        <v>123.24000000000001</v>
      </c>
      <c r="CV38" s="13">
        <f t="shared" si="41"/>
        <v>32.429500380369085</v>
      </c>
      <c r="CW38" s="20">
        <f t="shared" si="13"/>
        <v>271.12437982914287</v>
      </c>
      <c r="CX38" s="59">
        <f t="shared" si="14"/>
        <v>564.45771316247624</v>
      </c>
      <c r="CY38" s="59">
        <f ca="1">AVERAGE(OFFSET($CX$3,0,0,'Données projet'!$E$13+1,1))-AVERAGE(OFFSET($H$3,0,0,'Données projet'!$E$13+1,1))</f>
        <v>274.37717856763146</v>
      </c>
      <c r="CZ38" s="59">
        <f t="shared" si="42"/>
        <v>264.17357326498581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3.7663327475097952</v>
      </c>
      <c r="DI38" s="22">
        <f t="shared" si="15"/>
        <v>3.7663327475097952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139.52640000000002</v>
      </c>
      <c r="DQ38" s="13">
        <f t="shared" si="43"/>
        <v>36.188488997813884</v>
      </c>
      <c r="DR38" s="20">
        <f t="shared" si="16"/>
        <v>306.03676500452588</v>
      </c>
      <c r="DS38" s="59">
        <f t="shared" si="17"/>
        <v>599.37009833785919</v>
      </c>
      <c r="DT38" s="59">
        <f ca="1">AVERAGE(OFFSET($DS$3,0,0,'Données projet'!$E$14+1,1))-AVERAGE(OFFSET($H$3,0,0,'Données projet'!$E$14+1,1))</f>
        <v>304.26232113495314</v>
      </c>
      <c r="DU38" s="59">
        <f t="shared" si="44"/>
        <v>297.47246687305056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0.159</v>
      </c>
      <c r="DZ38" s="16">
        <f>IF(ISNA(VLOOKUP(A38,'Données projet'!$A$165:$I$185,7,0)),0%,VLOOKUP(A38,'Données projet'!$A$165:$I$185,7,0))</f>
        <v>0.4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3.9766452489235058</v>
      </c>
      <c r="EC38" s="21">
        <f>EXP(-LN(2)/2)*EC37+(1-EXP(-LN(2)/2))/(LN(2)/2)*DW38*DZ38*VLOOKUP('Données projet'!$B$14,Paramètres!$A$1:$I$89,3,0)*0.475*44/12</f>
        <v>8.5723571710323778</v>
      </c>
      <c r="ED38" s="22">
        <f t="shared" si="18"/>
        <v>12.549002419955883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125.20000000000002</v>
      </c>
      <c r="O39" s="13">
        <f>N39*VLOOKUP('Données projet'!$B$9,Paramètres!$A$1:$I$89,3,0)*VLOOKUP('Données projet'!$B$9,Paramètres!$A$1:$I$89,5,0)</f>
        <v>113.28096000000001</v>
      </c>
      <c r="P39" s="13">
        <f t="shared" si="33"/>
        <v>30.102677097724484</v>
      </c>
      <c r="Q39" s="20">
        <f t="shared" si="53"/>
        <v>249.7265012785368</v>
      </c>
      <c r="R39" s="59">
        <f t="shared" si="0"/>
        <v>543.05983461187009</v>
      </c>
      <c r="S39" s="59">
        <f ca="1">AVERAGE(OFFSET($R$3,0,0,'Données projet'!$E$9+1,1))-AVERAGE(OFFSET($H$3,0,0,'Données projet'!$E$9+1,1))</f>
        <v>344.4940855044307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0.95675423876534127</v>
      </c>
      <c r="AC39" s="22">
        <f t="shared" si="3"/>
        <v>0.95675423876534127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7.4</v>
      </c>
      <c r="AI39" s="13">
        <f>IF('Données projet'!$A$62&gt;35,AI38+AH39-AQ38,IF(A39&lt;'Données projet'!$A$62,$AF$205^A39,IF(A39='Données projet'!$A$62,'Données projet'!$B$62,AI38+AH39-AQ38)))</f>
        <v>107.40000000000002</v>
      </c>
      <c r="AJ39" s="13">
        <f>AI39*VLOOKUP('Données projet'!$B$10,Paramètres!$A$1:$I$89,3,0)*VLOOKUP('Données projet'!$B$10,Paramètres!$A$1:$I$89,5,0)</f>
        <v>72.043920000000014</v>
      </c>
      <c r="AK39" s="13">
        <f t="shared" si="35"/>
        <v>20.180181610932372</v>
      </c>
      <c r="AL39" s="20">
        <f t="shared" si="4"/>
        <v>160.62364363904058</v>
      </c>
      <c r="AM39" s="59">
        <f t="shared" si="5"/>
        <v>453.95697697237392</v>
      </c>
      <c r="AN39" s="59">
        <f ca="1">AVERAGE(OFFSET($AM$3,0,0,'Données projet'!$E$10+1,1))-AVERAGE(OFFSET($H$3,0,0,'Données projet'!$E$10+1,1))</f>
        <v>246.71489737733248</v>
      </c>
      <c r="AO39" s="59">
        <f t="shared" si="36"/>
        <v>185.03615139960783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</v>
      </c>
      <c r="BD39" s="12">
        <f>IF('Données projet'!$A$88&gt;35,BD38+BC39-BL38,IF(A39&lt;'Données projet'!$A$88,$BA$205^A39,IF(A39='Données projet'!$A$88,'Données projet'!$B$88,BD38+BC39-BL38)))</f>
        <v>59</v>
      </c>
      <c r="BE39" s="13">
        <f>BD39*VLOOKUP('Données projet'!$B$11,Paramètres!$A$1:$I$89,3,0)*VLOOKUP('Données projet'!$B$11,Paramètres!$A$1:$I$89,5,0)</f>
        <v>57.064799999999998</v>
      </c>
      <c r="BF39" s="13">
        <f t="shared" si="37"/>
        <v>16.424005972947381</v>
      </c>
      <c r="BG39" s="20">
        <f t="shared" si="7"/>
        <v>127.99300373621668</v>
      </c>
      <c r="BH39" s="59">
        <f t="shared" si="8"/>
        <v>421.32633706954999</v>
      </c>
      <c r="BI39" s="59">
        <f ca="1">AVERAGE(OFFSET($BH$3,0,0,'Données projet'!$E$11+1,1))-AVERAGE(OFFSET($H$3,0,0,'Données projet'!$E$11+1,1))</f>
        <v>211.98817606983374</v>
      </c>
      <c r="BJ39" s="59">
        <f t="shared" si="38"/>
        <v>154.0840647586964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</v>
      </c>
      <c r="BY39" s="12">
        <f>IF('Données projet'!$A$114&gt;35,BY38+BX39-CG38,IF(A39&lt;'Données projet'!$A$114,$BV$205^A39,IF(A39='Données projet'!$A$114,'Données projet'!$B$114,BY38+BX39-CG38)))</f>
        <v>59</v>
      </c>
      <c r="BZ39" s="13">
        <f>BY39*VLOOKUP('Données projet'!$B$12,Paramètres!$A$1:$I$89,3,0)*VLOOKUP('Données projet'!$B$12,Paramètres!$A$1:$I$89,5,0)</f>
        <v>63.507599999999989</v>
      </c>
      <c r="CA39" s="13">
        <f t="shared" si="39"/>
        <v>18.052146695841799</v>
      </c>
      <c r="CB39" s="20">
        <f t="shared" si="10"/>
        <v>142.04989216192445</v>
      </c>
      <c r="CC39" s="59">
        <f t="shared" si="11"/>
        <v>435.38322549525776</v>
      </c>
      <c r="CD39" s="59">
        <f ca="1">AVERAGE(OFFSET($CC$3,0,0,'Données projet'!$E$12+1,1))-AVERAGE(OFFSET($H$3,0,0,'Données projet'!$E$12+1,1))</f>
        <v>231.89176215692947</v>
      </c>
      <c r="CE39" s="59">
        <f t="shared" si="40"/>
        <v>166.97658184507787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</v>
      </c>
      <c r="CT39" s="12">
        <f>IF('Données projet'!$A$140&gt;35,CT38+CS39-DB38,IF(A39&lt;'Données projet'!$A$140,$CQ$205^A39,IF(A39='Données projet'!$A$140,'Données projet'!$B$140,CT38+CS39-DB38)))</f>
        <v>168</v>
      </c>
      <c r="CU39" s="17">
        <f>CT39*VLOOKUP('Données projet'!$B$13,Paramètres!$A$1:$I$89,3,0)*VLOOKUP('Données projet'!$B$13,Paramètres!$A$1:$I$89,5,0)</f>
        <v>131.04</v>
      </c>
      <c r="CV39" s="13">
        <f t="shared" si="41"/>
        <v>34.236561238949918</v>
      </c>
      <c r="CW39" s="20">
        <f t="shared" si="13"/>
        <v>287.85667749117107</v>
      </c>
      <c r="CX39" s="59">
        <f t="shared" si="14"/>
        <v>581.19001082450438</v>
      </c>
      <c r="CY39" s="59">
        <f ca="1">AVERAGE(OFFSET($CX$3,0,0,'Données projet'!$E$13+1,1))-AVERAGE(OFFSET($H$3,0,0,'Données projet'!$E$13+1,1))</f>
        <v>274.37717856763146</v>
      </c>
      <c r="CZ39" s="59">
        <f t="shared" si="42"/>
        <v>264.17357326498581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2.6631994259691374</v>
      </c>
      <c r="DI39" s="22">
        <f t="shared" si="15"/>
        <v>2.6631994259691374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124.60032000000002</v>
      </c>
      <c r="DQ39" s="13">
        <f t="shared" si="43"/>
        <v>32.745587947600931</v>
      </c>
      <c r="DR39" s="20">
        <f t="shared" si="16"/>
        <v>274.04412300873832</v>
      </c>
      <c r="DS39" s="59">
        <f t="shared" si="17"/>
        <v>567.37745634207158</v>
      </c>
      <c r="DT39" s="59">
        <f ca="1">AVERAGE(OFFSET($DS$3,0,0,'Données projet'!$E$14+1,1))-AVERAGE(OFFSET($H$3,0,0,'Données projet'!$E$14+1,1))</f>
        <v>304.26232113495314</v>
      </c>
      <c r="DU39" s="59">
        <f t="shared" si="44"/>
        <v>297.47246687305056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3.8679036754690075</v>
      </c>
      <c r="EC39" s="21">
        <f>EXP(-LN(2)/2)*EC38+(1-EXP(-LN(2)/2))/(LN(2)/2)*DW39*DZ39*VLOOKUP('Données projet'!$B$14,Paramètres!$A$1:$I$89,3,0)*0.475*44/12</f>
        <v>6.0615718863901238</v>
      </c>
      <c r="ED39" s="22">
        <f t="shared" si="18"/>
        <v>9.9294755618591317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133.4</v>
      </c>
      <c r="O40" s="13">
        <f>N40*VLOOKUP('Données projet'!$B$9,Paramètres!$A$1:$I$89,3,0)*VLOOKUP('Données projet'!$B$9,Paramètres!$A$1:$I$89,5,0)</f>
        <v>120.70032</v>
      </c>
      <c r="P40" s="13">
        <f t="shared" si="33"/>
        <v>31.838282075030818</v>
      </c>
      <c r="Q40" s="20">
        <f t="shared" si="53"/>
        <v>265.67139861401199</v>
      </c>
      <c r="R40" s="59">
        <f t="shared" si="0"/>
        <v>559.00473194734536</v>
      </c>
      <c r="S40" s="59">
        <f ca="1">AVERAGE(OFFSET($R$3,0,0,'Données projet'!$E$9+1,1))-AVERAGE(OFFSET($H$3,0,0,'Données projet'!$E$9+1,1))</f>
        <v>344.4940855044307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0.67652741015994611</v>
      </c>
      <c r="AC40" s="22">
        <f t="shared" si="3"/>
        <v>0.67652741015994611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7.4</v>
      </c>
      <c r="AI40" s="13">
        <f>IF('Données projet'!$A$62&gt;35,AI39+AH40-AQ39,IF(A40&lt;'Données projet'!$A$62,$AF$205^A40,IF(A40='Données projet'!$A$62,'Données projet'!$B$62,AI39+AH40-AQ39)))</f>
        <v>114.80000000000003</v>
      </c>
      <c r="AJ40" s="13">
        <f>AI40*VLOOKUP('Données projet'!$B$10,Paramètres!$A$1:$I$89,3,0)*VLOOKUP('Données projet'!$B$10,Paramètres!$A$1:$I$89,5,0)</f>
        <v>77.007840000000016</v>
      </c>
      <c r="AK40" s="13">
        <f t="shared" si="35"/>
        <v>21.403970296972933</v>
      </c>
      <c r="AL40" s="20">
        <f t="shared" si="4"/>
        <v>171.4005696005612</v>
      </c>
      <c r="AM40" s="59">
        <f t="shared" si="5"/>
        <v>464.73390293389451</v>
      </c>
      <c r="AN40" s="59">
        <f ca="1">AVERAGE(OFFSET($AM$3,0,0,'Données projet'!$E$10+1,1))-AVERAGE(OFFSET($H$3,0,0,'Données projet'!$E$10+1,1))</f>
        <v>246.71489737733248</v>
      </c>
      <c r="AO40" s="59">
        <f t="shared" si="36"/>
        <v>185.03615139960783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</v>
      </c>
      <c r="BD40" s="12">
        <f>IF('Données projet'!$A$88&gt;35,BD39+BC40-BL39,IF(A40&lt;'Données projet'!$A$88,$BA$205^A40,IF(A40='Données projet'!$A$88,'Données projet'!$B$88,BD39+BC40-BL39)))</f>
        <v>63</v>
      </c>
      <c r="BE40" s="13">
        <f>BD40*VLOOKUP('Données projet'!$B$11,Paramètres!$A$1:$I$89,3,0)*VLOOKUP('Données projet'!$B$11,Paramètres!$A$1:$I$89,5,0)</f>
        <v>60.933600000000006</v>
      </c>
      <c r="BF40" s="13">
        <f t="shared" si="37"/>
        <v>17.404099852856145</v>
      </c>
      <c r="BG40" s="20">
        <f t="shared" si="7"/>
        <v>136.4381605770578</v>
      </c>
      <c r="BH40" s="59">
        <f t="shared" si="8"/>
        <v>429.77149391039109</v>
      </c>
      <c r="BI40" s="59">
        <f ca="1">AVERAGE(OFFSET($BH$3,0,0,'Données projet'!$E$11+1,1))-AVERAGE(OFFSET($H$3,0,0,'Données projet'!$E$11+1,1))</f>
        <v>211.98817606983374</v>
      </c>
      <c r="BJ40" s="59">
        <f t="shared" si="38"/>
        <v>154.0840647586964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</v>
      </c>
      <c r="BY40" s="12">
        <f>IF('Données projet'!$A$114&gt;35,BY39+BX40-CG39,IF(A40&lt;'Données projet'!$A$114,$BV$205^A40,IF(A40='Données projet'!$A$114,'Données projet'!$B$114,BY39+BX40-CG39)))</f>
        <v>63</v>
      </c>
      <c r="BZ40" s="13">
        <f>BY40*VLOOKUP('Données projet'!$B$12,Paramètres!$A$1:$I$89,3,0)*VLOOKUP('Données projet'!$B$12,Paramètres!$A$1:$I$89,5,0)</f>
        <v>67.813199999999995</v>
      </c>
      <c r="CA40" s="13">
        <f t="shared" si="39"/>
        <v>19.12939901326985</v>
      </c>
      <c r="CB40" s="20">
        <f t="shared" si="10"/>
        <v>151.42502661477829</v>
      </c>
      <c r="CC40" s="59">
        <f t="shared" si="11"/>
        <v>444.7583599481116</v>
      </c>
      <c r="CD40" s="59">
        <f ca="1">AVERAGE(OFFSET($CC$3,0,0,'Données projet'!$E$12+1,1))-AVERAGE(OFFSET($H$3,0,0,'Données projet'!$E$12+1,1))</f>
        <v>231.89176215692947</v>
      </c>
      <c r="CE40" s="59">
        <f t="shared" si="40"/>
        <v>166.97658184507787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</v>
      </c>
      <c r="CT40" s="12">
        <f>IF('Données projet'!$A$140&gt;35,CT39+CS40-DB39,IF(A40&lt;'Données projet'!$A$140,$CQ$205^A40,IF(A40='Données projet'!$A$140,'Données projet'!$B$140,CT39+CS40-DB39)))</f>
        <v>178</v>
      </c>
      <c r="CU40" s="17">
        <f>CT40*VLOOKUP('Données projet'!$B$13,Paramètres!$A$1:$I$89,3,0)*VLOOKUP('Données projet'!$B$13,Paramètres!$A$1:$I$89,5,0)</f>
        <v>138.84</v>
      </c>
      <c r="CV40" s="13">
        <f t="shared" si="41"/>
        <v>36.031137240112955</v>
      </c>
      <c r="CW40" s="20">
        <f t="shared" si="13"/>
        <v>304.56723069319668</v>
      </c>
      <c r="CX40" s="59">
        <f t="shared" si="14"/>
        <v>597.90056402652999</v>
      </c>
      <c r="CY40" s="59">
        <f ca="1">AVERAGE(OFFSET($CX$3,0,0,'Données projet'!$E$13+1,1))-AVERAGE(OFFSET($H$3,0,0,'Données projet'!$E$13+1,1))</f>
        <v>274.37717856763146</v>
      </c>
      <c r="CZ40" s="59">
        <f t="shared" si="42"/>
        <v>264.17357326498581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1.883166373754898</v>
      </c>
      <c r="DI40" s="22">
        <f t="shared" si="15"/>
        <v>1.883166373754898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132.38784000000004</v>
      </c>
      <c r="DQ40" s="13">
        <f t="shared" si="43"/>
        <v>34.547533199821324</v>
      </c>
      <c r="DR40" s="20">
        <f t="shared" si="16"/>
        <v>290.74577498968887</v>
      </c>
      <c r="DS40" s="59">
        <f t="shared" si="17"/>
        <v>584.07910832302218</v>
      </c>
      <c r="DT40" s="59">
        <f ca="1">AVERAGE(OFFSET($DS$3,0,0,'Données projet'!$E$14+1,1))-AVERAGE(OFFSET($H$3,0,0,'Données projet'!$E$14+1,1))</f>
        <v>304.26232113495314</v>
      </c>
      <c r="DU40" s="59">
        <f t="shared" si="44"/>
        <v>297.47246687305056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3.7621356460590936</v>
      </c>
      <c r="EC40" s="21">
        <f>EXP(-LN(2)/2)*EC39+(1-EXP(-LN(2)/2))/(LN(2)/2)*DW40*DZ40*VLOOKUP('Données projet'!$B$14,Paramètres!$A$1:$I$89,3,0)*0.475*44/12</f>
        <v>4.2861785855161898</v>
      </c>
      <c r="ED40" s="22">
        <f t="shared" si="18"/>
        <v>8.0483142315752829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141.6</v>
      </c>
      <c r="O41" s="13">
        <f>N41*VLOOKUP('Données projet'!$B$9,Paramètres!$A$1:$I$89,3,0)*VLOOKUP('Données projet'!$B$9,Paramètres!$A$1:$I$89,5,0)</f>
        <v>128.11967999999999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344.4940855044307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0.47837711938267075</v>
      </c>
      <c r="AC41" s="22">
        <f t="shared" si="3"/>
        <v>0.47837711938267075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7.4</v>
      </c>
      <c r="AI41" s="13">
        <f>IF('Données projet'!$A$62&gt;35,AI40+AH41-AQ40,IF(A41&lt;'Données projet'!$A$62,$AF$205^A41,IF(A41='Données projet'!$A$62,'Données projet'!$B$62,AI40+AH41-AQ40)))</f>
        <v>122.20000000000003</v>
      </c>
      <c r="AJ41" s="13">
        <f>AI41*VLOOKUP('Données projet'!$B$10,Paramètres!$A$1:$I$89,3,0)*VLOOKUP('Données projet'!$B$10,Paramètres!$A$1:$I$89,5,0)</f>
        <v>81.971760000000017</v>
      </c>
      <c r="AK41" s="13">
        <f t="shared" si="35"/>
        <v>22.618604401803893</v>
      </c>
      <c r="AL41" s="20">
        <f t="shared" si="4"/>
        <v>182.1615513331418</v>
      </c>
      <c r="AM41" s="59">
        <f t="shared" si="5"/>
        <v>475.49488466647512</v>
      </c>
      <c r="AN41" s="59">
        <f ca="1">AVERAGE(OFFSET($AM$3,0,0,'Données projet'!$E$10+1,1))-AVERAGE(OFFSET($H$3,0,0,'Données projet'!$E$10+1,1))</f>
        <v>246.71489737733248</v>
      </c>
      <c r="AO41" s="59">
        <f t="shared" si="36"/>
        <v>185.03615139960783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</v>
      </c>
      <c r="BD41" s="12">
        <f>IF('Données projet'!$A$88&gt;35,BD40+BC41-BL40,IF(A41&lt;'Données projet'!$A$88,$BA$205^A41,IF(A41='Données projet'!$A$88,'Données projet'!$B$88,BD40+BC41-BL40)))</f>
        <v>67</v>
      </c>
      <c r="BE41" s="13">
        <f>BD41*VLOOKUP('Données projet'!$B$11,Paramètres!$A$1:$I$89,3,0)*VLOOKUP('Données projet'!$B$11,Paramètres!$A$1:$I$89,5,0)</f>
        <v>64.802400000000006</v>
      </c>
      <c r="BF41" s="13">
        <f t="shared" si="37"/>
        <v>18.376971951830182</v>
      </c>
      <c r="BG41" s="20">
        <f t="shared" si="7"/>
        <v>144.87073948277092</v>
      </c>
      <c r="BH41" s="59">
        <f t="shared" si="8"/>
        <v>438.20407281610426</v>
      </c>
      <c r="BI41" s="59">
        <f ca="1">AVERAGE(OFFSET($BH$3,0,0,'Données projet'!$E$11+1,1))-AVERAGE(OFFSET($H$3,0,0,'Données projet'!$E$11+1,1))</f>
        <v>211.98817606983374</v>
      </c>
      <c r="BJ41" s="59">
        <f t="shared" si="38"/>
        <v>154.0840647586964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</v>
      </c>
      <c r="BY41" s="12">
        <f>IF('Données projet'!$A$114&gt;35,BY40+BX41-CG40,IF(A41&lt;'Données projet'!$A$114,$BV$205^A41,IF(A41='Données projet'!$A$114,'Données projet'!$B$114,BY40+BX41-CG40)))</f>
        <v>67</v>
      </c>
      <c r="BZ41" s="13">
        <f>BY41*VLOOKUP('Données projet'!$B$12,Paramètres!$A$1:$I$89,3,0)*VLOOKUP('Données projet'!$B$12,Paramètres!$A$1:$I$89,5,0)</f>
        <v>72.118799999999993</v>
      </c>
      <c r="CA41" s="13">
        <f t="shared" si="39"/>
        <v>20.198713641862817</v>
      </c>
      <c r="CB41" s="20">
        <f t="shared" si="10"/>
        <v>160.78633625957769</v>
      </c>
      <c r="CC41" s="59">
        <f t="shared" si="11"/>
        <v>454.11966959291101</v>
      </c>
      <c r="CD41" s="59">
        <f ca="1">AVERAGE(OFFSET($CC$3,0,0,'Données projet'!$E$12+1,1))-AVERAGE(OFFSET($H$3,0,0,'Données projet'!$E$12+1,1))</f>
        <v>231.89176215692947</v>
      </c>
      <c r="CE41" s="59">
        <f t="shared" si="40"/>
        <v>166.97658184507787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</v>
      </c>
      <c r="CT41" s="12">
        <f>IF('Données projet'!$A$140&gt;35,CT40+CS41-DB40,IF(A41&lt;'Données projet'!$A$140,$CQ$205^A41,IF(A41='Données projet'!$A$140,'Données projet'!$B$140,CT40+CS41-DB40)))</f>
        <v>188</v>
      </c>
      <c r="CU41" s="17">
        <f>CT41*VLOOKUP('Données projet'!$B$13,Paramètres!$A$1:$I$89,3,0)*VLOOKUP('Données projet'!$B$13,Paramètres!$A$1:$I$89,5,0)</f>
        <v>146.64000000000001</v>
      </c>
      <c r="CV41" s="13">
        <f t="shared" si="41"/>
        <v>37.814009712703054</v>
      </c>
      <c r="CW41" s="20">
        <f t="shared" si="13"/>
        <v>321.25740024962448</v>
      </c>
      <c r="CX41" s="59">
        <f t="shared" si="14"/>
        <v>614.5907335829578</v>
      </c>
      <c r="CY41" s="59">
        <f ca="1">AVERAGE(OFFSET($CX$3,0,0,'Données projet'!$E$13+1,1))-AVERAGE(OFFSET($H$3,0,0,'Données projet'!$E$13+1,1))</f>
        <v>274.37717856763146</v>
      </c>
      <c r="CZ41" s="59">
        <f t="shared" si="42"/>
        <v>264.17357326498581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1.3315997129845689</v>
      </c>
      <c r="DI41" s="22">
        <f t="shared" si="15"/>
        <v>1.3315997129845689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140.17536000000001</v>
      </c>
      <c r="DQ41" s="13">
        <f t="shared" si="43"/>
        <v>36.337175081323657</v>
      </c>
      <c r="DR41" s="20">
        <f t="shared" si="16"/>
        <v>307.42599859997205</v>
      </c>
      <c r="DS41" s="59">
        <f t="shared" si="17"/>
        <v>600.75933193330536</v>
      </c>
      <c r="DT41" s="59">
        <f ca="1">AVERAGE(OFFSET($DS$3,0,0,'Données projet'!$E$14+1,1))-AVERAGE(OFFSET($H$3,0,0,'Données projet'!$E$14+1,1))</f>
        <v>304.26232113495314</v>
      </c>
      <c r="DU41" s="59">
        <f t="shared" si="44"/>
        <v>297.47246687305056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3.6592598489754926</v>
      </c>
      <c r="EC41" s="21">
        <f>EXP(-LN(2)/2)*EC40+(1-EXP(-LN(2)/2))/(LN(2)/2)*DW41*DZ41*VLOOKUP('Données projet'!$B$14,Paramètres!$A$1:$I$89,3,0)*0.475*44/12</f>
        <v>3.0307859431950623</v>
      </c>
      <c r="ED41" s="22">
        <f t="shared" si="18"/>
        <v>6.6900457921705545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149.79999999999998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344.4940855044307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0.33826370507997311</v>
      </c>
      <c r="AC42" s="22">
        <f t="shared" si="3"/>
        <v>0.33826370507997311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7.4</v>
      </c>
      <c r="AI42" s="13">
        <f>IF('Données projet'!$A$62&gt;35,AI41+AH42-AQ41,IF(A42&lt;'Données projet'!$A$62,$AF$205^A42,IF(A42='Données projet'!$A$62,'Données projet'!$B$62,AI41+AH42-AQ41)))</f>
        <v>129.60000000000002</v>
      </c>
      <c r="AJ42" s="13">
        <f>AI42*VLOOKUP('Données projet'!$B$10,Paramètres!$A$1:$I$89,3,0)*VLOOKUP('Données projet'!$B$10,Paramètres!$A$1:$I$89,5,0)</f>
        <v>86.935680000000019</v>
      </c>
      <c r="AK42" s="13">
        <f t="shared" si="35"/>
        <v>23.824701424211984</v>
      </c>
      <c r="AL42" s="20">
        <f t="shared" si="4"/>
        <v>192.90766431383591</v>
      </c>
      <c r="AM42" s="59">
        <f t="shared" si="5"/>
        <v>486.24099764716925</v>
      </c>
      <c r="AN42" s="59">
        <f ca="1">AVERAGE(OFFSET($AM$3,0,0,'Données projet'!$E$10+1,1))-AVERAGE(OFFSET($H$3,0,0,'Données projet'!$E$10+1,1))</f>
        <v>246.71489737733248</v>
      </c>
      <c r="AO42" s="59">
        <f t="shared" si="36"/>
        <v>185.03615139960783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</v>
      </c>
      <c r="BD42" s="12">
        <f>IF('Données projet'!$A$88&gt;35,BD41+BC42-BL41,IF(A42&lt;'Données projet'!$A$88,$BA$205^A42,IF(A42='Données projet'!$A$88,'Données projet'!$B$88,BD41+BC42-BL41)))</f>
        <v>71</v>
      </c>
      <c r="BE42" s="13">
        <f>BD42*VLOOKUP('Données projet'!$B$11,Paramètres!$A$1:$I$89,3,0)*VLOOKUP('Données projet'!$B$11,Paramètres!$A$1:$I$89,5,0)</f>
        <v>68.671200000000013</v>
      </c>
      <c r="BF42" s="13">
        <f t="shared" si="37"/>
        <v>19.343102525659866</v>
      </c>
      <c r="BG42" s="20">
        <f t="shared" si="7"/>
        <v>153.29157689885758</v>
      </c>
      <c r="BH42" s="59">
        <f t="shared" si="8"/>
        <v>446.62491023219093</v>
      </c>
      <c r="BI42" s="59">
        <f ca="1">AVERAGE(OFFSET($BH$3,0,0,'Données projet'!$E$11+1,1))-AVERAGE(OFFSET($H$3,0,0,'Données projet'!$E$11+1,1))</f>
        <v>211.98817606983374</v>
      </c>
      <c r="BJ42" s="59">
        <f t="shared" si="38"/>
        <v>154.0840647586964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</v>
      </c>
      <c r="BY42" s="12">
        <f>IF('Données projet'!$A$114&gt;35,BY41+BX42-CG41,IF(A42&lt;'Données projet'!$A$114,$BV$205^A42,IF(A42='Données projet'!$A$114,'Données projet'!$B$114,BY41+BX42-CG41)))</f>
        <v>71</v>
      </c>
      <c r="BZ42" s="13">
        <f>BY42*VLOOKUP('Données projet'!$B$12,Paramètres!$A$1:$I$89,3,0)*VLOOKUP('Données projet'!$B$12,Paramètres!$A$1:$I$89,5,0)</f>
        <v>76.424399999999991</v>
      </c>
      <c r="CA42" s="13">
        <f t="shared" si="39"/>
        <v>21.260618446015851</v>
      </c>
      <c r="CB42" s="20">
        <f t="shared" si="10"/>
        <v>170.13474046014426</v>
      </c>
      <c r="CC42" s="59">
        <f t="shared" si="11"/>
        <v>463.46807379347757</v>
      </c>
      <c r="CD42" s="59">
        <f ca="1">AVERAGE(OFFSET($CC$3,0,0,'Données projet'!$E$12+1,1))-AVERAGE(OFFSET($H$3,0,0,'Données projet'!$E$12+1,1))</f>
        <v>231.89176215692947</v>
      </c>
      <c r="CE42" s="59">
        <f t="shared" si="40"/>
        <v>166.97658184507787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</v>
      </c>
      <c r="CT42" s="12">
        <f>IF('Données projet'!$A$140&gt;35,CT41+CS42-DB41,IF(A42&lt;'Données projet'!$A$140,$CQ$205^A42,IF(A42='Données projet'!$A$140,'Données projet'!$B$140,CT41+CS42-DB41)))</f>
        <v>198</v>
      </c>
      <c r="CU42" s="17">
        <f>CT42*VLOOKUP('Données projet'!$B$13,Paramètres!$A$1:$I$89,3,0)*VLOOKUP('Données projet'!$B$13,Paramètres!$A$1:$I$89,5,0)</f>
        <v>154.44</v>
      </c>
      <c r="CV42" s="13">
        <f t="shared" si="41"/>
        <v>39.58587217095549</v>
      </c>
      <c r="CW42" s="20">
        <f t="shared" si="13"/>
        <v>337.92839403108081</v>
      </c>
      <c r="CX42" s="59">
        <f t="shared" si="14"/>
        <v>631.26172736441413</v>
      </c>
      <c r="CY42" s="59">
        <f ca="1">AVERAGE(OFFSET($CX$3,0,0,'Données projet'!$E$13+1,1))-AVERAGE(OFFSET($H$3,0,0,'Données projet'!$E$13+1,1))</f>
        <v>274.37717856763146</v>
      </c>
      <c r="CZ42" s="59">
        <f t="shared" si="42"/>
        <v>264.17357326498581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0.94158318687744913</v>
      </c>
      <c r="DI42" s="22">
        <f t="shared" si="15"/>
        <v>0.94158318687744913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147.96288000000001</v>
      </c>
      <c r="DQ42" s="13">
        <f t="shared" si="43"/>
        <v>38.115275017059226</v>
      </c>
      <c r="DR42" s="20">
        <f t="shared" si="16"/>
        <v>324.0861199880448</v>
      </c>
      <c r="DS42" s="59">
        <f t="shared" si="17"/>
        <v>617.41945332137811</v>
      </c>
      <c r="DT42" s="59">
        <f ca="1">AVERAGE(OFFSET($DS$3,0,0,'Données projet'!$E$14+1,1))-AVERAGE(OFFSET($H$3,0,0,'Données projet'!$E$14+1,1))</f>
        <v>304.26232113495314</v>
      </c>
      <c r="DU42" s="59">
        <f t="shared" si="44"/>
        <v>297.47246687305056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3.5591971959731459</v>
      </c>
      <c r="EC42" s="21">
        <f>EXP(-LN(2)/2)*EC41+(1-EXP(-LN(2)/2))/(LN(2)/2)*DW42*DZ42*VLOOKUP('Données projet'!$B$14,Paramètres!$A$1:$I$89,3,0)*0.475*44/12</f>
        <v>2.1430892927580953</v>
      </c>
      <c r="ED42" s="22">
        <f t="shared" si="18"/>
        <v>5.7022864887312412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142.95839999999995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344.4940855044307</v>
      </c>
      <c r="T43" s="59">
        <f t="shared" si="34"/>
        <v>231.36959598460686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0.2391885596913354</v>
      </c>
      <c r="AC43" s="22">
        <f t="shared" si="3"/>
        <v>0.2391885596913354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7.4</v>
      </c>
      <c r="AH43" s="12">
        <f t="array" ref="AH43">INDEX(AG:AG,MIN(IF(ISNUMBER(AG43:AG239),ROW(AG43:AG239),"")))</f>
        <v>7.4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91.899600000000021</v>
      </c>
      <c r="AK43" s="13">
        <f t="shared" si="35"/>
        <v>25.022804363156492</v>
      </c>
      <c r="AL43" s="20">
        <f t="shared" si="4"/>
        <v>203.63985426583091</v>
      </c>
      <c r="AM43" s="59">
        <f t="shared" si="5"/>
        <v>496.97318759916425</v>
      </c>
      <c r="AN43" s="59">
        <f ca="1">AVERAGE(OFFSET($AM$3,0,0,'Données projet'!$E$10+1,1))-AVERAGE(OFFSET($H$3,0,0,'Données projet'!$E$10+1,1))</f>
        <v>246.71489737733248</v>
      </c>
      <c r="AO43" s="59">
        <f t="shared" si="36"/>
        <v>185.03615139960783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75</v>
      </c>
      <c r="BB43" s="12">
        <f>VLOOKUP(A43,'Données projet'!$A$87:$I$107,9,0)</f>
        <v>4</v>
      </c>
      <c r="BC43" s="12">
        <f t="array" ref="BC43">INDEX(BB:BB,MIN(IF(ISNUMBER(BB43:BB239),ROW(BB43:BB239),"")))</f>
        <v>4</v>
      </c>
      <c r="BD43" s="12">
        <f>IF('Données projet'!$A$88&gt;35,BD42+BC43-BL42,IF(A43&lt;'Données projet'!$A$88,$BA$205^A43,IF(A43='Données projet'!$A$88,'Données projet'!$B$88,BD42+BC43-BL42)))</f>
        <v>75</v>
      </c>
      <c r="BE43" s="13">
        <f>BD43*VLOOKUP('Données projet'!$B$11,Paramètres!$A$1:$I$89,3,0)*VLOOKUP('Données projet'!$B$11,Paramètres!$A$1:$I$89,5,0)</f>
        <v>72.540000000000006</v>
      </c>
      <c r="BF43" s="13">
        <f t="shared" si="37"/>
        <v>20.302914660456786</v>
      </c>
      <c r="BG43" s="20">
        <f t="shared" si="7"/>
        <v>161.70140970029556</v>
      </c>
      <c r="BH43" s="59">
        <f t="shared" si="8"/>
        <v>455.03474303362884</v>
      </c>
      <c r="BI43" s="59">
        <f ca="1">AVERAGE(OFFSET($BH$3,0,0,'Données projet'!$E$11+1,1))-AVERAGE(OFFSET($H$3,0,0,'Données projet'!$E$11+1,1))</f>
        <v>211.98817606983374</v>
      </c>
      <c r="BJ43" s="59">
        <f t="shared" si="38"/>
        <v>154.0840647586964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75</v>
      </c>
      <c r="BW43" s="12">
        <f>VLOOKUP(A43,'Données projet'!$A$113:$I$133,9,0)</f>
        <v>4</v>
      </c>
      <c r="BX43" s="12">
        <f t="array" ref="BX43">INDEX(BW:BW,MIN(IF(ISNUMBER(BW43:BW239),ROW(BW43:BW239),"")))</f>
        <v>4</v>
      </c>
      <c r="BY43" s="12">
        <f>IF('Données projet'!$A$114&gt;35,BY42+BX43-CG42,IF(A43&lt;'Données projet'!$A$114,$BV$205^A43,IF(A43='Données projet'!$A$114,'Données projet'!$B$114,BY42+BX43-CG42)))</f>
        <v>75</v>
      </c>
      <c r="BZ43" s="13">
        <f>BY43*VLOOKUP('Données projet'!$B$12,Paramètres!$A$1:$I$89,3,0)*VLOOKUP('Données projet'!$B$12,Paramètres!$A$1:$I$89,5,0)</f>
        <v>80.72999999999999</v>
      </c>
      <c r="CA43" s="13">
        <f t="shared" si="39"/>
        <v>22.315578453114171</v>
      </c>
      <c r="CB43" s="20">
        <f t="shared" si="10"/>
        <v>179.47104913917383</v>
      </c>
      <c r="CC43" s="59">
        <f t="shared" si="11"/>
        <v>472.80438247250714</v>
      </c>
      <c r="CD43" s="59">
        <f ca="1">AVERAGE(OFFSET($CC$3,0,0,'Données projet'!$E$12+1,1))-AVERAGE(OFFSET($H$3,0,0,'Données projet'!$E$12+1,1))</f>
        <v>231.89176215692947</v>
      </c>
      <c r="CE43" s="59">
        <f t="shared" si="40"/>
        <v>166.97658184507787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208</v>
      </c>
      <c r="CR43" s="12">
        <f>VLOOKUP(A43,'Données projet'!$A$139:$I$159,9,0)</f>
        <v>10</v>
      </c>
      <c r="CS43" s="12">
        <f t="array" ref="CS43">INDEX(CR:CR,MIN(IF(ISNUMBER(CR43:CR239),ROW(CR43:CR239),"")))</f>
        <v>10</v>
      </c>
      <c r="CT43" s="12">
        <f>IF('Données projet'!$A$140&gt;35,CT42+CS43-DB42,IF(A43&lt;'Données projet'!$A$140,$CQ$205^A43,IF(A43='Données projet'!$A$140,'Données projet'!$B$140,CT42+CS43-DB42)))</f>
        <v>208</v>
      </c>
      <c r="CU43" s="17">
        <f>CT43*VLOOKUP('Données projet'!$B$13,Paramètres!$A$1:$I$89,3,0)*VLOOKUP('Données projet'!$B$13,Paramètres!$A$1:$I$89,5,0)</f>
        <v>162.24</v>
      </c>
      <c r="CV43" s="13">
        <f t="shared" si="41"/>
        <v>41.347344120141088</v>
      </c>
      <c r="CW43" s="20">
        <f t="shared" si="13"/>
        <v>354.58129100924572</v>
      </c>
      <c r="CX43" s="59">
        <f t="shared" si="14"/>
        <v>647.91462434257903</v>
      </c>
      <c r="CY43" s="59">
        <f ca="1">AVERAGE(OFFSET($CX$3,0,0,'Données projet'!$E$13+1,1))-AVERAGE(OFFSET($H$3,0,0,'Données projet'!$E$13+1,1))</f>
        <v>274.37717856763146</v>
      </c>
      <c r="CZ43" s="59">
        <f t="shared" si="42"/>
        <v>264.17357326498581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59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0.66579985649228457</v>
      </c>
      <c r="DI43" s="22">
        <f t="shared" si="15"/>
        <v>0.66579985649228457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155.75040000000001</v>
      </c>
      <c r="DQ43" s="13">
        <f t="shared" si="43"/>
        <v>39.882509755133754</v>
      </c>
      <c r="DR43" s="20">
        <f t="shared" si="16"/>
        <v>340.72731782352463</v>
      </c>
      <c r="DS43" s="59">
        <f t="shared" si="17"/>
        <v>634.06065115685794</v>
      </c>
      <c r="DT43" s="59">
        <f ca="1">AVERAGE(OFFSET($DS$3,0,0,'Données projet'!$E$14+1,1))-AVERAGE(OFFSET($H$3,0,0,'Données projet'!$E$14+1,1))</f>
        <v>304.26232113495314</v>
      </c>
      <c r="DU43" s="59">
        <f t="shared" si="44"/>
        <v>297.47246687305056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5.3000000000000005E-2</v>
      </c>
      <c r="DY43" s="16">
        <f>IF(ISNA(VLOOKUP(A43,'Données projet'!$A$165:$I$185,6,0)),0%,VLOOKUP(A43,'Données projet'!$A$165:$I$185,6,0)*VLOOKUP('Données projet'!$B$14,Paramètres!$A$1:$I$89,7,0))</f>
        <v>0.21200000000000002</v>
      </c>
      <c r="DZ43" s="16">
        <f>IF(ISNA(VLOOKUP(A43,'Données projet'!$A$165:$I$185,7,0)),0%,VLOOKUP(A43,'Données projet'!$A$165:$I$185,7,0))</f>
        <v>0.3</v>
      </c>
      <c r="EA43" s="21">
        <f>EXP(-LN(2)/35)*EA42+(1-EXP(-LN(2)/35))/(LN(2)/35)*DW43*DX43*VLOOKUP('Données projet'!$B$14,Paramètres!$A$1:$I$89,3,0)*0.475*44/12</f>
        <v>1.3307882366656598</v>
      </c>
      <c r="EB43" s="21">
        <f>EXP(-LN(2)/25)*EB42+(1-EXP(-LN(2)/25))/(LN(2)/25)*Calculateur!DW43*Calculateur!DY43*VLOOKUP('Données projet'!$B$14,Paramètres!$A$1:$I$89,3,0)*0.475*44/12</f>
        <v>8.7640644267105561</v>
      </c>
      <c r="EC43" s="21">
        <f>EXP(-LN(2)/2)*EC42+(1-EXP(-LN(2)/2))/(LN(2)/2)*DW43*DZ43*VLOOKUP('Données projet'!$B$14,Paramètres!$A$1:$I$89,3,0)*0.475*44/12</f>
        <v>7.9446608498718154</v>
      </c>
      <c r="ED43" s="22">
        <f t="shared" si="18"/>
        <v>18.039513513248032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124.29999999999998</v>
      </c>
      <c r="O44" s="13">
        <f>N44*VLOOKUP('Données projet'!$B$9,Paramètres!$A$1:$I$89,3,0)*VLOOKUP('Données projet'!$B$9,Paramètres!$A$1:$I$89,5,0)</f>
        <v>112.46663999999997</v>
      </c>
      <c r="P44" s="13">
        <f t="shared" si="33"/>
        <v>29.911391992758421</v>
      </c>
      <c r="Q44" s="20">
        <f t="shared" si="53"/>
        <v>247.97507238738754</v>
      </c>
      <c r="R44" s="59">
        <f t="shared" si="0"/>
        <v>541.30840572072088</v>
      </c>
      <c r="S44" s="59">
        <f ca="1">AVERAGE(OFFSET($R$3,0,0,'Données projet'!$E$9+1,1))-AVERAGE(OFFSET($H$3,0,0,'Données projet'!$E$9+1,1))</f>
        <v>344.4940855044307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0.16913185253998658</v>
      </c>
      <c r="AC44" s="22">
        <f t="shared" si="3"/>
        <v>0.16913185253998658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83.447520000000026</v>
      </c>
      <c r="AK44" s="13">
        <f t="shared" si="35"/>
        <v>22.978039697763734</v>
      </c>
      <c r="AL44" s="20">
        <f t="shared" si="4"/>
        <v>185.3578498069385</v>
      </c>
      <c r="AM44" s="59">
        <f t="shared" si="5"/>
        <v>478.69118314027185</v>
      </c>
      <c r="AN44" s="59">
        <f ca="1">AVERAGE(OFFSET($AM$3,0,0,'Données projet'!$E$10+1,1))-AVERAGE(OFFSET($H$3,0,0,'Données projet'!$E$10+1,1))</f>
        <v>246.71489737733248</v>
      </c>
      <c r="AO44" s="59">
        <f t="shared" si="36"/>
        <v>185.03615139960783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</v>
      </c>
      <c r="BD44" s="12">
        <f>IF('Données projet'!$A$88&gt;35,BD43+BC44-BL43,IF(A44&lt;'Données projet'!$A$88,$BA$205^A44,IF(A44='Données projet'!$A$88,'Données projet'!$B$88,BD43+BC44-BL43)))</f>
        <v>69.8</v>
      </c>
      <c r="BE44" s="13">
        <f>BD44*VLOOKUP('Données projet'!$B$11,Paramètres!$A$1:$I$89,3,0)*VLOOKUP('Données projet'!$B$11,Paramètres!$A$1:$I$89,5,0)</f>
        <v>67.510559999999998</v>
      </c>
      <c r="BF44" s="13">
        <f t="shared" si="37"/>
        <v>19.053945042628669</v>
      </c>
      <c r="BG44" s="20">
        <f t="shared" si="7"/>
        <v>150.76651294924491</v>
      </c>
      <c r="BH44" s="59">
        <f t="shared" si="8"/>
        <v>444.09984628257826</v>
      </c>
      <c r="BI44" s="59">
        <f ca="1">AVERAGE(OFFSET($BH$3,0,0,'Données projet'!$E$11+1,1))-AVERAGE(OFFSET($H$3,0,0,'Données projet'!$E$11+1,1))</f>
        <v>211.98817606983374</v>
      </c>
      <c r="BJ44" s="59">
        <f t="shared" si="38"/>
        <v>154.0840647586964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</v>
      </c>
      <c r="BY44" s="12">
        <f>IF('Données projet'!$A$114&gt;35,BY43+BX44-CG43,IF(A44&lt;'Données projet'!$A$114,$BV$205^A44,IF(A44='Données projet'!$A$114,'Données projet'!$B$114,BY43+BX44-CG43)))</f>
        <v>69.8</v>
      </c>
      <c r="BZ44" s="13">
        <f>BY44*VLOOKUP('Données projet'!$B$12,Paramètres!$A$1:$I$89,3,0)*VLOOKUP('Données projet'!$B$12,Paramètres!$A$1:$I$89,5,0)</f>
        <v>75.132719999999992</v>
      </c>
      <c r="CA44" s="13">
        <f t="shared" si="39"/>
        <v>20.942796270934011</v>
      </c>
      <c r="CB44" s="20">
        <f t="shared" si="10"/>
        <v>167.33152417187671</v>
      </c>
      <c r="CC44" s="59">
        <f t="shared" si="11"/>
        <v>460.66485750521002</v>
      </c>
      <c r="CD44" s="59">
        <f ca="1">AVERAGE(OFFSET($CC$3,0,0,'Données projet'!$E$12+1,1))-AVERAGE(OFFSET($H$3,0,0,'Données projet'!$E$12+1,1))</f>
        <v>231.89176215692947</v>
      </c>
      <c r="CE44" s="59">
        <f t="shared" si="40"/>
        <v>166.97658184507787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10.4</v>
      </c>
      <c r="CT44" s="12">
        <f>IF('Données projet'!$A$140&gt;35,CT43+CS44-DB43,IF(A44&lt;'Données projet'!$A$140,$CQ$205^A44,IF(A44='Données projet'!$A$140,'Données projet'!$B$140,CT43+CS44-DB43)))</f>
        <v>159.4</v>
      </c>
      <c r="CU44" s="17">
        <f>CT44*VLOOKUP('Données projet'!$B$13,Paramètres!$A$1:$I$89,3,0)*VLOOKUP('Données projet'!$B$13,Paramètres!$A$1:$I$89,5,0)</f>
        <v>124.33200000000001</v>
      </c>
      <c r="CV44" s="13">
        <f t="shared" si="41"/>
        <v>32.683272336546167</v>
      </c>
      <c r="CW44" s="20">
        <f t="shared" si="13"/>
        <v>273.46826598615121</v>
      </c>
      <c r="CX44" s="59">
        <f t="shared" si="14"/>
        <v>566.80159931948447</v>
      </c>
      <c r="CY44" s="59">
        <f ca="1">AVERAGE(OFFSET($CX$3,0,0,'Données projet'!$E$13+1,1))-AVERAGE(OFFSET($H$3,0,0,'Données projet'!$E$13+1,1))</f>
        <v>274.37717856763146</v>
      </c>
      <c r="CZ44" s="59">
        <f t="shared" si="42"/>
        <v>264.17357326498581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0.47079159343872462</v>
      </c>
      <c r="DI44" s="22">
        <f t="shared" si="15"/>
        <v>0.47079159343872462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139.68863999999999</v>
      </c>
      <c r="DQ44" s="13">
        <f t="shared" si="43"/>
        <v>36.22566805112433</v>
      </c>
      <c r="DR44" s="20">
        <f t="shared" si="16"/>
        <v>306.38408652237484</v>
      </c>
      <c r="DS44" s="59">
        <f t="shared" si="17"/>
        <v>599.71741985570816</v>
      </c>
      <c r="DT44" s="59">
        <f ca="1">AVERAGE(OFFSET($DS$3,0,0,'Données projet'!$E$14+1,1))-AVERAGE(OFFSET($H$3,0,0,'Données projet'!$E$14+1,1))</f>
        <v>304.26232113495314</v>
      </c>
      <c r="DU44" s="59">
        <f t="shared" si="44"/>
        <v>297.47246687305056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1.3046922910453218</v>
      </c>
      <c r="EB44" s="21">
        <f>EXP(-LN(2)/25)*EB43+(1-EXP(-LN(2)/25))/(LN(2)/25)*Calculateur!DW44*Calculateur!DY44*VLOOKUP('Données projet'!$B$14,Paramètres!$A$1:$I$89,3,0)*0.475*44/12</f>
        <v>8.5244106240800388</v>
      </c>
      <c r="EC44" s="21">
        <f>EXP(-LN(2)/2)*EC43+(1-EXP(-LN(2)/2))/(LN(2)/2)*DW44*DZ44*VLOOKUP('Données projet'!$B$14,Paramètres!$A$1:$I$89,3,0)*0.475*44/12</f>
        <v>5.6177235611716405</v>
      </c>
      <c r="ED44" s="22">
        <f t="shared" si="18"/>
        <v>15.446826476297002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</v>
      </c>
      <c r="O45" s="13">
        <f>N45*VLOOKUP('Données projet'!$B$9,Paramètres!$A$1:$I$89,3,0)*VLOOKUP('Données projet'!$B$9,Paramètres!$A$1:$I$89,5,0)</f>
        <v>119.97647999999998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344.4940855044307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0.11959427984566773</v>
      </c>
      <c r="AC45" s="22">
        <f t="shared" si="3"/>
        <v>0.11959427984566773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7.4</v>
      </c>
      <c r="AI45" s="13">
        <f>IF('Données projet'!$A$62&gt;35,AI44+AH45-AQ44,IF(A45&lt;'Données projet'!$A$62,$AF$205^A45,IF(A45='Données projet'!$A$62,'Données projet'!$B$62,AI44+AH45-AQ44)))</f>
        <v>131.80000000000004</v>
      </c>
      <c r="AJ45" s="13">
        <f>AI45*VLOOKUP('Données projet'!$B$10,Paramètres!$A$1:$I$89,3,0)*VLOOKUP('Données projet'!$B$10,Paramètres!$A$1:$I$89,5,0)</f>
        <v>88.411440000000027</v>
      </c>
      <c r="AK45" s="13">
        <f t="shared" si="35"/>
        <v>24.181706395109462</v>
      </c>
      <c r="AL45" s="20">
        <f t="shared" si="4"/>
        <v>196.09972997148233</v>
      </c>
      <c r="AM45" s="59">
        <f t="shared" si="5"/>
        <v>489.43306330481562</v>
      </c>
      <c r="AN45" s="59">
        <f ca="1">AVERAGE(OFFSET($AM$3,0,0,'Données projet'!$E$10+1,1))-AVERAGE(OFFSET($H$3,0,0,'Données projet'!$E$10+1,1))</f>
        <v>246.71489737733248</v>
      </c>
      <c r="AO45" s="59">
        <f t="shared" si="36"/>
        <v>185.03615139960783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3.8</v>
      </c>
      <c r="BD45" s="12">
        <f>IF('Données projet'!$A$88&gt;35,BD44+BC45-BL44,IF(A45&lt;'Données projet'!$A$88,$BA$205^A45,IF(A45='Données projet'!$A$88,'Données projet'!$B$88,BD44+BC45-BL44)))</f>
        <v>73.599999999999994</v>
      </c>
      <c r="BE45" s="13">
        <f>BD45*VLOOKUP('Données projet'!$B$11,Paramètres!$A$1:$I$89,3,0)*VLOOKUP('Données projet'!$B$11,Paramètres!$A$1:$I$89,5,0)</f>
        <v>71.185919999999996</v>
      </c>
      <c r="BF45" s="13">
        <f t="shared" si="37"/>
        <v>19.96767473402619</v>
      </c>
      <c r="BG45" s="20">
        <f t="shared" si="7"/>
        <v>158.7591774950956</v>
      </c>
      <c r="BH45" s="59">
        <f t="shared" si="8"/>
        <v>452.09251082842889</v>
      </c>
      <c r="BI45" s="59">
        <f ca="1">AVERAGE(OFFSET($BH$3,0,0,'Données projet'!$E$11+1,1))-AVERAGE(OFFSET($H$3,0,0,'Données projet'!$E$11+1,1))</f>
        <v>211.98817606983374</v>
      </c>
      <c r="BJ45" s="59">
        <f t="shared" si="38"/>
        <v>154.0840647586964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3.8</v>
      </c>
      <c r="BY45" s="12">
        <f>IF('Données projet'!$A$114&gt;35,BY44+BX45-CG44,IF(A45&lt;'Données projet'!$A$114,$BV$205^A45,IF(A45='Données projet'!$A$114,'Données projet'!$B$114,BY44+BX45-CG44)))</f>
        <v>73.599999999999994</v>
      </c>
      <c r="BZ45" s="13">
        <f>BY45*VLOOKUP('Données projet'!$B$12,Paramètres!$A$1:$I$89,3,0)*VLOOKUP('Données projet'!$B$12,Paramètres!$A$1:$I$89,5,0)</f>
        <v>79.223039999999983</v>
      </c>
      <c r="CA45" s="13">
        <f t="shared" si="39"/>
        <v>21.947105600620286</v>
      </c>
      <c r="CB45" s="20">
        <f t="shared" si="10"/>
        <v>176.20467025441363</v>
      </c>
      <c r="CC45" s="59">
        <f t="shared" si="11"/>
        <v>469.53800358774697</v>
      </c>
      <c r="CD45" s="59">
        <f ca="1">AVERAGE(OFFSET($CC$3,0,0,'Données projet'!$E$12+1,1))-AVERAGE(OFFSET($H$3,0,0,'Données projet'!$E$12+1,1))</f>
        <v>231.89176215692947</v>
      </c>
      <c r="CE45" s="59">
        <f t="shared" si="40"/>
        <v>166.97658184507787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10.4</v>
      </c>
      <c r="CT45" s="12">
        <f>IF('Données projet'!$A$140&gt;35,CT44+CS45-DB44,IF(A45&lt;'Données projet'!$A$140,$CQ$205^A45,IF(A45='Données projet'!$A$140,'Données projet'!$B$140,CT44+CS45-DB44)))</f>
        <v>169.8</v>
      </c>
      <c r="CU45" s="17">
        <f>CT45*VLOOKUP('Données projet'!$B$13,Paramètres!$A$1:$I$89,3,0)*VLOOKUP('Données projet'!$B$13,Paramètres!$A$1:$I$89,5,0)</f>
        <v>132.44400000000002</v>
      </c>
      <c r="CV45" s="13">
        <f t="shared" si="41"/>
        <v>34.560482342975533</v>
      </c>
      <c r="CW45" s="20">
        <f t="shared" si="13"/>
        <v>290.86614008068244</v>
      </c>
      <c r="CX45" s="59">
        <f t="shared" si="14"/>
        <v>584.19947341401576</v>
      </c>
      <c r="CY45" s="59">
        <f ca="1">AVERAGE(OFFSET($CX$3,0,0,'Données projet'!$E$13+1,1))-AVERAGE(OFFSET($H$3,0,0,'Données projet'!$E$13+1,1))</f>
        <v>274.37717856763146</v>
      </c>
      <c r="CZ45" s="59">
        <f t="shared" si="42"/>
        <v>264.17357326498581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0.33289992824614234</v>
      </c>
      <c r="DI45" s="22">
        <f t="shared" si="15"/>
        <v>0.33289992824614234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146.34047999999999</v>
      </c>
      <c r="DQ45" s="13">
        <f t="shared" si="43"/>
        <v>37.745754868861937</v>
      </c>
      <c r="DR45" s="20">
        <f t="shared" si="16"/>
        <v>320.6168590632679</v>
      </c>
      <c r="DS45" s="59">
        <f t="shared" si="17"/>
        <v>613.95019239660121</v>
      </c>
      <c r="DT45" s="59">
        <f ca="1">AVERAGE(OFFSET($DS$3,0,0,'Données projet'!$E$14+1,1))-AVERAGE(OFFSET($H$3,0,0,'Données projet'!$E$14+1,1))</f>
        <v>304.26232113495314</v>
      </c>
      <c r="DU45" s="59">
        <f t="shared" si="44"/>
        <v>297.47246687305056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1.2791080710016434</v>
      </c>
      <c r="EB45" s="21">
        <f>EXP(-LN(2)/25)*EB44+(1-EXP(-LN(2)/25))/(LN(2)/25)*Calculateur!DW45*Calculateur!DY45*VLOOKUP('Données projet'!$B$14,Paramètres!$A$1:$I$89,3,0)*0.475*44/12</f>
        <v>8.2913101672852978</v>
      </c>
      <c r="EC45" s="21">
        <f>EXP(-LN(2)/2)*EC44+(1-EXP(-LN(2)/2))/(LN(2)/2)*DW45*DZ45*VLOOKUP('Données projet'!$B$14,Paramètres!$A$1:$I$89,3,0)*0.475*44/12</f>
        <v>3.9723304249359082</v>
      </c>
      <c r="ED45" s="22">
        <f t="shared" si="18"/>
        <v>13.542748663222849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</v>
      </c>
      <c r="O46" s="13">
        <f>N46*VLOOKUP('Données projet'!$B$9,Paramètres!$A$1:$I$89,3,0)*VLOOKUP('Données projet'!$B$9,Paramètres!$A$1:$I$89,5,0)</f>
        <v>127.48631999999999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344.4940855044307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8.4565926269993305E-2</v>
      </c>
      <c r="AC46" s="22">
        <f t="shared" si="3"/>
        <v>8.4565926269993305E-2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7.4</v>
      </c>
      <c r="AI46" s="13">
        <f>IF('Données projet'!$A$62&gt;35,AI45+AH46-AQ45,IF(A46&lt;'Données projet'!$A$62,$AF$205^A46,IF(A46='Données projet'!$A$62,'Données projet'!$B$62,AI45+AH46-AQ45)))</f>
        <v>139.20000000000005</v>
      </c>
      <c r="AJ46" s="13">
        <f>AI46*VLOOKUP('Données projet'!$B$10,Paramètres!$A$1:$I$89,3,0)*VLOOKUP('Données projet'!$B$10,Paramètres!$A$1:$I$89,5,0)</f>
        <v>93.375360000000029</v>
      </c>
      <c r="AK46" s="13">
        <f t="shared" si="35"/>
        <v>25.37752799958578</v>
      </c>
      <c r="AL46" s="20">
        <f t="shared" si="4"/>
        <v>206.82794659927859</v>
      </c>
      <c r="AM46" s="59">
        <f t="shared" si="5"/>
        <v>500.16127993261193</v>
      </c>
      <c r="AN46" s="59">
        <f ca="1">AVERAGE(OFFSET($AM$3,0,0,'Données projet'!$E$10+1,1))-AVERAGE(OFFSET($H$3,0,0,'Données projet'!$E$10+1,1))</f>
        <v>246.71489737733248</v>
      </c>
      <c r="AO46" s="59">
        <f t="shared" si="36"/>
        <v>185.03615139960783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3.8</v>
      </c>
      <c r="BD46" s="12">
        <f>IF('Données projet'!$A$88&gt;35,BD45+BC46-BL45,IF(A46&lt;'Données projet'!$A$88,$BA$205^A46,IF(A46='Données projet'!$A$88,'Données projet'!$B$88,BD45+BC46-BL45)))</f>
        <v>77.399999999999991</v>
      </c>
      <c r="BE46" s="13">
        <f>BD46*VLOOKUP('Données projet'!$B$11,Paramètres!$A$1:$I$89,3,0)*VLOOKUP('Données projet'!$B$11,Paramètres!$A$1:$I$89,5,0)</f>
        <v>74.861279999999994</v>
      </c>
      <c r="BF46" s="13">
        <f t="shared" si="37"/>
        <v>20.875927007330482</v>
      </c>
      <c r="BG46" s="20">
        <f t="shared" si="7"/>
        <v>166.74230220443391</v>
      </c>
      <c r="BH46" s="59">
        <f t="shared" si="8"/>
        <v>460.0756355377672</v>
      </c>
      <c r="BI46" s="59">
        <f ca="1">AVERAGE(OFFSET($BH$3,0,0,'Données projet'!$E$11+1,1))-AVERAGE(OFFSET($H$3,0,0,'Données projet'!$E$11+1,1))</f>
        <v>211.98817606983374</v>
      </c>
      <c r="BJ46" s="59">
        <f t="shared" si="38"/>
        <v>154.0840647586964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3.8</v>
      </c>
      <c r="BY46" s="12">
        <f>IF('Données projet'!$A$114&gt;35,BY45+BX46-CG45,IF(A46&lt;'Données projet'!$A$114,$BV$205^A46,IF(A46='Données projet'!$A$114,'Données projet'!$B$114,BY45+BX46-CG45)))</f>
        <v>77.399999999999991</v>
      </c>
      <c r="BZ46" s="13">
        <f>BY46*VLOOKUP('Données projet'!$B$12,Paramètres!$A$1:$I$89,3,0)*VLOOKUP('Données projet'!$B$12,Paramètres!$A$1:$I$89,5,0)</f>
        <v>83.313359999999989</v>
      </c>
      <c r="CA46" s="13">
        <f t="shared" si="39"/>
        <v>22.945394526082627</v>
      </c>
      <c r="CB46" s="20">
        <f t="shared" si="10"/>
        <v>185.06733079959386</v>
      </c>
      <c r="CC46" s="59">
        <f t="shared" si="11"/>
        <v>478.4006641329272</v>
      </c>
      <c r="CD46" s="59">
        <f ca="1">AVERAGE(OFFSET($CC$3,0,0,'Données projet'!$E$12+1,1))-AVERAGE(OFFSET($H$3,0,0,'Données projet'!$E$12+1,1))</f>
        <v>231.89176215692947</v>
      </c>
      <c r="CE46" s="59">
        <f t="shared" si="40"/>
        <v>166.97658184507787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10.4</v>
      </c>
      <c r="CT46" s="12">
        <f>IF('Données projet'!$A$140&gt;35,CT45+CS46-DB45,IF(A46&lt;'Données projet'!$A$140,$CQ$205^A46,IF(A46='Données projet'!$A$140,'Données projet'!$B$140,CT45+CS46-DB45)))</f>
        <v>180.20000000000002</v>
      </c>
      <c r="CU46" s="17">
        <f>CT46*VLOOKUP('Données projet'!$B$13,Paramètres!$A$1:$I$89,3,0)*VLOOKUP('Données projet'!$B$13,Paramètres!$A$1:$I$89,5,0)</f>
        <v>140.55600000000001</v>
      </c>
      <c r="CV46" s="13">
        <f t="shared" si="41"/>
        <v>36.424347890465938</v>
      </c>
      <c r="CW46" s="20">
        <f t="shared" si="13"/>
        <v>308.24077257589482</v>
      </c>
      <c r="CX46" s="59">
        <f t="shared" si="14"/>
        <v>601.57410590922814</v>
      </c>
      <c r="CY46" s="59">
        <f ca="1">AVERAGE(OFFSET($CX$3,0,0,'Données projet'!$E$13+1,1))-AVERAGE(OFFSET($H$3,0,0,'Données projet'!$E$13+1,1))</f>
        <v>274.37717856763146</v>
      </c>
      <c r="CZ46" s="59">
        <f t="shared" si="42"/>
        <v>264.17357326498581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0.23539579671936237</v>
      </c>
      <c r="DI46" s="22">
        <f t="shared" si="15"/>
        <v>0.23539579671936237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152.99231999999998</v>
      </c>
      <c r="DQ46" s="13">
        <f t="shared" si="43"/>
        <v>39.257817366656973</v>
      </c>
      <c r="DR46" s="20">
        <f t="shared" si="16"/>
        <v>334.83565591359422</v>
      </c>
      <c r="DS46" s="59">
        <f t="shared" si="17"/>
        <v>628.16898924692759</v>
      </c>
      <c r="DT46" s="59">
        <f ca="1">AVERAGE(OFFSET($DS$3,0,0,'Données projet'!$E$14+1,1))-AVERAGE(OFFSET($H$3,0,0,'Données projet'!$E$14+1,1))</f>
        <v>304.26232113495314</v>
      </c>
      <c r="DU46" s="59">
        <f t="shared" si="44"/>
        <v>297.47246687305056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1.2540255419081883</v>
      </c>
      <c r="EB46" s="21">
        <f>EXP(-LN(2)/25)*EB45+(1-EXP(-LN(2)/25))/(LN(2)/25)*Calculateur!DW46*Calculateur!DY46*VLOOKUP('Données projet'!$B$14,Paramètres!$A$1:$I$89,3,0)*0.475*44/12</f>
        <v>8.0645838547398299</v>
      </c>
      <c r="EC46" s="21">
        <f>EXP(-LN(2)/2)*EC45+(1-EXP(-LN(2)/2))/(LN(2)/2)*DW46*DZ46*VLOOKUP('Données projet'!$B$14,Paramètres!$A$1:$I$89,3,0)*0.475*44/12</f>
        <v>2.8088617805858207</v>
      </c>
      <c r="ED46" s="22">
        <f t="shared" si="18"/>
        <v>12.127471177233838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149.20000000000002</v>
      </c>
      <c r="O47" s="13">
        <f>N47*VLOOKUP('Données projet'!$B$9,Paramètres!$A$1:$I$89,3,0)*VLOOKUP('Données projet'!$B$9,Paramètres!$A$1:$I$89,5,0)</f>
        <v>134.99616</v>
      </c>
      <c r="P47" s="13">
        <f t="shared" si="33"/>
        <v>35.148279172043118</v>
      </c>
      <c r="Q47" s="20">
        <f t="shared" si="53"/>
        <v>296.33489822464173</v>
      </c>
      <c r="R47" s="59">
        <f t="shared" si="0"/>
        <v>589.6682315579751</v>
      </c>
      <c r="S47" s="59">
        <f ca="1">AVERAGE(OFFSET($R$3,0,0,'Données projet'!$E$9+1,1))-AVERAGE(OFFSET($H$3,0,0,'Données projet'!$E$9+1,1))</f>
        <v>344.4940855044307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5.9797139922833871E-2</v>
      </c>
      <c r="AC47" s="22">
        <f t="shared" si="3"/>
        <v>5.9797139922833871E-2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7.4</v>
      </c>
      <c r="AI47" s="13">
        <f>IF('Données projet'!$A$62&gt;35,AI46+AH47-AQ46,IF(A47&lt;'Données projet'!$A$62,$AF$205^A47,IF(A47='Données projet'!$A$62,'Données projet'!$B$62,AI46+AH47-AQ46)))</f>
        <v>146.60000000000005</v>
      </c>
      <c r="AJ47" s="13">
        <f>AI47*VLOOKUP('Données projet'!$B$10,Paramètres!$A$1:$I$89,3,0)*VLOOKUP('Données projet'!$B$10,Paramètres!$A$1:$I$89,5,0)</f>
        <v>98.339280000000031</v>
      </c>
      <c r="AK47" s="13">
        <f t="shared" si="35"/>
        <v>26.565969119814579</v>
      </c>
      <c r="AL47" s="20">
        <f t="shared" si="4"/>
        <v>217.5433088836771</v>
      </c>
      <c r="AM47" s="59">
        <f t="shared" si="5"/>
        <v>510.87664221701039</v>
      </c>
      <c r="AN47" s="59">
        <f ca="1">AVERAGE(OFFSET($AM$3,0,0,'Données projet'!$E$10+1,1))-AVERAGE(OFFSET($H$3,0,0,'Données projet'!$E$10+1,1))</f>
        <v>246.71489737733248</v>
      </c>
      <c r="AO47" s="59">
        <f t="shared" si="36"/>
        <v>185.03615139960783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3.8</v>
      </c>
      <c r="BD47" s="12">
        <f>IF('Données projet'!$A$88&gt;35,BD46+BC47-BL46,IF(A47&lt;'Données projet'!$A$88,$BA$205^A47,IF(A47='Données projet'!$A$88,'Données projet'!$B$88,BD46+BC47-BL46)))</f>
        <v>81.199999999999989</v>
      </c>
      <c r="BE47" s="13">
        <f>BD47*VLOOKUP('Données projet'!$B$11,Paramètres!$A$1:$I$89,3,0)*VLOOKUP('Données projet'!$B$11,Paramètres!$A$1:$I$89,5,0)</f>
        <v>78.536639999999991</v>
      </c>
      <c r="BF47" s="13">
        <f t="shared" si="37"/>
        <v>21.779001471873372</v>
      </c>
      <c r="BG47" s="20">
        <f t="shared" si="7"/>
        <v>174.7164088968461</v>
      </c>
      <c r="BH47" s="59">
        <f t="shared" si="8"/>
        <v>468.04974223017939</v>
      </c>
      <c r="BI47" s="59">
        <f ca="1">AVERAGE(OFFSET($BH$3,0,0,'Données projet'!$E$11+1,1))-AVERAGE(OFFSET($H$3,0,0,'Données projet'!$E$11+1,1))</f>
        <v>211.98817606983374</v>
      </c>
      <c r="BJ47" s="59">
        <f t="shared" si="38"/>
        <v>154.0840647586964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3.8</v>
      </c>
      <c r="BY47" s="12">
        <f>IF('Données projet'!$A$114&gt;35,BY46+BX47-CG46,IF(A47&lt;'Données projet'!$A$114,$BV$205^A47,IF(A47='Données projet'!$A$114,'Données projet'!$B$114,BY46+BX47-CG46)))</f>
        <v>81.199999999999989</v>
      </c>
      <c r="BZ47" s="13">
        <f>BY47*VLOOKUP('Données projet'!$B$12,Paramètres!$A$1:$I$89,3,0)*VLOOKUP('Données projet'!$B$12,Paramètres!$A$1:$I$89,5,0)</f>
        <v>87.40367999999998</v>
      </c>
      <c r="CA47" s="13">
        <f t="shared" si="39"/>
        <v>23.937992357455176</v>
      </c>
      <c r="CB47" s="20">
        <f t="shared" si="10"/>
        <v>193.92007935590104</v>
      </c>
      <c r="CC47" s="59">
        <f t="shared" si="11"/>
        <v>487.25341268923432</v>
      </c>
      <c r="CD47" s="59">
        <f ca="1">AVERAGE(OFFSET($CC$3,0,0,'Données projet'!$E$12+1,1))-AVERAGE(OFFSET($H$3,0,0,'Données projet'!$E$12+1,1))</f>
        <v>231.89176215692947</v>
      </c>
      <c r="CE47" s="59">
        <f t="shared" si="40"/>
        <v>166.97658184507787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10.4</v>
      </c>
      <c r="CT47" s="12">
        <f>IF('Données projet'!$A$140&gt;35,CT46+CS47-DB46,IF(A47&lt;'Données projet'!$A$140,$CQ$205^A47,IF(A47='Données projet'!$A$140,'Données projet'!$B$140,CT46+CS47-DB46)))</f>
        <v>190.60000000000002</v>
      </c>
      <c r="CU47" s="17">
        <f>CT47*VLOOKUP('Données projet'!$B$13,Paramètres!$A$1:$I$89,3,0)*VLOOKUP('Données projet'!$B$13,Paramètres!$A$1:$I$89,5,0)</f>
        <v>148.66800000000003</v>
      </c>
      <c r="CV47" s="13">
        <f t="shared" si="41"/>
        <v>38.275726880620965</v>
      </c>
      <c r="CW47" s="20">
        <f t="shared" si="13"/>
        <v>325.59365765041485</v>
      </c>
      <c r="CX47" s="59">
        <f t="shared" si="14"/>
        <v>618.92699098374817</v>
      </c>
      <c r="CY47" s="59">
        <f ca="1">AVERAGE(OFFSET($CX$3,0,0,'Données projet'!$E$13+1,1))-AVERAGE(OFFSET($H$3,0,0,'Données projet'!$E$13+1,1))</f>
        <v>274.37717856763146</v>
      </c>
      <c r="CZ47" s="59">
        <f t="shared" si="42"/>
        <v>264.17357326498581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0.1664499641230712</v>
      </c>
      <c r="DI47" s="22">
        <f t="shared" si="15"/>
        <v>0.1664499641230712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159.64415999999997</v>
      </c>
      <c r="DQ47" s="13">
        <f t="shared" si="43"/>
        <v>40.762244304130796</v>
      </c>
      <c r="DR47" s="20">
        <f t="shared" si="16"/>
        <v>349.04115416302778</v>
      </c>
      <c r="DS47" s="59">
        <f t="shared" si="17"/>
        <v>642.3744874963611</v>
      </c>
      <c r="DT47" s="59">
        <f ca="1">AVERAGE(OFFSET($DS$3,0,0,'Données projet'!$E$14+1,1))-AVERAGE(OFFSET($H$3,0,0,'Données projet'!$E$14+1,1))</f>
        <v>304.26232113495314</v>
      </c>
      <c r="DU47" s="59">
        <f t="shared" si="44"/>
        <v>297.47246687305056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1.2294348659114236</v>
      </c>
      <c r="EB47" s="21">
        <f>EXP(-LN(2)/25)*EB46+(1-EXP(-LN(2)/25))/(LN(2)/25)*Calculateur!DW47*Calculateur!DY47*VLOOKUP('Données projet'!$B$14,Paramètres!$A$1:$I$89,3,0)*0.475*44/12</f>
        <v>7.8440573851339366</v>
      </c>
      <c r="EC47" s="21">
        <f>EXP(-LN(2)/2)*EC46+(1-EXP(-LN(2)/2))/(LN(2)/2)*DW47*DZ47*VLOOKUP('Données projet'!$B$14,Paramètres!$A$1:$I$89,3,0)*0.475*44/12</f>
        <v>1.9861652124679543</v>
      </c>
      <c r="ED47" s="22">
        <f t="shared" si="18"/>
        <v>11.059657463513314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157.50000000000003</v>
      </c>
      <c r="O48" s="13">
        <f>N48*VLOOKUP('Données projet'!$B$9,Paramètres!$A$1:$I$89,3,0)*VLOOKUP('Données projet'!$B$9,Paramètres!$A$1:$I$89,5,0)</f>
        <v>142.50600000000003</v>
      </c>
      <c r="P48" s="13">
        <f t="shared" si="33"/>
        <v>36.870500776307573</v>
      </c>
      <c r="Q48" s="20">
        <f t="shared" si="53"/>
        <v>312.4140721854024</v>
      </c>
      <c r="R48" s="59">
        <f t="shared" si="0"/>
        <v>605.74740551873572</v>
      </c>
      <c r="S48" s="59">
        <f ca="1">AVERAGE(OFFSET($R$3,0,0,'Données projet'!$E$9+1,1))-AVERAGE(OFFSET($H$3,0,0,'Données projet'!$E$9+1,1))</f>
        <v>344.4940855044307</v>
      </c>
      <c r="T48" s="59">
        <f t="shared" si="34"/>
        <v>231.36959598460686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4.2282963134996659E-2</v>
      </c>
      <c r="AC48" s="22">
        <f t="shared" si="3"/>
        <v>4.2282963134996659E-2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154</v>
      </c>
      <c r="AG48" s="12">
        <f>VLOOKUP(A48,'Données projet'!$A$61:$I$81,9,0)</f>
        <v>7.4</v>
      </c>
      <c r="AH48" s="12">
        <f t="array" ref="AH48">INDEX(AG:AG,MIN(IF(ISNUMBER(AG48:AG244),ROW(AG48:AG244),"")))</f>
        <v>7.4</v>
      </c>
      <c r="AI48" s="13">
        <f>IF('Données projet'!$A$62&gt;35,AI47+AH48-AQ47,IF(A48&lt;'Données projet'!$A$62,$AF$205^A48,IF(A48='Données projet'!$A$62,'Données projet'!$B$62,AI47+AH48-AQ47)))</f>
        <v>154.00000000000006</v>
      </c>
      <c r="AJ48" s="13">
        <f>AI48*VLOOKUP('Données projet'!$B$10,Paramètres!$A$1:$I$89,3,0)*VLOOKUP('Données projet'!$B$10,Paramètres!$A$1:$I$89,5,0)</f>
        <v>103.30320000000005</v>
      </c>
      <c r="AK48" s="13">
        <f t="shared" si="35"/>
        <v>27.747444810362108</v>
      </c>
      <c r="AL48" s="20">
        <f t="shared" si="4"/>
        <v>228.24653971138071</v>
      </c>
      <c r="AM48" s="59">
        <f t="shared" si="5"/>
        <v>521.57987304471408</v>
      </c>
      <c r="AN48" s="59">
        <f ca="1">AVERAGE(OFFSET($AM$3,0,0,'Données projet'!$E$10+1,1))-AVERAGE(OFFSET($H$3,0,0,'Données projet'!$E$10+1,1))</f>
        <v>246.71489737733248</v>
      </c>
      <c r="AO48" s="59">
        <f t="shared" si="36"/>
        <v>185.03615139960783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85</v>
      </c>
      <c r="BB48" s="12">
        <f>VLOOKUP(A48,'Données projet'!$A$87:$I$107,9,0)</f>
        <v>3.8</v>
      </c>
      <c r="BC48" s="12">
        <f t="array" ref="BC48">INDEX(BB:BB,MIN(IF(ISNUMBER(BB48:BB244),ROW(BB48:BB244),"")))</f>
        <v>3.8</v>
      </c>
      <c r="BD48" s="12">
        <f>IF('Données projet'!$A$88&gt;35,BD47+BC48-BL47,IF(A48&lt;'Données projet'!$A$88,$BA$205^A48,IF(A48='Données projet'!$A$88,'Données projet'!$B$88,BD47+BC48-BL47)))</f>
        <v>84.999999999999986</v>
      </c>
      <c r="BE48" s="13">
        <f>BD48*VLOOKUP('Données projet'!$B$11,Paramètres!$A$1:$I$89,3,0)*VLOOKUP('Données projet'!$B$11,Paramètres!$A$1:$I$89,5,0)</f>
        <v>82.211999999999989</v>
      </c>
      <c r="BF48" s="13">
        <f t="shared" si="37"/>
        <v>22.677168109987932</v>
      </c>
      <c r="BG48" s="20">
        <f t="shared" si="7"/>
        <v>182.6819677915623</v>
      </c>
      <c r="BH48" s="59">
        <f t="shared" si="8"/>
        <v>476.01530112489559</v>
      </c>
      <c r="BI48" s="59">
        <f ca="1">AVERAGE(OFFSET($BH$3,0,0,'Données projet'!$E$11+1,1))-AVERAGE(OFFSET($H$3,0,0,'Données projet'!$E$11+1,1))</f>
        <v>211.98817606983374</v>
      </c>
      <c r="BJ48" s="59">
        <f t="shared" si="38"/>
        <v>154.0840647586964</v>
      </c>
      <c r="BK48" s="15">
        <f>IF(ISNA(VLOOKUP(A48,'Données projet'!$A$87:$I$107,3,0)),0,VLOOKUP(A48,'Données projet'!$A$87:$I$107,3,0))</f>
        <v>4</v>
      </c>
      <c r="BL48" s="15">
        <f>IF(ISNA(VLOOKUP(A48,'Données projet'!$A$87:$I$107,4,0)),0,VLOOKUP(A48,'Données projet'!$A$87:$I$107,4,0))</f>
        <v>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85</v>
      </c>
      <c r="BW48" s="12">
        <f>VLOOKUP(A48,'Données projet'!$A$113:$I$133,9,0)</f>
        <v>3.8</v>
      </c>
      <c r="BX48" s="12">
        <f t="array" ref="BX48">INDEX(BW:BW,MIN(IF(ISNUMBER(BW48:BW244),ROW(BW48:BW244),"")))</f>
        <v>3.8</v>
      </c>
      <c r="BY48" s="12">
        <f>IF('Données projet'!$A$114&gt;35,BY47+BX48-CG47,IF(A48&lt;'Données projet'!$A$114,$BV$205^A48,IF(A48='Données projet'!$A$114,'Données projet'!$B$114,BY47+BX48-CG47)))</f>
        <v>84.999999999999986</v>
      </c>
      <c r="BZ48" s="13">
        <f>BY48*VLOOKUP('Données projet'!$B$12,Paramètres!$A$1:$I$89,3,0)*VLOOKUP('Données projet'!$B$12,Paramètres!$A$1:$I$89,5,0)</f>
        <v>91.493999999999986</v>
      </c>
      <c r="CA48" s="13">
        <f t="shared" si="39"/>
        <v>24.925195840896517</v>
      </c>
      <c r="CB48" s="20">
        <f t="shared" si="10"/>
        <v>202.76343275622807</v>
      </c>
      <c r="CC48" s="59">
        <f t="shared" si="11"/>
        <v>496.09676608956136</v>
      </c>
      <c r="CD48" s="59">
        <f ca="1">AVERAGE(OFFSET($CC$3,0,0,'Données projet'!$E$12+1,1))-AVERAGE(OFFSET($H$3,0,0,'Données projet'!$E$12+1,1))</f>
        <v>231.89176215692947</v>
      </c>
      <c r="CE48" s="59">
        <f t="shared" si="40"/>
        <v>166.97658184507787</v>
      </c>
      <c r="CF48" s="15">
        <f>IF(ISNA(VLOOKUP(A48,'Données projet'!$A$113:$I$133,3,0)),0,VLOOKUP(A48,'Données projet'!$A$113:$I$133,3,0))</f>
        <v>4</v>
      </c>
      <c r="CG48" s="15">
        <f>IF(ISNA(VLOOKUP(A48,'Données projet'!$A$113:$I$133,4,0)),0,VLOOKUP(A48,'Données projet'!$A$113:$I$133,4,0))</f>
        <v>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10.4</v>
      </c>
      <c r="CT48" s="12">
        <f>IF('Données projet'!$A$140&gt;35,CT47+CS48-DB47,IF(A48&lt;'Données projet'!$A$140,$CQ$205^A48,IF(A48='Données projet'!$A$140,'Données projet'!$B$140,CT47+CS48-DB47)))</f>
        <v>201.00000000000003</v>
      </c>
      <c r="CU48" s="17">
        <f>CT48*VLOOKUP('Données projet'!$B$13,Paramètres!$A$1:$I$89,3,0)*VLOOKUP('Données projet'!$B$13,Paramètres!$A$1:$I$89,5,0)</f>
        <v>156.78000000000003</v>
      </c>
      <c r="CV48" s="13">
        <f t="shared" si="41"/>
        <v>40.115378305457973</v>
      </c>
      <c r="CW48" s="20">
        <f t="shared" si="13"/>
        <v>342.92611721533927</v>
      </c>
      <c r="CX48" s="59">
        <f t="shared" si="14"/>
        <v>636.25945054867259</v>
      </c>
      <c r="CY48" s="59">
        <f ca="1">AVERAGE(OFFSET($CX$3,0,0,'Données projet'!$E$13+1,1))-AVERAGE(OFFSET($H$3,0,0,'Données projet'!$E$13+1,1))</f>
        <v>274.37717856763146</v>
      </c>
      <c r="CZ48" s="59">
        <f t="shared" si="42"/>
        <v>264.17357326498581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0.1176978983596812</v>
      </c>
      <c r="DI48" s="22">
        <f t="shared" si="15"/>
        <v>0.1176978983596812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166.29599999999996</v>
      </c>
      <c r="DQ48" s="13">
        <f t="shared" si="43"/>
        <v>42.259390211399776</v>
      </c>
      <c r="DR48" s="20">
        <f t="shared" si="16"/>
        <v>363.23397128485459</v>
      </c>
      <c r="DS48" s="59">
        <f t="shared" si="17"/>
        <v>656.5673046181879</v>
      </c>
      <c r="DT48" s="59">
        <f ca="1">AVERAGE(OFFSET($DS$3,0,0,'Données projet'!$E$14+1,1))-AVERAGE(OFFSET($H$3,0,0,'Données projet'!$E$14+1,1))</f>
        <v>304.26232113495314</v>
      </c>
      <c r="DU48" s="59">
        <f t="shared" si="44"/>
        <v>297.47246687305056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0.159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0.4</v>
      </c>
      <c r="EA48" s="21">
        <f>EXP(-LN(2)/35)*EA47+(1-EXP(-LN(2)/35))/(LN(2)/35)*DW48*DX48*VLOOKUP('Données projet'!$B$14,Paramètres!$A$1:$I$89,3,0)*0.475*44/12</f>
        <v>4.3421843844983226</v>
      </c>
      <c r="EB48" s="21">
        <f>EXP(-LN(2)/25)*EB47+(1-EXP(-LN(2)/25))/(LN(2)/25)*Calculateur!DW48*Calculateur!DY48*VLOOKUP('Données projet'!$B$14,Paramètres!$A$1:$I$89,3,0)*0.475*44/12</f>
        <v>7.629561223436399</v>
      </c>
      <c r="EC48" s="21">
        <f>EXP(-LN(2)/2)*EC47+(1-EXP(-LN(2)/2))/(LN(2)/2)*DW48*DZ48*VLOOKUP('Données projet'!$B$14,Paramètres!$A$1:$I$89,3,0)*0.475*44/12</f>
        <v>8.1398543818183509</v>
      </c>
      <c r="ED48" s="22">
        <f t="shared" si="18"/>
        <v>20.111599989753074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165.80000000000004</v>
      </c>
      <c r="O49" s="13">
        <f>N49*VLOOKUP('Données projet'!$B$9,Paramètres!$A$1:$I$89,3,0)*VLOOKUP('Données projet'!$B$9,Paramètres!$A$1:$I$89,5,0)</f>
        <v>150.01584000000003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344.4940855044307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2.9898569961416939E-2</v>
      </c>
      <c r="AC49" s="22">
        <f t="shared" si="3"/>
        <v>2.9898569961416939E-2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7.6</v>
      </c>
      <c r="AI49" s="13">
        <f>IF('Données projet'!$A$62&gt;35,AI48+AH49-AQ48,IF(A49&lt;'Données projet'!$A$62,$AF$205^A49,IF(A49='Données projet'!$A$62,'Données projet'!$B$62,AI48+AH49-AQ48)))</f>
        <v>140.60000000000005</v>
      </c>
      <c r="AJ49" s="13">
        <f>AI49*VLOOKUP('Données projet'!$B$10,Paramètres!$A$1:$I$89,3,0)*VLOOKUP('Données projet'!$B$10,Paramètres!$A$1:$I$89,5,0)</f>
        <v>94.314480000000032</v>
      </c>
      <c r="AK49" s="13">
        <f t="shared" si="35"/>
        <v>25.602921030533331</v>
      </c>
      <c r="AL49" s="20">
        <f t="shared" si="4"/>
        <v>208.85614012817894</v>
      </c>
      <c r="AM49" s="59">
        <f t="shared" si="5"/>
        <v>502.18947346151225</v>
      </c>
      <c r="AN49" s="59">
        <f ca="1">AVERAGE(OFFSET($AM$3,0,0,'Données projet'!$E$10+1,1))-AVERAGE(OFFSET($H$3,0,0,'Données projet'!$E$10+1,1))</f>
        <v>246.71489737733248</v>
      </c>
      <c r="AO49" s="59">
        <f t="shared" si="36"/>
        <v>185.03615139960783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3.8</v>
      </c>
      <c r="BD49" s="12">
        <f>IF('Données projet'!$A$88&gt;35,BD48+BC49-BL48,IF(A49&lt;'Données projet'!$A$88,$BA$205^A49,IF(A49='Données projet'!$A$88,'Données projet'!$B$88,BD48+BC49-BL48)))</f>
        <v>79.799999999999983</v>
      </c>
      <c r="BE49" s="13">
        <f>BD49*VLOOKUP('Données projet'!$B$11,Paramètres!$A$1:$I$89,3,0)*VLOOKUP('Données projet'!$B$11,Paramètres!$A$1:$I$89,5,0)</f>
        <v>77.182559999999995</v>
      </c>
      <c r="BF49" s="13">
        <f t="shared" si="37"/>
        <v>21.446874557671695</v>
      </c>
      <c r="BG49" s="20">
        <f t="shared" si="7"/>
        <v>171.77959852127819</v>
      </c>
      <c r="BH49" s="59">
        <f t="shared" si="8"/>
        <v>465.11293185461147</v>
      </c>
      <c r="BI49" s="59">
        <f ca="1">AVERAGE(OFFSET($BH$3,0,0,'Données projet'!$E$11+1,1))-AVERAGE(OFFSET($H$3,0,0,'Données projet'!$E$11+1,1))</f>
        <v>211.98817606983374</v>
      </c>
      <c r="BJ49" s="59">
        <f t="shared" si="38"/>
        <v>154.0840647586964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3.8</v>
      </c>
      <c r="BY49" s="12">
        <f>IF('Données projet'!$A$114&gt;35,BY48+BX49-CG48,IF(A49&lt;'Données projet'!$A$114,$BV$205^A49,IF(A49='Données projet'!$A$114,'Données projet'!$B$114,BY48+BX49-CG48)))</f>
        <v>79.799999999999983</v>
      </c>
      <c r="BZ49" s="13">
        <f>BY49*VLOOKUP('Données projet'!$B$12,Paramètres!$A$1:$I$89,3,0)*VLOOKUP('Données projet'!$B$12,Paramètres!$A$1:$I$89,5,0)</f>
        <v>85.896719999999974</v>
      </c>
      <c r="CA49" s="13">
        <f t="shared" si="39"/>
        <v>23.572941115591171</v>
      </c>
      <c r="CB49" s="20">
        <f t="shared" si="10"/>
        <v>190.65965977632126</v>
      </c>
      <c r="CC49" s="59">
        <f t="shared" si="11"/>
        <v>483.99299310965455</v>
      </c>
      <c r="CD49" s="59">
        <f ca="1">AVERAGE(OFFSET($CC$3,0,0,'Données projet'!$E$12+1,1))-AVERAGE(OFFSET($H$3,0,0,'Données projet'!$E$12+1,1))</f>
        <v>231.89176215692947</v>
      </c>
      <c r="CE49" s="59">
        <f t="shared" si="40"/>
        <v>166.97658184507787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10.4</v>
      </c>
      <c r="CT49" s="12">
        <f>IF('Données projet'!$A$140&gt;35,CT48+CS49-DB48,IF(A49&lt;'Données projet'!$A$140,$CQ$205^A49,IF(A49='Données projet'!$A$140,'Données projet'!$B$140,CT48+CS49-DB48)))</f>
        <v>211.40000000000003</v>
      </c>
      <c r="CU49" s="17">
        <f>CT49*VLOOKUP('Données projet'!$B$13,Paramètres!$A$1:$I$89,3,0)*VLOOKUP('Données projet'!$B$13,Paramètres!$A$1:$I$89,5,0)</f>
        <v>164.89200000000002</v>
      </c>
      <c r="CV49" s="13">
        <f t="shared" si="41"/>
        <v>41.943978178295119</v>
      </c>
      <c r="CW49" s="20">
        <f t="shared" si="13"/>
        <v>360.23932866053065</v>
      </c>
      <c r="CX49" s="59">
        <f t="shared" si="14"/>
        <v>653.5726619938639</v>
      </c>
      <c r="CY49" s="59">
        <f ca="1">AVERAGE(OFFSET($CX$3,0,0,'Données projet'!$E$13+1,1))-AVERAGE(OFFSET($H$3,0,0,'Données projet'!$E$13+1,1))</f>
        <v>274.37717856763146</v>
      </c>
      <c r="CZ49" s="59">
        <f t="shared" si="42"/>
        <v>264.17357326498581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8.3224982061535613E-2</v>
      </c>
      <c r="DI49" s="22">
        <f t="shared" si="15"/>
        <v>8.3224982061535613E-2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154.29023999999995</v>
      </c>
      <c r="DQ49" s="13">
        <f t="shared" si="43"/>
        <v>39.551952121114581</v>
      </c>
      <c r="DR49" s="20">
        <f t="shared" si="16"/>
        <v>337.6084846109411</v>
      </c>
      <c r="DS49" s="59">
        <f t="shared" si="17"/>
        <v>630.94181794427436</v>
      </c>
      <c r="DT49" s="59">
        <f ca="1">AVERAGE(OFFSET($DS$3,0,0,'Données projet'!$E$14+1,1))-AVERAGE(OFFSET($H$3,0,0,'Données projet'!$E$14+1,1))</f>
        <v>304.26232113495314</v>
      </c>
      <c r="DU49" s="59">
        <f t="shared" si="44"/>
        <v>297.47246687305056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4.2570367971892704</v>
      </c>
      <c r="EB49" s="21">
        <f>EXP(-LN(2)/25)*EB48+(1-EXP(-LN(2)/25))/(LN(2)/25)*Calculateur!DW49*Calculateur!DY49*VLOOKUP('Données projet'!$B$14,Paramètres!$A$1:$I$89,3,0)*0.475*44/12</f>
        <v>7.4209304705603438</v>
      </c>
      <c r="EC49" s="21">
        <f>EXP(-LN(2)/2)*EC48+(1-EXP(-LN(2)/2))/(LN(2)/2)*DW49*DZ49*VLOOKUP('Données projet'!$B$14,Paramètres!$A$1:$I$89,3,0)*0.475*44/12</f>
        <v>5.7557462312547889</v>
      </c>
      <c r="ED49" s="22">
        <f t="shared" si="18"/>
        <v>17.433713499004405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174.10000000000005</v>
      </c>
      <c r="O50" s="13">
        <f>N50*VLOOKUP('Données projet'!$B$9,Paramètres!$A$1:$I$89,3,0)*VLOOKUP('Données projet'!$B$9,Paramètres!$A$1:$I$89,5,0)</f>
        <v>157.52568000000005</v>
      </c>
      <c r="P50" s="13">
        <f t="shared" si="33"/>
        <v>40.283920409774808</v>
      </c>
      <c r="Q50" s="20">
        <f t="shared" si="53"/>
        <v>344.51838738035786</v>
      </c>
      <c r="R50" s="59">
        <f t="shared" si="0"/>
        <v>637.85172071369118</v>
      </c>
      <c r="S50" s="59">
        <f ca="1">AVERAGE(OFFSET($R$3,0,0,'Données projet'!$E$9+1,1))-AVERAGE(OFFSET($H$3,0,0,'Données projet'!$E$9+1,1))</f>
        <v>344.4940855044307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2.1141481567498333E-2</v>
      </c>
      <c r="AC50" s="22">
        <f t="shared" si="3"/>
        <v>2.1141481567498333E-2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7.6</v>
      </c>
      <c r="AI50" s="13">
        <f>IF('Données projet'!$A$62&gt;35,AI49+AH50-AQ49,IF(A50&lt;'Données projet'!$A$62,$AF$205^A50,IF(A50='Données projet'!$A$62,'Données projet'!$B$62,AI49+AH50-AQ49)))</f>
        <v>148.20000000000005</v>
      </c>
      <c r="AJ50" s="13">
        <f>AI50*VLOOKUP('Données projet'!$B$10,Paramètres!$A$1:$I$89,3,0)*VLOOKUP('Données projet'!$B$10,Paramètres!$A$1:$I$89,5,0)</f>
        <v>99.412560000000042</v>
      </c>
      <c r="AK50" s="13">
        <f t="shared" si="35"/>
        <v>26.822000116688319</v>
      </c>
      <c r="AL50" s="20">
        <f t="shared" si="4"/>
        <v>219.85852553656557</v>
      </c>
      <c r="AM50" s="59">
        <f t="shared" si="5"/>
        <v>513.19185886989885</v>
      </c>
      <c r="AN50" s="59">
        <f ca="1">AVERAGE(OFFSET($AM$3,0,0,'Données projet'!$E$10+1,1))-AVERAGE(OFFSET($H$3,0,0,'Données projet'!$E$10+1,1))</f>
        <v>246.71489737733248</v>
      </c>
      <c r="AO50" s="59">
        <f t="shared" si="36"/>
        <v>185.03615139960783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3.8</v>
      </c>
      <c r="BD50" s="12">
        <f>IF('Données projet'!$A$88&gt;35,BD49+BC50-BL49,IF(A50&lt;'Données projet'!$A$88,$BA$205^A50,IF(A50='Données projet'!$A$88,'Données projet'!$B$88,BD49+BC50-BL49)))</f>
        <v>83.59999999999998</v>
      </c>
      <c r="BE50" s="13">
        <f>BD50*VLOOKUP('Données projet'!$B$11,Paramètres!$A$1:$I$89,3,0)*VLOOKUP('Données projet'!$B$11,Paramètres!$A$1:$I$89,5,0)</f>
        <v>80.857919999999979</v>
      </c>
      <c r="BF50" s="13">
        <f t="shared" si="37"/>
        <v>22.346819625648891</v>
      </c>
      <c r="BG50" s="20">
        <f t="shared" si="7"/>
        <v>179.7482548480051</v>
      </c>
      <c r="BH50" s="59">
        <f t="shared" si="8"/>
        <v>473.08158818133842</v>
      </c>
      <c r="BI50" s="59">
        <f ca="1">AVERAGE(OFFSET($BH$3,0,0,'Données projet'!$E$11+1,1))-AVERAGE(OFFSET($H$3,0,0,'Données projet'!$E$11+1,1))</f>
        <v>211.98817606983374</v>
      </c>
      <c r="BJ50" s="59">
        <f t="shared" si="38"/>
        <v>154.0840647586964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3.8</v>
      </c>
      <c r="BY50" s="12">
        <f>IF('Données projet'!$A$114&gt;35,BY49+BX50-CG49,IF(A50&lt;'Données projet'!$A$114,$BV$205^A50,IF(A50='Données projet'!$A$114,'Données projet'!$B$114,BY49+BX50-CG49)))</f>
        <v>83.59999999999998</v>
      </c>
      <c r="BZ50" s="13">
        <f>BY50*VLOOKUP('Données projet'!$B$12,Paramètres!$A$1:$I$89,3,0)*VLOOKUP('Données projet'!$B$12,Paramètres!$A$1:$I$89,5,0)</f>
        <v>89.987039999999979</v>
      </c>
      <c r="CA50" s="13">
        <f t="shared" si="39"/>
        <v>24.56209932778879</v>
      </c>
      <c r="CB50" s="20">
        <f t="shared" si="10"/>
        <v>199.50641766256544</v>
      </c>
      <c r="CC50" s="59">
        <f t="shared" si="11"/>
        <v>492.83975099589873</v>
      </c>
      <c r="CD50" s="59">
        <f ca="1">AVERAGE(OFFSET($CC$3,0,0,'Données projet'!$E$12+1,1))-AVERAGE(OFFSET($H$3,0,0,'Données projet'!$E$12+1,1))</f>
        <v>231.89176215692947</v>
      </c>
      <c r="CE50" s="59">
        <f t="shared" si="40"/>
        <v>166.97658184507787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10.4</v>
      </c>
      <c r="CT50" s="12">
        <f>IF('Données projet'!$A$140&gt;35,CT49+CS50-DB49,IF(A50&lt;'Données projet'!$A$140,$CQ$205^A50,IF(A50='Données projet'!$A$140,'Données projet'!$B$140,CT49+CS50-DB49)))</f>
        <v>221.80000000000004</v>
      </c>
      <c r="CU50" s="17">
        <f>CT50*VLOOKUP('Données projet'!$B$13,Paramètres!$A$1:$I$89,3,0)*VLOOKUP('Données projet'!$B$13,Paramètres!$A$1:$I$89,5,0)</f>
        <v>173.00400000000005</v>
      </c>
      <c r="CV50" s="13">
        <f t="shared" si="41"/>
        <v>43.76213224071028</v>
      </c>
      <c r="CW50" s="20">
        <f t="shared" si="13"/>
        <v>377.53434698590382</v>
      </c>
      <c r="CX50" s="59">
        <f t="shared" si="14"/>
        <v>670.86768031923714</v>
      </c>
      <c r="CY50" s="59">
        <f ca="1">AVERAGE(OFFSET($CX$3,0,0,'Données projet'!$E$13+1,1))-AVERAGE(OFFSET($H$3,0,0,'Données projet'!$E$13+1,1))</f>
        <v>274.37717856763146</v>
      </c>
      <c r="CZ50" s="59">
        <f t="shared" si="42"/>
        <v>264.17357326498581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5.8848949179840612E-2</v>
      </c>
      <c r="DI50" s="22">
        <f t="shared" si="15"/>
        <v>5.8848949179840612E-2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160.13087999999996</v>
      </c>
      <c r="DQ50" s="13">
        <f t="shared" si="43"/>
        <v>40.872034351060186</v>
      </c>
      <c r="DR50" s="20">
        <f t="shared" si="16"/>
        <v>350.08007582809643</v>
      </c>
      <c r="DS50" s="59">
        <f t="shared" si="17"/>
        <v>643.41340916142974</v>
      </c>
      <c r="DT50" s="59">
        <f ca="1">AVERAGE(OFFSET($DS$3,0,0,'Données projet'!$E$14+1,1))-AVERAGE(OFFSET($H$3,0,0,'Données projet'!$E$14+1,1))</f>
        <v>304.26232113495314</v>
      </c>
      <c r="DU50" s="59">
        <f t="shared" si="44"/>
        <v>297.47246687305056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4.1735589021324486</v>
      </c>
      <c r="EB50" s="21">
        <f>EXP(-LN(2)/25)*EB49+(1-EXP(-LN(2)/25))/(LN(2)/25)*Calculateur!DW50*Calculateur!DY50*VLOOKUP('Données projet'!$B$14,Paramètres!$A$1:$I$89,3,0)*0.475*44/12</f>
        <v>7.2180047365930982</v>
      </c>
      <c r="EC50" s="21">
        <f>EXP(-LN(2)/2)*EC49+(1-EXP(-LN(2)/2))/(LN(2)/2)*DW50*DZ50*VLOOKUP('Données projet'!$B$14,Paramètres!$A$1:$I$89,3,0)*0.475*44/12</f>
        <v>4.0699271909091754</v>
      </c>
      <c r="ED50" s="22">
        <f t="shared" si="18"/>
        <v>15.461490829634723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182.40000000000006</v>
      </c>
      <c r="O51" s="13">
        <f>N51*VLOOKUP('Données projet'!$B$9,Paramètres!$A$1:$I$89,3,0)*VLOOKUP('Données projet'!$B$9,Paramètres!$A$1:$I$89,5,0)</f>
        <v>165.03552000000005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344.4940855044307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1.4949284980708473E-2</v>
      </c>
      <c r="AC51" s="22">
        <f t="shared" si="3"/>
        <v>1.4949284980708473E-2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7.6</v>
      </c>
      <c r="AI51" s="13">
        <f>IF('Données projet'!$A$62&gt;35,AI50+AH51-AQ50,IF(A51&lt;'Données projet'!$A$62,$AF$205^A51,IF(A51='Données projet'!$A$62,'Données projet'!$B$62,AI50+AH51-AQ50)))</f>
        <v>155.80000000000004</v>
      </c>
      <c r="AJ51" s="13">
        <f>AI51*VLOOKUP('Données projet'!$B$10,Paramètres!$A$1:$I$89,3,0)*VLOOKUP('Données projet'!$B$10,Paramètres!$A$1:$I$89,5,0)</f>
        <v>104.51064000000002</v>
      </c>
      <c r="AK51" s="13">
        <f t="shared" si="35"/>
        <v>28.033820555448408</v>
      </c>
      <c r="AL51" s="20">
        <f t="shared" si="4"/>
        <v>230.84826880073933</v>
      </c>
      <c r="AM51" s="59">
        <f t="shared" si="5"/>
        <v>524.18160213407259</v>
      </c>
      <c r="AN51" s="59">
        <f ca="1">AVERAGE(OFFSET($AM$3,0,0,'Données projet'!$E$10+1,1))-AVERAGE(OFFSET($H$3,0,0,'Données projet'!$E$10+1,1))</f>
        <v>246.71489737733248</v>
      </c>
      <c r="AO51" s="59">
        <f t="shared" si="36"/>
        <v>185.03615139960783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3.8</v>
      </c>
      <c r="BD51" s="12">
        <f>IF('Données projet'!$A$88&gt;35,BD50+BC51-BL50,IF(A51&lt;'Données projet'!$A$88,$BA$205^A51,IF(A51='Données projet'!$A$88,'Données projet'!$B$88,BD50+BC51-BL50)))</f>
        <v>87.399999999999977</v>
      </c>
      <c r="BE51" s="13">
        <f>BD51*VLOOKUP('Données projet'!$B$11,Paramètres!$A$1:$I$89,3,0)*VLOOKUP('Données projet'!$B$11,Paramètres!$A$1:$I$89,5,0)</f>
        <v>84.533279999999991</v>
      </c>
      <c r="BF51" s="13">
        <f t="shared" si="37"/>
        <v>23.242014012893971</v>
      </c>
      <c r="BG51" s="20">
        <f t="shared" si="7"/>
        <v>187.70863707245698</v>
      </c>
      <c r="BH51" s="59">
        <f t="shared" si="8"/>
        <v>481.04197040579027</v>
      </c>
      <c r="BI51" s="59">
        <f ca="1">AVERAGE(OFFSET($BH$3,0,0,'Données projet'!$E$11+1,1))-AVERAGE(OFFSET($H$3,0,0,'Données projet'!$E$11+1,1))</f>
        <v>211.98817606983374</v>
      </c>
      <c r="BJ51" s="59">
        <f t="shared" si="38"/>
        <v>154.0840647586964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3.8</v>
      </c>
      <c r="BY51" s="12">
        <f>IF('Données projet'!$A$114&gt;35,BY50+BX51-CG50,IF(A51&lt;'Données projet'!$A$114,$BV$205^A51,IF(A51='Données projet'!$A$114,'Données projet'!$B$114,BY50+BX51-CG50)))</f>
        <v>87.399999999999977</v>
      </c>
      <c r="BZ51" s="13">
        <f>BY51*VLOOKUP('Données projet'!$B$12,Paramètres!$A$1:$I$89,3,0)*VLOOKUP('Données projet'!$B$12,Paramètres!$A$1:$I$89,5,0)</f>
        <v>94.07735999999997</v>
      </c>
      <c r="CA51" s="13">
        <f t="shared" si="39"/>
        <v>25.546035915881891</v>
      </c>
      <c r="CB51" s="20">
        <f t="shared" si="10"/>
        <v>208.34408122016089</v>
      </c>
      <c r="CC51" s="59">
        <f t="shared" si="11"/>
        <v>501.6774145534942</v>
      </c>
      <c r="CD51" s="59">
        <f ca="1">AVERAGE(OFFSET($CC$3,0,0,'Données projet'!$E$12+1,1))-AVERAGE(OFFSET($H$3,0,0,'Données projet'!$E$12+1,1))</f>
        <v>231.89176215692947</v>
      </c>
      <c r="CE51" s="59">
        <f t="shared" si="40"/>
        <v>166.97658184507787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10.4</v>
      </c>
      <c r="CT51" s="12">
        <f>IF('Données projet'!$A$140&gt;35,CT50+CS51-DB50,IF(A51&lt;'Données projet'!$A$140,$CQ$205^A51,IF(A51='Données projet'!$A$140,'Données projet'!$B$140,CT50+CS51-DB50)))</f>
        <v>232.20000000000005</v>
      </c>
      <c r="CU51" s="17">
        <f>CT51*VLOOKUP('Données projet'!$B$13,Paramètres!$A$1:$I$89,3,0)*VLOOKUP('Données projet'!$B$13,Paramètres!$A$1:$I$89,5,0)</f>
        <v>181.11600000000004</v>
      </c>
      <c r="CV51" s="13">
        <f t="shared" si="41"/>
        <v>45.570386218758216</v>
      </c>
      <c r="CW51" s="20">
        <f t="shared" si="13"/>
        <v>394.81212266433727</v>
      </c>
      <c r="CX51" s="59">
        <f t="shared" si="14"/>
        <v>688.14545599767052</v>
      </c>
      <c r="CY51" s="59">
        <f ca="1">AVERAGE(OFFSET($CX$3,0,0,'Données projet'!$E$13+1,1))-AVERAGE(OFFSET($H$3,0,0,'Données projet'!$E$13+1,1))</f>
        <v>274.37717856763146</v>
      </c>
      <c r="CZ51" s="59">
        <f t="shared" si="42"/>
        <v>264.17357326498581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4.1612491030767813E-2</v>
      </c>
      <c r="DI51" s="22">
        <f t="shared" si="15"/>
        <v>4.1612491030767813E-2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165.97151999999994</v>
      </c>
      <c r="DQ51" s="13">
        <f t="shared" si="43"/>
        <v>42.186522619819392</v>
      </c>
      <c r="DR51" s="20">
        <f t="shared" si="16"/>
        <v>362.54192422951866</v>
      </c>
      <c r="DS51" s="59">
        <f t="shared" si="17"/>
        <v>655.87525756285197</v>
      </c>
      <c r="DT51" s="59">
        <f ca="1">AVERAGE(OFFSET($DS$3,0,0,'Données projet'!$E$14+1,1))-AVERAGE(OFFSET($H$3,0,0,'Données projet'!$E$14+1,1))</f>
        <v>304.26232113495314</v>
      </c>
      <c r="DU51" s="59">
        <f t="shared" si="44"/>
        <v>297.47246687305056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4.0917179576812028</v>
      </c>
      <c r="EB51" s="21">
        <f>EXP(-LN(2)/25)*EB50+(1-EXP(-LN(2)/25))/(LN(2)/25)*Calculateur!DW51*Calculateur!DY51*VLOOKUP('Données projet'!$B$14,Paramètres!$A$1:$I$89,3,0)*0.475*44/12</f>
        <v>7.0206280174925881</v>
      </c>
      <c r="EC51" s="21">
        <f>EXP(-LN(2)/2)*EC50+(1-EXP(-LN(2)/2))/(LN(2)/2)*DW51*DZ51*VLOOKUP('Données projet'!$B$14,Paramètres!$A$1:$I$89,3,0)*0.475*44/12</f>
        <v>2.8778731156273945</v>
      </c>
      <c r="ED51" s="22">
        <f t="shared" si="18"/>
        <v>13.990219090801187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190.70000000000007</v>
      </c>
      <c r="O52" s="13">
        <f>N52*VLOOKUP('Données projet'!$B$9,Paramètres!$A$1:$I$89,3,0)*VLOOKUP('Données projet'!$B$9,Paramètres!$A$1:$I$89,5,0)</f>
        <v>172.54536000000007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344.4940855044307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1.0570740783749168E-2</v>
      </c>
      <c r="AC52" s="22">
        <f t="shared" si="3"/>
        <v>1.0570740783749168E-2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7.6</v>
      </c>
      <c r="AI52" s="13">
        <f>IF('Données projet'!$A$62&gt;35,AI51+AH52-AQ51,IF(A52&lt;'Données projet'!$A$62,$AF$205^A52,IF(A52='Données projet'!$A$62,'Données projet'!$B$62,AI51+AH52-AQ51)))</f>
        <v>163.40000000000003</v>
      </c>
      <c r="AJ52" s="13">
        <f>AI52*VLOOKUP('Données projet'!$B$10,Paramètres!$A$1:$I$89,3,0)*VLOOKUP('Données projet'!$B$10,Paramètres!$A$1:$I$89,5,0)</f>
        <v>109.60872000000003</v>
      </c>
      <c r="AK52" s="13">
        <f t="shared" si="35"/>
        <v>29.238776842240721</v>
      </c>
      <c r="AL52" s="20">
        <f t="shared" si="4"/>
        <v>241.82605700023601</v>
      </c>
      <c r="AM52" s="59">
        <f t="shared" si="5"/>
        <v>535.15939033356926</v>
      </c>
      <c r="AN52" s="59">
        <f ca="1">AVERAGE(OFFSET($AM$3,0,0,'Données projet'!$E$10+1,1))-AVERAGE(OFFSET($H$3,0,0,'Données projet'!$E$10+1,1))</f>
        <v>246.71489737733248</v>
      </c>
      <c r="AO52" s="59">
        <f t="shared" si="36"/>
        <v>185.03615139960783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3.8</v>
      </c>
      <c r="BD52" s="12">
        <f>IF('Données projet'!$A$88&gt;35,BD51+BC52-BL51,IF(A52&lt;'Données projet'!$A$88,$BA$205^A52,IF(A52='Données projet'!$A$88,'Données projet'!$B$88,BD51+BC52-BL51)))</f>
        <v>91.199999999999974</v>
      </c>
      <c r="BE52" s="13">
        <f>BD52*VLOOKUP('Données projet'!$B$11,Paramètres!$A$1:$I$89,3,0)*VLOOKUP('Données projet'!$B$11,Paramètres!$A$1:$I$89,5,0)</f>
        <v>88.208639999999974</v>
      </c>
      <c r="BF52" s="13">
        <f t="shared" si="37"/>
        <v>24.132687878829255</v>
      </c>
      <c r="BG52" s="20">
        <f t="shared" si="7"/>
        <v>195.66114605562757</v>
      </c>
      <c r="BH52" s="59">
        <f t="shared" si="8"/>
        <v>488.99447938896088</v>
      </c>
      <c r="BI52" s="59">
        <f ca="1">AVERAGE(OFFSET($BH$3,0,0,'Données projet'!$E$11+1,1))-AVERAGE(OFFSET($H$3,0,0,'Données projet'!$E$11+1,1))</f>
        <v>211.98817606983374</v>
      </c>
      <c r="BJ52" s="59">
        <f t="shared" si="38"/>
        <v>154.0840647586964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3.8</v>
      </c>
      <c r="BY52" s="12">
        <f>IF('Données projet'!$A$114&gt;35,BY51+BX52-CG51,IF(A52&lt;'Données projet'!$A$114,$BV$205^A52,IF(A52='Données projet'!$A$114,'Données projet'!$B$114,BY51+BX52-CG51)))</f>
        <v>91.199999999999974</v>
      </c>
      <c r="BZ52" s="13">
        <f>BY52*VLOOKUP('Données projet'!$B$12,Paramètres!$A$1:$I$89,3,0)*VLOOKUP('Données projet'!$B$12,Paramètres!$A$1:$I$89,5,0)</f>
        <v>98.167679999999962</v>
      </c>
      <c r="CA52" s="13">
        <f t="shared" si="39"/>
        <v>26.525003855402876</v>
      </c>
      <c r="CB52" s="20">
        <f t="shared" si="10"/>
        <v>217.17309104815993</v>
      </c>
      <c r="CC52" s="59">
        <f t="shared" si="11"/>
        <v>510.50642438149328</v>
      </c>
      <c r="CD52" s="59">
        <f ca="1">AVERAGE(OFFSET($CC$3,0,0,'Données projet'!$E$12+1,1))-AVERAGE(OFFSET($H$3,0,0,'Données projet'!$E$12+1,1))</f>
        <v>231.89176215692947</v>
      </c>
      <c r="CE52" s="59">
        <f t="shared" si="40"/>
        <v>166.97658184507787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10.4</v>
      </c>
      <c r="CT52" s="12">
        <f>IF('Données projet'!$A$140&gt;35,CT51+CS52-DB51,IF(A52&lt;'Données projet'!$A$140,$CQ$205^A52,IF(A52='Données projet'!$A$140,'Données projet'!$B$140,CT51+CS52-DB51)))</f>
        <v>242.60000000000005</v>
      </c>
      <c r="CU52" s="17">
        <f>CT52*VLOOKUP('Données projet'!$B$13,Paramètres!$A$1:$I$89,3,0)*VLOOKUP('Données projet'!$B$13,Paramètres!$A$1:$I$89,5,0)</f>
        <v>189.22800000000004</v>
      </c>
      <c r="CV52" s="13">
        <f t="shared" si="41"/>
        <v>47.369234189818691</v>
      </c>
      <c r="CW52" s="20">
        <f t="shared" si="13"/>
        <v>412.07351621393423</v>
      </c>
      <c r="CX52" s="59">
        <f t="shared" si="14"/>
        <v>705.40684954726748</v>
      </c>
      <c r="CY52" s="59">
        <f ca="1">AVERAGE(OFFSET($CX$3,0,0,'Données projet'!$E$13+1,1))-AVERAGE(OFFSET($H$3,0,0,'Données projet'!$E$13+1,1))</f>
        <v>274.37717856763146</v>
      </c>
      <c r="CZ52" s="59">
        <f t="shared" si="42"/>
        <v>264.17357326498581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2.942447458992031E-2</v>
      </c>
      <c r="DI52" s="22">
        <f t="shared" si="15"/>
        <v>2.942447458992031E-2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171.81215999999992</v>
      </c>
      <c r="DQ52" s="13">
        <f t="shared" si="43"/>
        <v>43.49563633881931</v>
      </c>
      <c r="DR52" s="20">
        <f t="shared" si="16"/>
        <v>374.99441195677679</v>
      </c>
      <c r="DS52" s="59">
        <f t="shared" si="17"/>
        <v>668.3277452901101</v>
      </c>
      <c r="DT52" s="59">
        <f ca="1">AVERAGE(OFFSET($DS$3,0,0,'Données projet'!$E$14+1,1))-AVERAGE(OFFSET($H$3,0,0,'Données projet'!$E$14+1,1))</f>
        <v>304.26232113495314</v>
      </c>
      <c r="DU52" s="59">
        <f t="shared" si="44"/>
        <v>297.47246687305056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4.0114818642325982</v>
      </c>
      <c r="EB52" s="21">
        <f>EXP(-LN(2)/25)*EB51+(1-EXP(-LN(2)/25))/(LN(2)/25)*Calculateur!DW52*Calculateur!DY52*VLOOKUP('Données projet'!$B$14,Paramètres!$A$1:$I$89,3,0)*0.475*44/12</f>
        <v>6.828648575155472</v>
      </c>
      <c r="EC52" s="21">
        <f>EXP(-LN(2)/2)*EC51+(1-EXP(-LN(2)/2))/(LN(2)/2)*DW52*DZ52*VLOOKUP('Données projet'!$B$14,Paramètres!$A$1:$I$89,3,0)*0.475*44/12</f>
        <v>2.0349635954545877</v>
      </c>
      <c r="ED52" s="22">
        <f t="shared" si="18"/>
        <v>12.875094034842657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199.00000000000009</v>
      </c>
      <c r="O53" s="13">
        <f>N53*VLOOKUP('Données projet'!$B$9,Paramètres!$A$1:$I$89,3,0)*VLOOKUP('Données projet'!$B$9,Paramètres!$A$1:$I$89,5,0)</f>
        <v>180.05520000000007</v>
      </c>
      <c r="P53" s="13">
        <f t="shared" si="33"/>
        <v>45.334466930398399</v>
      </c>
      <c r="Q53" s="20">
        <f t="shared" si="53"/>
        <v>392.55366990377735</v>
      </c>
      <c r="R53" s="59">
        <f t="shared" si="0"/>
        <v>685.88700323711066</v>
      </c>
      <c r="S53" s="59">
        <f ca="1">AVERAGE(OFFSET($R$3,0,0,'Données projet'!$E$9+1,1))-AVERAGE(OFFSET($H$3,0,0,'Données projet'!$E$9+1,1))</f>
        <v>344.4940855044307</v>
      </c>
      <c r="T53" s="59">
        <f t="shared" si="34"/>
        <v>231.36959598460686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7.4746424903542373E-3</v>
      </c>
      <c r="AC53" s="22">
        <f t="shared" si="3"/>
        <v>7.4746424903542373E-3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171</v>
      </c>
      <c r="AG53" s="12">
        <f>VLOOKUP(A53,'Données projet'!$A$61:$I$81,9,0)</f>
        <v>7.6</v>
      </c>
      <c r="AH53" s="12">
        <f t="array" ref="AH53">INDEX(AG:AG,MIN(IF(ISNUMBER(AG53:AG249),ROW(AG53:AG249),"")))</f>
        <v>7.6</v>
      </c>
      <c r="AI53" s="13">
        <f>IF('Données projet'!$A$62&gt;35,AI52+AH53-AQ52,IF(A53&lt;'Données projet'!$A$62,$AF$205^A53,IF(A53='Données projet'!$A$62,'Données projet'!$B$62,AI52+AH53-AQ52)))</f>
        <v>171.00000000000003</v>
      </c>
      <c r="AJ53" s="13">
        <f>AI53*VLOOKUP('Données projet'!$B$10,Paramètres!$A$1:$I$89,3,0)*VLOOKUP('Données projet'!$B$10,Paramètres!$A$1:$I$89,5,0)</f>
        <v>114.70680000000003</v>
      </c>
      <c r="AK53" s="13">
        <f t="shared" si="35"/>
        <v>30.43722470128062</v>
      </c>
      <c r="AL53" s="20">
        <f t="shared" si="4"/>
        <v>252.79250968806377</v>
      </c>
      <c r="AM53" s="59">
        <f t="shared" si="5"/>
        <v>546.12584302139703</v>
      </c>
      <c r="AN53" s="59">
        <f ca="1">AVERAGE(OFFSET($AM$3,0,0,'Données projet'!$E$10+1,1))-AVERAGE(OFFSET($H$3,0,0,'Données projet'!$E$10+1,1))</f>
        <v>246.71489737733248</v>
      </c>
      <c r="AO53" s="59">
        <f t="shared" si="36"/>
        <v>185.03615139960783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95</v>
      </c>
      <c r="BB53" s="12">
        <f>VLOOKUP(A53,'Données projet'!$A$87:$I$107,9,0)</f>
        <v>3.8</v>
      </c>
      <c r="BC53" s="12">
        <f t="array" ref="BC53">INDEX(BB:BB,MIN(IF(ISNUMBER(BB53:BB249),ROW(BB53:BB249),"")))</f>
        <v>3.8</v>
      </c>
      <c r="BD53" s="12">
        <f>IF('Données projet'!$A$88&gt;35,BD52+BC53-BL52,IF(A53&lt;'Données projet'!$A$88,$BA$205^A53,IF(A53='Données projet'!$A$88,'Données projet'!$B$88,BD52+BC53-BL52)))</f>
        <v>94.999999999999972</v>
      </c>
      <c r="BE53" s="13">
        <f>BD53*VLOOKUP('Données projet'!$B$11,Paramètres!$A$1:$I$89,3,0)*VLOOKUP('Données projet'!$B$11,Paramètres!$A$1:$I$89,5,0)</f>
        <v>91.883999999999972</v>
      </c>
      <c r="BF53" s="13">
        <f t="shared" si="37"/>
        <v>25.019051117801563</v>
      </c>
      <c r="BG53" s="20">
        <f t="shared" si="7"/>
        <v>203.60614736350433</v>
      </c>
      <c r="BH53" s="59">
        <f t="shared" si="8"/>
        <v>496.93948069683768</v>
      </c>
      <c r="BI53" s="59">
        <f ca="1">AVERAGE(OFFSET($BH$3,0,0,'Données projet'!$E$11+1,1))-AVERAGE(OFFSET($H$3,0,0,'Données projet'!$E$11+1,1))</f>
        <v>211.98817606983374</v>
      </c>
      <c r="BJ53" s="59">
        <f t="shared" si="38"/>
        <v>154.0840647586964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95</v>
      </c>
      <c r="BW53" s="12">
        <f>VLOOKUP(A53,'Données projet'!$A$113:$I$133,9,0)</f>
        <v>3.8</v>
      </c>
      <c r="BX53" s="12">
        <f t="array" ref="BX53">INDEX(BW:BW,MIN(IF(ISNUMBER(BW53:BW249),ROW(BW53:BW249),"")))</f>
        <v>3.8</v>
      </c>
      <c r="BY53" s="12">
        <f>IF('Données projet'!$A$114&gt;35,BY52+BX53-CG52,IF(A53&lt;'Données projet'!$A$114,$BV$205^A53,IF(A53='Données projet'!$A$114,'Données projet'!$B$114,BY52+BX53-CG52)))</f>
        <v>94.999999999999972</v>
      </c>
      <c r="BZ53" s="13">
        <f>BY53*VLOOKUP('Données projet'!$B$12,Paramètres!$A$1:$I$89,3,0)*VLOOKUP('Données projet'!$B$12,Paramètres!$A$1:$I$89,5,0)</f>
        <v>102.25799999999995</v>
      </c>
      <c r="CA53" s="13">
        <f t="shared" si="39"/>
        <v>27.499233847895834</v>
      </c>
      <c r="CB53" s="20">
        <f t="shared" si="10"/>
        <v>225.9938489517518</v>
      </c>
      <c r="CC53" s="59">
        <f t="shared" si="11"/>
        <v>519.32718228508509</v>
      </c>
      <c r="CD53" s="59">
        <f ca="1">AVERAGE(OFFSET($CC$3,0,0,'Données projet'!$E$12+1,1))-AVERAGE(OFFSET($H$3,0,0,'Données projet'!$E$12+1,1))</f>
        <v>231.89176215692947</v>
      </c>
      <c r="CE53" s="59">
        <f t="shared" si="40"/>
        <v>166.97658184507787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253</v>
      </c>
      <c r="CR53" s="12">
        <f>VLOOKUP(A53,'Données projet'!$A$139:$I$159,9,0)</f>
        <v>10.4</v>
      </c>
      <c r="CS53" s="12">
        <f t="array" ref="CS53">INDEX(CR:CR,MIN(IF(ISNUMBER(CR53:CR249),ROW(CR53:CR249),"")))</f>
        <v>10.4</v>
      </c>
      <c r="CT53" s="12">
        <f>IF('Données projet'!$A$140&gt;35,CT52+CS53-DB52,IF(A53&lt;'Données projet'!$A$140,$CQ$205^A53,IF(A53='Données projet'!$A$140,'Données projet'!$B$140,CT52+CS53-DB52)))</f>
        <v>253.00000000000006</v>
      </c>
      <c r="CU53" s="17">
        <f>CT53*VLOOKUP('Données projet'!$B$13,Paramètres!$A$1:$I$89,3,0)*VLOOKUP('Données projet'!$B$13,Paramètres!$A$1:$I$89,5,0)</f>
        <v>197.34000000000006</v>
      </c>
      <c r="CV53" s="13">
        <f t="shared" si="41"/>
        <v>49.15912547427002</v>
      </c>
      <c r="CW53" s="20">
        <f t="shared" si="13"/>
        <v>429.3193102010203</v>
      </c>
      <c r="CX53" s="59">
        <f t="shared" si="14"/>
        <v>722.65264353435361</v>
      </c>
      <c r="CY53" s="59">
        <f ca="1">AVERAGE(OFFSET($CX$3,0,0,'Données projet'!$E$13+1,1))-AVERAGE(OFFSET($H$3,0,0,'Données projet'!$E$13+1,1))</f>
        <v>274.37717856763146</v>
      </c>
      <c r="CZ53" s="59">
        <f t="shared" si="42"/>
        <v>264.17357326498581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61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2.080624551538391E-2</v>
      </c>
      <c r="DI53" s="22">
        <f t="shared" si="15"/>
        <v>2.080624551538391E-2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177.6527999999999</v>
      </c>
      <c r="DQ53" s="13">
        <f t="shared" si="43"/>
        <v>44.799579155749704</v>
      </c>
      <c r="DR53" s="20">
        <f t="shared" si="16"/>
        <v>387.43789369626387</v>
      </c>
      <c r="DS53" s="59">
        <f t="shared" si="17"/>
        <v>680.77122702959718</v>
      </c>
      <c r="DT53" s="59">
        <f ca="1">AVERAGE(OFFSET($DS$3,0,0,'Données projet'!$E$14+1,1))-AVERAGE(OFFSET($H$3,0,0,'Données projet'!$E$14+1,1))</f>
        <v>304.26232113495314</v>
      </c>
      <c r="DU53" s="59">
        <f t="shared" si="44"/>
        <v>297.47246687305056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0.159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0.4</v>
      </c>
      <c r="EA53" s="21">
        <f>EXP(-LN(2)/35)*EA52+(1-EXP(-LN(2)/35))/(LN(2)/35)*DW53*DX53*VLOOKUP('Données projet'!$B$14,Paramètres!$A$1:$I$89,3,0)*0.475*44/12</f>
        <v>6.3567548684212163</v>
      </c>
      <c r="EB53" s="21">
        <f>EXP(-LN(2)/25)*EB52+(1-EXP(-LN(2)/25))/(LN(2)/25)*Calculateur!DW53*Calculateur!DY53*VLOOKUP('Données projet'!$B$14,Paramètres!$A$1:$I$89,3,0)*0.475*44/12</f>
        <v>6.6419188207648245</v>
      </c>
      <c r="EC53" s="21">
        <f>EXP(-LN(2)/2)*EC52+(1-EXP(-LN(2)/2))/(LN(2)/2)*DW53*DZ53*VLOOKUP('Données projet'!$B$14,Paramètres!$A$1:$I$89,3,0)*0.475*44/12</f>
        <v>6.6435819830833553</v>
      </c>
      <c r="ED53" s="22">
        <f t="shared" si="18"/>
        <v>19.642255672269396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</v>
      </c>
      <c r="O54" s="13">
        <f>N54*VLOOKUP('Données projet'!$B$9,Paramètres!$A$1:$I$89,3,0)*VLOOKUP('Données projet'!$B$9,Paramètres!$A$1:$I$89,5,0)</f>
        <v>149.11104000000009</v>
      </c>
      <c r="P54" s="13">
        <f t="shared" si="33"/>
        <v>38.376496436982421</v>
      </c>
      <c r="Q54" s="20">
        <f t="shared" si="53"/>
        <v>326.54079262774457</v>
      </c>
      <c r="R54" s="59">
        <f t="shared" si="0"/>
        <v>619.87412596107788</v>
      </c>
      <c r="S54" s="59">
        <f ca="1">AVERAGE(OFFSET($R$3,0,0,'Données projet'!$E$9+1,1))-AVERAGE(OFFSET($H$3,0,0,'Données projet'!$E$9+1,1))</f>
        <v>344.4940855044307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5.285370391874585E-3</v>
      </c>
      <c r="AC54" s="22">
        <f t="shared" si="3"/>
        <v>5.285370391874585E-3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</v>
      </c>
      <c r="AI54" s="13">
        <f>IF('Données projet'!$A$62&gt;35,AI53+AH54-AQ53,IF(A54&lt;'Données projet'!$A$62,$AF$205^A54,IF(A54='Données projet'!$A$62,'Données projet'!$B$62,AI53+AH54-AQ53)))</f>
        <v>156.20000000000002</v>
      </c>
      <c r="AJ54" s="13">
        <f>AI54*VLOOKUP('Données projet'!$B$10,Paramètres!$A$1:$I$89,3,0)*VLOOKUP('Données projet'!$B$10,Paramètres!$A$1:$I$89,5,0)</f>
        <v>104.77896000000003</v>
      </c>
      <c r="AK54" s="13">
        <f t="shared" si="35"/>
        <v>28.097407169263057</v>
      </c>
      <c r="AL54" s="20">
        <f t="shared" si="4"/>
        <v>231.42633948646653</v>
      </c>
      <c r="AM54" s="59">
        <f t="shared" si="5"/>
        <v>524.75967281979979</v>
      </c>
      <c r="AN54" s="59">
        <f ca="1">AVERAGE(OFFSET($AM$3,0,0,'Données projet'!$E$10+1,1))-AVERAGE(OFFSET($H$3,0,0,'Données projet'!$E$10+1,1))</f>
        <v>246.71489737733248</v>
      </c>
      <c r="AO54" s="59">
        <f t="shared" si="36"/>
        <v>185.03615139960783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</v>
      </c>
      <c r="BD54" s="12">
        <f>IF('Données projet'!$A$88&gt;35,BD53+BC54-BL53,IF(A54&lt;'Données projet'!$A$88,$BA$205^A54,IF(A54='Données projet'!$A$88,'Données projet'!$B$88,BD53+BC54-BL53)))</f>
        <v>89.999999999999972</v>
      </c>
      <c r="BE54" s="13">
        <f>BD54*VLOOKUP('Données projet'!$B$11,Paramètres!$A$1:$I$89,3,0)*VLOOKUP('Données projet'!$B$11,Paramètres!$A$1:$I$89,5,0)</f>
        <v>87.047999999999973</v>
      </c>
      <c r="BF54" s="13">
        <f t="shared" si="37"/>
        <v>23.851897708444891</v>
      </c>
      <c r="BG54" s="20">
        <f t="shared" si="7"/>
        <v>193.15065517554149</v>
      </c>
      <c r="BH54" s="59">
        <f t="shared" si="8"/>
        <v>486.4839885088748</v>
      </c>
      <c r="BI54" s="59">
        <f ca="1">AVERAGE(OFFSET($BH$3,0,0,'Données projet'!$E$11+1,1))-AVERAGE(OFFSET($H$3,0,0,'Données projet'!$E$11+1,1))</f>
        <v>211.98817606983374</v>
      </c>
      <c r="BJ54" s="59">
        <f t="shared" si="38"/>
        <v>154.0840647586964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4</v>
      </c>
      <c r="BY54" s="12">
        <f>IF('Données projet'!$A$114&gt;35,BY53+BX54-CG53,IF(A54&lt;'Données projet'!$A$114,$BV$205^A54,IF(A54='Données projet'!$A$114,'Données projet'!$B$114,BY53+BX54-CG53)))</f>
        <v>89.999999999999972</v>
      </c>
      <c r="BZ54" s="13">
        <f>BY54*VLOOKUP('Données projet'!$B$12,Paramètres!$A$1:$I$89,3,0)*VLOOKUP('Données projet'!$B$12,Paramètres!$A$1:$I$89,5,0)</f>
        <v>96.875999999999962</v>
      </c>
      <c r="CA54" s="13">
        <f t="shared" si="39"/>
        <v>26.216378459450219</v>
      </c>
      <c r="CB54" s="20">
        <f t="shared" si="10"/>
        <v>214.38589248354239</v>
      </c>
      <c r="CC54" s="59">
        <f t="shared" si="11"/>
        <v>507.71922581687568</v>
      </c>
      <c r="CD54" s="59">
        <f ca="1">AVERAGE(OFFSET($CC$3,0,0,'Données projet'!$E$12+1,1))-AVERAGE(OFFSET($H$3,0,0,'Données projet'!$E$12+1,1))</f>
        <v>231.89176215692947</v>
      </c>
      <c r="CE54" s="59">
        <f t="shared" si="40"/>
        <v>166.97658184507787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7.9</v>
      </c>
      <c r="CT54" s="12">
        <f>IF('Données projet'!$A$140&gt;35,CT53+CS54-DB53,IF(A54&lt;'Données projet'!$A$140,$CQ$205^A54,IF(A54='Données projet'!$A$140,'Données projet'!$B$140,CT53+CS54-DB53)))</f>
        <v>199.90000000000003</v>
      </c>
      <c r="CU54" s="17">
        <f>CT54*VLOOKUP('Données projet'!$B$13,Paramètres!$A$1:$I$89,3,0)*VLOOKUP('Données projet'!$B$13,Paramètres!$A$1:$I$89,5,0)</f>
        <v>155.92200000000003</v>
      </c>
      <c r="CV54" s="13">
        <f t="shared" si="41"/>
        <v>39.921333592812772</v>
      </c>
      <c r="CW54" s="20">
        <f t="shared" si="13"/>
        <v>341.09380600748227</v>
      </c>
      <c r="CX54" s="59">
        <f t="shared" si="14"/>
        <v>634.42713934081553</v>
      </c>
      <c r="CY54" s="59">
        <f ca="1">AVERAGE(OFFSET($CX$3,0,0,'Données projet'!$E$13+1,1))-AVERAGE(OFFSET($H$3,0,0,'Données projet'!$E$13+1,1))</f>
        <v>274.37717856763146</v>
      </c>
      <c r="CZ54" s="59">
        <f t="shared" si="42"/>
        <v>264.17357326498581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1.4712237294960157E-2</v>
      </c>
      <c r="DI54" s="22">
        <f t="shared" si="15"/>
        <v>1.4712237294960157E-2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168.72959999999992</v>
      </c>
      <c r="DQ54" s="13">
        <f t="shared" si="43"/>
        <v>42.805372152385068</v>
      </c>
      <c r="DR54" s="20">
        <f t="shared" si="16"/>
        <v>368.42340983207049</v>
      </c>
      <c r="DS54" s="59">
        <f t="shared" si="17"/>
        <v>661.7567431654038</v>
      </c>
      <c r="DT54" s="59">
        <f ca="1">AVERAGE(OFFSET($DS$3,0,0,'Données projet'!$E$14+1,1))-AVERAGE(OFFSET($H$3,0,0,'Données projet'!$E$14+1,1))</f>
        <v>304.26232113495314</v>
      </c>
      <c r="DU54" s="59">
        <f t="shared" si="44"/>
        <v>297.47246687305056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6.2321027826891005</v>
      </c>
      <c r="EB54" s="21">
        <f>EXP(-LN(2)/25)*EB53+(1-EXP(-LN(2)/25))/(LN(2)/25)*Calculateur!DW54*Calculateur!DY54*VLOOKUP('Données projet'!$B$14,Paramètres!$A$1:$I$89,3,0)*0.475*44/12</f>
        <v>6.4602952013276802</v>
      </c>
      <c r="EC54" s="21">
        <f>EXP(-LN(2)/2)*EC53+(1-EXP(-LN(2)/2))/(LN(2)/2)*DW54*DZ54*VLOOKUP('Données projet'!$B$14,Paramètres!$A$1:$I$89,3,0)*0.475*44/12</f>
        <v>4.6977218716070119</v>
      </c>
      <c r="ED54" s="22">
        <f t="shared" si="18"/>
        <v>17.390119855623794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172.60000000000011</v>
      </c>
      <c r="O55" s="13">
        <f>N55*VLOOKUP('Données projet'!$B$9,Paramètres!$A$1:$I$89,3,0)*VLOOKUP('Données projet'!$B$9,Paramètres!$A$1:$I$89,5,0)</f>
        <v>156.1684800000001</v>
      </c>
      <c r="P55" s="13">
        <f t="shared" si="33"/>
        <v>39.977090041212335</v>
      </c>
      <c r="Q55" s="20">
        <f t="shared" si="53"/>
        <v>341.6202011551116</v>
      </c>
      <c r="R55" s="59">
        <f t="shared" si="0"/>
        <v>634.95353448844492</v>
      </c>
      <c r="S55" s="59">
        <f ca="1">AVERAGE(OFFSET($R$3,0,0,'Données projet'!$E$9+1,1))-AVERAGE(OFFSET($H$3,0,0,'Données projet'!$E$9+1,1))</f>
        <v>344.4940855044307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3.7373212451771195E-3</v>
      </c>
      <c r="AC55" s="22">
        <f t="shared" si="3"/>
        <v>3.7373212451771195E-3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</v>
      </c>
      <c r="AI55" s="13">
        <f>IF('Données projet'!$A$62&gt;35,AI54+AH55-AQ54,IF(A55&lt;'Données projet'!$A$62,$AF$205^A55,IF(A55='Données projet'!$A$62,'Données projet'!$B$62,AI54+AH55-AQ54)))</f>
        <v>163.4</v>
      </c>
      <c r="AJ55" s="13">
        <f>AI55*VLOOKUP('Données projet'!$B$10,Paramètres!$A$1:$I$89,3,0)*VLOOKUP('Données projet'!$B$10,Paramètres!$A$1:$I$89,5,0)</f>
        <v>109.60872000000001</v>
      </c>
      <c r="AK55" s="13">
        <f t="shared" si="35"/>
        <v>29.238776842240696</v>
      </c>
      <c r="AL55" s="20">
        <f t="shared" si="4"/>
        <v>241.82605700023589</v>
      </c>
      <c r="AM55" s="59">
        <f t="shared" si="5"/>
        <v>535.15939033356926</v>
      </c>
      <c r="AN55" s="59">
        <f ca="1">AVERAGE(OFFSET($AM$3,0,0,'Données projet'!$E$10+1,1))-AVERAGE(OFFSET($H$3,0,0,'Données projet'!$E$10+1,1))</f>
        <v>246.71489737733248</v>
      </c>
      <c r="AO55" s="59">
        <f t="shared" si="36"/>
        <v>185.03615139960783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</v>
      </c>
      <c r="BD55" s="12">
        <f>IF('Données projet'!$A$88&gt;35,BD54+BC55-BL54,IF(A55&lt;'Données projet'!$A$88,$BA$205^A55,IF(A55='Données projet'!$A$88,'Données projet'!$B$88,BD54+BC55-BL54)))</f>
        <v>93.999999999999972</v>
      </c>
      <c r="BE55" s="13">
        <f>BD55*VLOOKUP('Données projet'!$B$11,Paramètres!$A$1:$I$89,3,0)*VLOOKUP('Données projet'!$B$11,Paramètres!$A$1:$I$89,5,0)</f>
        <v>90.916799999999967</v>
      </c>
      <c r="BF55" s="13">
        <f t="shared" si="37"/>
        <v>24.78620448347143</v>
      </c>
      <c r="BG55" s="20">
        <f t="shared" si="7"/>
        <v>201.51606614204601</v>
      </c>
      <c r="BH55" s="59">
        <f t="shared" si="8"/>
        <v>494.8493994753793</v>
      </c>
      <c r="BI55" s="59">
        <f ca="1">AVERAGE(OFFSET($BH$3,0,0,'Données projet'!$E$11+1,1))-AVERAGE(OFFSET($H$3,0,0,'Données projet'!$E$11+1,1))</f>
        <v>211.98817606983374</v>
      </c>
      <c r="BJ55" s="59">
        <f t="shared" si="38"/>
        <v>154.0840647586964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4</v>
      </c>
      <c r="BY55" s="12">
        <f>IF('Données projet'!$A$114&gt;35,BY54+BX55-CG54,IF(A55&lt;'Données projet'!$A$114,$BV$205^A55,IF(A55='Données projet'!$A$114,'Données projet'!$B$114,BY54+BX55-CG54)))</f>
        <v>93.999999999999972</v>
      </c>
      <c r="BZ55" s="13">
        <f>BY55*VLOOKUP('Données projet'!$B$12,Paramètres!$A$1:$I$89,3,0)*VLOOKUP('Données projet'!$B$12,Paramètres!$A$1:$I$89,5,0)</f>
        <v>101.18159999999996</v>
      </c>
      <c r="CA55" s="13">
        <f t="shared" si="39"/>
        <v>27.243304715412336</v>
      </c>
      <c r="CB55" s="20">
        <f t="shared" si="10"/>
        <v>223.6733757126764</v>
      </c>
      <c r="CC55" s="59">
        <f t="shared" si="11"/>
        <v>517.00670904600975</v>
      </c>
      <c r="CD55" s="59">
        <f ca="1">AVERAGE(OFFSET($CC$3,0,0,'Données projet'!$E$12+1,1))-AVERAGE(OFFSET($H$3,0,0,'Données projet'!$E$12+1,1))</f>
        <v>231.89176215692947</v>
      </c>
      <c r="CE55" s="59">
        <f t="shared" si="40"/>
        <v>166.97658184507787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7.9</v>
      </c>
      <c r="CT55" s="12">
        <f>IF('Données projet'!$A$140&gt;35,CT54+CS55-DB54,IF(A55&lt;'Données projet'!$A$140,$CQ$205^A55,IF(A55='Données projet'!$A$140,'Données projet'!$B$140,CT54+CS55-DB54)))</f>
        <v>207.80000000000004</v>
      </c>
      <c r="CU55" s="17">
        <f>CT55*VLOOKUP('Données projet'!$B$13,Paramètres!$A$1:$I$89,3,0)*VLOOKUP('Données projet'!$B$13,Paramètres!$A$1:$I$89,5,0)</f>
        <v>162.08400000000003</v>
      </c>
      <c r="CV55" s="13">
        <f t="shared" si="41"/>
        <v>41.312212813867923</v>
      </c>
      <c r="CW55" s="20">
        <f t="shared" si="13"/>
        <v>354.2484039841533</v>
      </c>
      <c r="CX55" s="59">
        <f t="shared" si="14"/>
        <v>647.58173731748661</v>
      </c>
      <c r="CY55" s="59">
        <f ca="1">AVERAGE(OFFSET($CX$3,0,0,'Données projet'!$E$13+1,1))-AVERAGE(OFFSET($H$3,0,0,'Données projet'!$E$13+1,1))</f>
        <v>274.37717856763146</v>
      </c>
      <c r="CZ55" s="59">
        <f t="shared" si="42"/>
        <v>264.17357326498581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1.0403122757691957E-2</v>
      </c>
      <c r="DI55" s="22">
        <f t="shared" si="15"/>
        <v>1.0403122757691957E-2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173.59679999999992</v>
      </c>
      <c r="DQ55" s="13">
        <f t="shared" si="43"/>
        <v>43.894602908365897</v>
      </c>
      <c r="DR55" s="20">
        <f t="shared" si="16"/>
        <v>378.79752673207048</v>
      </c>
      <c r="DS55" s="59">
        <f t="shared" si="17"/>
        <v>672.13086006540379</v>
      </c>
      <c r="DT55" s="59">
        <f ca="1">AVERAGE(OFFSET($DS$3,0,0,'Données projet'!$E$14+1,1))-AVERAGE(OFFSET($H$3,0,0,'Données projet'!$E$14+1,1))</f>
        <v>304.26232113495314</v>
      </c>
      <c r="DU55" s="59">
        <f t="shared" si="44"/>
        <v>297.47246687305056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6.1098950483279264</v>
      </c>
      <c r="EB55" s="21">
        <f>EXP(-LN(2)/25)*EB54+(1-EXP(-LN(2)/25))/(LN(2)/25)*Calculateur!DW55*Calculateur!DY55*VLOOKUP('Données projet'!$B$14,Paramètres!$A$1:$I$89,3,0)*0.475*44/12</f>
        <v>6.2836380893152155</v>
      </c>
      <c r="EC55" s="21">
        <f>EXP(-LN(2)/2)*EC54+(1-EXP(-LN(2)/2))/(LN(2)/2)*DW55*DZ55*VLOOKUP('Données projet'!$B$14,Paramètres!$A$1:$I$89,3,0)*0.475*44/12</f>
        <v>3.3217909915416781</v>
      </c>
      <c r="ED55" s="22">
        <f t="shared" si="18"/>
        <v>15.715324129184822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180.40000000000012</v>
      </c>
      <c r="O56" s="13">
        <f>N56*VLOOKUP('Données projet'!$B$9,Paramètres!$A$1:$I$89,3,0)*VLOOKUP('Données projet'!$B$9,Paramètres!$A$1:$I$89,5,0)</f>
        <v>163.22592000000012</v>
      </c>
      <c r="P56" s="13">
        <f t="shared" si="33"/>
        <v>41.569283201466128</v>
      </c>
      <c r="Q56" s="20">
        <f t="shared" si="53"/>
        <v>356.68497890922032</v>
      </c>
      <c r="R56" s="59">
        <f t="shared" si="0"/>
        <v>650.01831224255363</v>
      </c>
      <c r="S56" s="59">
        <f ca="1">AVERAGE(OFFSET($R$3,0,0,'Données projet'!$E$9+1,1))-AVERAGE(OFFSET($H$3,0,0,'Données projet'!$E$9+1,1))</f>
        <v>344.4940855044307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2.642685195937293E-3</v>
      </c>
      <c r="AC56" s="22">
        <f t="shared" si="3"/>
        <v>2.642685195937293E-3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</v>
      </c>
      <c r="AI56" s="13">
        <f>IF('Données projet'!$A$62&gt;35,AI55+AH56-AQ55,IF(A56&lt;'Données projet'!$A$62,$AF$205^A56,IF(A56='Données projet'!$A$62,'Données projet'!$B$62,AI55+AH56-AQ55)))</f>
        <v>170.6</v>
      </c>
      <c r="AJ56" s="13">
        <f>AI56*VLOOKUP('Données projet'!$B$10,Paramètres!$A$1:$I$89,3,0)*VLOOKUP('Données projet'!$B$10,Paramètres!$A$1:$I$89,5,0)</f>
        <v>114.43847999999998</v>
      </c>
      <c r="AK56" s="13">
        <f t="shared" si="35"/>
        <v>30.374305411594122</v>
      </c>
      <c r="AL56" s="20">
        <f t="shared" si="4"/>
        <v>252.21560125852639</v>
      </c>
      <c r="AM56" s="59">
        <f t="shared" si="5"/>
        <v>545.54893459185973</v>
      </c>
      <c r="AN56" s="59">
        <f ca="1">AVERAGE(OFFSET($AM$3,0,0,'Données projet'!$E$10+1,1))-AVERAGE(OFFSET($H$3,0,0,'Données projet'!$E$10+1,1))</f>
        <v>246.71489737733248</v>
      </c>
      <c r="AO56" s="59">
        <f t="shared" si="36"/>
        <v>185.03615139960783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</v>
      </c>
      <c r="BD56" s="12">
        <f>IF('Données projet'!$A$88&gt;35,BD55+BC56-BL55,IF(A56&lt;'Données projet'!$A$88,$BA$205^A56,IF(A56='Données projet'!$A$88,'Données projet'!$B$88,BD55+BC56-BL55)))</f>
        <v>97.999999999999972</v>
      </c>
      <c r="BE56" s="13">
        <f>BD56*VLOOKUP('Données projet'!$B$11,Paramètres!$A$1:$I$89,3,0)*VLOOKUP('Données projet'!$B$11,Paramètres!$A$1:$I$89,5,0)</f>
        <v>94.785599999999974</v>
      </c>
      <c r="BF56" s="13">
        <f t="shared" si="37"/>
        <v>25.715893428674526</v>
      </c>
      <c r="BG56" s="20">
        <f t="shared" si="7"/>
        <v>209.87343438827475</v>
      </c>
      <c r="BH56" s="59">
        <f t="shared" si="8"/>
        <v>503.20676772160806</v>
      </c>
      <c r="BI56" s="59">
        <f ca="1">AVERAGE(OFFSET($BH$3,0,0,'Données projet'!$E$11+1,1))-AVERAGE(OFFSET($H$3,0,0,'Données projet'!$E$11+1,1))</f>
        <v>211.98817606983374</v>
      </c>
      <c r="BJ56" s="59">
        <f t="shared" si="38"/>
        <v>154.0840647586964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4</v>
      </c>
      <c r="BY56" s="12">
        <f>IF('Données projet'!$A$114&gt;35,BY55+BX56-CG55,IF(A56&lt;'Données projet'!$A$114,$BV$205^A56,IF(A56='Données projet'!$A$114,'Données projet'!$B$114,BY55+BX56-CG55)))</f>
        <v>97.999999999999972</v>
      </c>
      <c r="BZ56" s="13">
        <f>BY56*VLOOKUP('Données projet'!$B$12,Paramètres!$A$1:$I$89,3,0)*VLOOKUP('Données projet'!$B$12,Paramètres!$A$1:$I$89,5,0)</f>
        <v>105.48719999999997</v>
      </c>
      <c r="CA56" s="13">
        <f t="shared" si="39"/>
        <v>28.265155367923839</v>
      </c>
      <c r="CB56" s="20">
        <f t="shared" si="10"/>
        <v>232.95201893246733</v>
      </c>
      <c r="CC56" s="59">
        <f t="shared" si="11"/>
        <v>526.28535226580061</v>
      </c>
      <c r="CD56" s="59">
        <f ca="1">AVERAGE(OFFSET($CC$3,0,0,'Données projet'!$E$12+1,1))-AVERAGE(OFFSET($H$3,0,0,'Données projet'!$E$12+1,1))</f>
        <v>231.89176215692947</v>
      </c>
      <c r="CE56" s="59">
        <f t="shared" si="40"/>
        <v>166.97658184507787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7.9</v>
      </c>
      <c r="CT56" s="12">
        <f>IF('Données projet'!$A$140&gt;35,CT55+CS56-DB55,IF(A56&lt;'Données projet'!$A$140,$CQ$205^A56,IF(A56='Données projet'!$A$140,'Données projet'!$B$140,CT55+CS56-DB55)))</f>
        <v>215.70000000000005</v>
      </c>
      <c r="CU56" s="17">
        <f>CT56*VLOOKUP('Données projet'!$B$13,Paramètres!$A$1:$I$89,3,0)*VLOOKUP('Données projet'!$B$13,Paramètres!$A$1:$I$89,5,0)</f>
        <v>168.24600000000004</v>
      </c>
      <c r="CV56" s="13">
        <f t="shared" si="41"/>
        <v>42.696949128630266</v>
      </c>
      <c r="CW56" s="20">
        <f t="shared" si="13"/>
        <v>367.39230306569772</v>
      </c>
      <c r="CX56" s="59">
        <f t="shared" si="14"/>
        <v>660.72563639903103</v>
      </c>
      <c r="CY56" s="59">
        <f ca="1">AVERAGE(OFFSET($CX$3,0,0,'Données projet'!$E$13+1,1))-AVERAGE(OFFSET($H$3,0,0,'Données projet'!$E$13+1,1))</f>
        <v>274.37717856763146</v>
      </c>
      <c r="CZ56" s="59">
        <f t="shared" si="42"/>
        <v>264.17357326498581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7.35611864748008E-3</v>
      </c>
      <c r="DI56" s="22">
        <f t="shared" si="15"/>
        <v>7.35611864748008E-3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178.46399999999991</v>
      </c>
      <c r="DQ56" s="13">
        <f t="shared" si="43"/>
        <v>44.980284206661821</v>
      </c>
      <c r="DR56" s="20">
        <f t="shared" si="16"/>
        <v>389.16546165993583</v>
      </c>
      <c r="DS56" s="59">
        <f t="shared" si="17"/>
        <v>682.49879499326914</v>
      </c>
      <c r="DT56" s="59">
        <f ca="1">AVERAGE(OFFSET($DS$3,0,0,'Données projet'!$E$14+1,1))-AVERAGE(OFFSET($H$3,0,0,'Données projet'!$E$14+1,1))</f>
        <v>304.26232113495314</v>
      </c>
      <c r="DU56" s="59">
        <f t="shared" si="44"/>
        <v>297.47246687305056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5.9900837330982171</v>
      </c>
      <c r="EB56" s="21">
        <f>EXP(-LN(2)/25)*EB55+(1-EXP(-LN(2)/25))/(LN(2)/25)*Calculateur!DW56*Calculateur!DY56*VLOOKUP('Données projet'!$B$14,Paramètres!$A$1:$I$89,3,0)*0.475*44/12</f>
        <v>6.111811675320725</v>
      </c>
      <c r="EC56" s="21">
        <f>EXP(-LN(2)/2)*EC55+(1-EXP(-LN(2)/2))/(LN(2)/2)*DW56*DZ56*VLOOKUP('Données projet'!$B$14,Paramètres!$A$1:$I$89,3,0)*0.475*44/12</f>
        <v>2.3488609358035064</v>
      </c>
      <c r="ED56" s="22">
        <f t="shared" si="18"/>
        <v>14.450756344222448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188.20000000000013</v>
      </c>
      <c r="O57" s="13">
        <f>N57*VLOOKUP('Données projet'!$B$9,Paramètres!$A$1:$I$89,3,0)*VLOOKUP('Données projet'!$B$9,Paramètres!$A$1:$I$89,5,0)</f>
        <v>170.2833600000001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344.4940855044307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1.86866062258856E-3</v>
      </c>
      <c r="AC57" s="22">
        <f t="shared" si="3"/>
        <v>1.86866062258856E-3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7.2</v>
      </c>
      <c r="AI57" s="13">
        <f>IF('Données projet'!$A$62&gt;35,AI56+AH57-AQ56,IF(A57&lt;'Données projet'!$A$62,$AF$205^A57,IF(A57='Données projet'!$A$62,'Données projet'!$B$62,AI56+AH57-AQ56)))</f>
        <v>177.79999999999998</v>
      </c>
      <c r="AJ57" s="13">
        <f>AI57*VLOOKUP('Données projet'!$B$10,Paramètres!$A$1:$I$89,3,0)*VLOOKUP('Données projet'!$B$10,Paramètres!$A$1:$I$89,5,0)</f>
        <v>119.26823999999999</v>
      </c>
      <c r="AK57" s="13">
        <f t="shared" si="35"/>
        <v>31.504267581334208</v>
      </c>
      <c r="AL57" s="20">
        <f t="shared" si="4"/>
        <v>262.59545070415703</v>
      </c>
      <c r="AM57" s="59">
        <f t="shared" si="5"/>
        <v>555.92878403749035</v>
      </c>
      <c r="AN57" s="59">
        <f ca="1">AVERAGE(OFFSET($AM$3,0,0,'Données projet'!$E$10+1,1))-AVERAGE(OFFSET($H$3,0,0,'Données projet'!$E$10+1,1))</f>
        <v>246.71489737733248</v>
      </c>
      <c r="AO57" s="59">
        <f t="shared" si="36"/>
        <v>185.03615139960783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</v>
      </c>
      <c r="BD57" s="12">
        <f>IF('Données projet'!$A$88&gt;35,BD56+BC57-BL56,IF(A57&lt;'Données projet'!$A$88,$BA$205^A57,IF(A57='Données projet'!$A$88,'Données projet'!$B$88,BD56+BC57-BL56)))</f>
        <v>101.99999999999997</v>
      </c>
      <c r="BE57" s="13">
        <f>BD57*VLOOKUP('Données projet'!$B$11,Paramètres!$A$1:$I$89,3,0)*VLOOKUP('Données projet'!$B$11,Paramètres!$A$1:$I$89,5,0)</f>
        <v>98.654399999999967</v>
      </c>
      <c r="BF57" s="13">
        <f t="shared" si="37"/>
        <v>26.641174586135573</v>
      </c>
      <c r="BG57" s="20">
        <f t="shared" si="7"/>
        <v>218.22312573751938</v>
      </c>
      <c r="BH57" s="59">
        <f t="shared" si="8"/>
        <v>511.55645907085272</v>
      </c>
      <c r="BI57" s="59">
        <f ca="1">AVERAGE(OFFSET($BH$3,0,0,'Données projet'!$E$11+1,1))-AVERAGE(OFFSET($H$3,0,0,'Données projet'!$E$11+1,1))</f>
        <v>211.98817606983374</v>
      </c>
      <c r="BJ57" s="59">
        <f t="shared" si="38"/>
        <v>154.0840647586964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4</v>
      </c>
      <c r="BY57" s="12">
        <f>IF('Données projet'!$A$114&gt;35,BY56+BX57-CG56,IF(A57&lt;'Données projet'!$A$114,$BV$205^A57,IF(A57='Données projet'!$A$114,'Données projet'!$B$114,BY56+BX57-CG56)))</f>
        <v>101.99999999999997</v>
      </c>
      <c r="BZ57" s="13">
        <f>BY57*VLOOKUP('Données projet'!$B$12,Paramètres!$A$1:$I$89,3,0)*VLOOKUP('Données projet'!$B$12,Paramètres!$A$1:$I$89,5,0)</f>
        <v>109.79279999999997</v>
      </c>
      <c r="CA57" s="13">
        <f t="shared" si="39"/>
        <v>29.28216128090861</v>
      </c>
      <c r="CB57" s="20">
        <f t="shared" si="10"/>
        <v>242.22222423091577</v>
      </c>
      <c r="CC57" s="59">
        <f t="shared" si="11"/>
        <v>535.55555756424906</v>
      </c>
      <c r="CD57" s="59">
        <f ca="1">AVERAGE(OFFSET($CC$3,0,0,'Données projet'!$E$12+1,1))-AVERAGE(OFFSET($H$3,0,0,'Données projet'!$E$12+1,1))</f>
        <v>231.89176215692947</v>
      </c>
      <c r="CE57" s="59">
        <f t="shared" si="40"/>
        <v>166.97658184507787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7.9</v>
      </c>
      <c r="CT57" s="12">
        <f>IF('Données projet'!$A$140&gt;35,CT56+CS57-DB56,IF(A57&lt;'Données projet'!$A$140,$CQ$205^A57,IF(A57='Données projet'!$A$140,'Données projet'!$B$140,CT56+CS57-DB56)))</f>
        <v>223.60000000000005</v>
      </c>
      <c r="CU57" s="17">
        <f>CT57*VLOOKUP('Données projet'!$B$13,Paramètres!$A$1:$I$89,3,0)*VLOOKUP('Données projet'!$B$13,Paramètres!$A$1:$I$89,5,0)</f>
        <v>174.40800000000004</v>
      </c>
      <c r="CV57" s="13">
        <f t="shared" si="41"/>
        <v>44.075793288194824</v>
      </c>
      <c r="CW57" s="20">
        <f t="shared" si="13"/>
        <v>380.52593997693936</v>
      </c>
      <c r="CX57" s="59">
        <f t="shared" si="14"/>
        <v>673.85927331027267</v>
      </c>
      <c r="CY57" s="59">
        <f ca="1">AVERAGE(OFFSET($CX$3,0,0,'Données projet'!$E$13+1,1))-AVERAGE(OFFSET($H$3,0,0,'Données projet'!$E$13+1,1))</f>
        <v>274.37717856763146</v>
      </c>
      <c r="CZ57" s="59">
        <f t="shared" si="42"/>
        <v>264.17357326498581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5.2015613788459793E-3</v>
      </c>
      <c r="DI57" s="22">
        <f t="shared" si="15"/>
        <v>5.2015613788459793E-3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183.33119999999991</v>
      </c>
      <c r="DQ57" s="13">
        <f t="shared" si="43"/>
        <v>46.062523974317784</v>
      </c>
      <c r="DR57" s="20">
        <f t="shared" si="16"/>
        <v>399.52740258860331</v>
      </c>
      <c r="DS57" s="59">
        <f t="shared" si="17"/>
        <v>692.86073592193657</v>
      </c>
      <c r="DT57" s="59">
        <f ca="1">AVERAGE(OFFSET($DS$3,0,0,'Données projet'!$E$14+1,1))-AVERAGE(OFFSET($H$3,0,0,'Données projet'!$E$14+1,1))</f>
        <v>304.26232113495314</v>
      </c>
      <c r="DU57" s="59">
        <f t="shared" si="44"/>
        <v>297.47246687305056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5.8726218446824765</v>
      </c>
      <c r="EB57" s="21">
        <f>EXP(-LN(2)/25)*EB56+(1-EXP(-LN(2)/25))/(LN(2)/25)*Calculateur!DW57*Calculateur!DY57*VLOOKUP('Données projet'!$B$14,Paramètres!$A$1:$I$89,3,0)*0.475*44/12</f>
        <v>5.9446838636528723</v>
      </c>
      <c r="EC57" s="21">
        <f>EXP(-LN(2)/2)*EC56+(1-EXP(-LN(2)/2))/(LN(2)/2)*DW57*DZ57*VLOOKUP('Données projet'!$B$14,Paramètres!$A$1:$I$89,3,0)*0.475*44/12</f>
        <v>1.6608954957708393</v>
      </c>
      <c r="ED57" s="22">
        <f t="shared" si="18"/>
        <v>13.478201204106188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196.00000000000014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344.4940855044307</v>
      </c>
      <c r="T58" s="59">
        <f t="shared" si="34"/>
        <v>231.36959598460686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1.3213425979686467E-3</v>
      </c>
      <c r="AC58" s="22">
        <f t="shared" si="3"/>
        <v>1.3213425979686467E-3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185</v>
      </c>
      <c r="AG58" s="12">
        <f>VLOOKUP(A58,'Données projet'!$A$61:$I$81,9,0)</f>
        <v>7.2</v>
      </c>
      <c r="AH58" s="12">
        <f t="array" ref="AH58">INDEX(AG:AG,MIN(IF(ISNUMBER(AG58:AG254),ROW(AG58:AG254),"")))</f>
        <v>7.2</v>
      </c>
      <c r="AI58" s="13">
        <f>IF('Données projet'!$A$62&gt;35,AI57+AH58-AQ57,IF(A58&lt;'Données projet'!$A$62,$AF$205^A58,IF(A58='Données projet'!$A$62,'Données projet'!$B$62,AI57+AH58-AQ57)))</f>
        <v>184.99999999999997</v>
      </c>
      <c r="AJ58" s="13">
        <f>AI58*VLOOKUP('Données projet'!$B$10,Paramètres!$A$1:$I$89,3,0)*VLOOKUP('Données projet'!$B$10,Paramètres!$A$1:$I$89,5,0)</f>
        <v>124.09799999999997</v>
      </c>
      <c r="AK58" s="13">
        <f t="shared" si="35"/>
        <v>32.62891454809418</v>
      </c>
      <c r="AL58" s="20">
        <f t="shared" si="4"/>
        <v>272.96604283793067</v>
      </c>
      <c r="AM58" s="59">
        <f t="shared" si="5"/>
        <v>566.29937617126393</v>
      </c>
      <c r="AN58" s="59">
        <f ca="1">AVERAGE(OFFSET($AM$3,0,0,'Données projet'!$E$10+1,1))-AVERAGE(OFFSET($H$3,0,0,'Données projet'!$E$10+1,1))</f>
        <v>246.71489737733248</v>
      </c>
      <c r="AO58" s="59">
        <f t="shared" si="36"/>
        <v>185.03615139960783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22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106</v>
      </c>
      <c r="BB58" s="12">
        <f>VLOOKUP(A58,'Données projet'!$A$87:$I$107,9,0)</f>
        <v>4</v>
      </c>
      <c r="BC58" s="12">
        <f t="array" ref="BC58">INDEX(BB:BB,MIN(IF(ISNUMBER(BB58:BB254),ROW(BB58:BB254),"")))</f>
        <v>4</v>
      </c>
      <c r="BD58" s="12">
        <f>IF('Données projet'!$A$88&gt;35,BD57+BC58-BL57,IF(A58&lt;'Données projet'!$A$88,$BA$205^A58,IF(A58='Données projet'!$A$88,'Données projet'!$B$88,BD57+BC58-BL57)))</f>
        <v>105.99999999999997</v>
      </c>
      <c r="BE58" s="13">
        <f>BD58*VLOOKUP('Données projet'!$B$11,Paramètres!$A$1:$I$89,3,0)*VLOOKUP('Données projet'!$B$11,Paramètres!$A$1:$I$89,5,0)</f>
        <v>102.52319999999997</v>
      </c>
      <c r="BF58" s="13">
        <f t="shared" si="37"/>
        <v>27.562240591342476</v>
      </c>
      <c r="BG58" s="20">
        <f t="shared" si="7"/>
        <v>226.56547569658809</v>
      </c>
      <c r="BH58" s="59">
        <f t="shared" si="8"/>
        <v>519.89880902992138</v>
      </c>
      <c r="BI58" s="59">
        <f ca="1">AVERAGE(OFFSET($BH$3,0,0,'Données projet'!$E$11+1,1))-AVERAGE(OFFSET($H$3,0,0,'Données projet'!$E$11+1,1))</f>
        <v>211.98817606983374</v>
      </c>
      <c r="BJ58" s="59">
        <f t="shared" si="38"/>
        <v>154.0840647586964</v>
      </c>
      <c r="BK58" s="15">
        <f>IF(ISNA(VLOOKUP(A58,'Données projet'!$A$87:$I$107,3,0)),0,VLOOKUP(A58,'Données projet'!$A$87:$I$107,3,0))</f>
        <v>6</v>
      </c>
      <c r="BL58" s="15">
        <f>IF(ISNA(VLOOKUP(A58,'Données projet'!$A$87:$I$107,4,0)),0,VLOOKUP(A58,'Données projet'!$A$87:$I$107,4,0))</f>
        <v>10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106</v>
      </c>
      <c r="BW58" s="12">
        <f>VLOOKUP(A58,'Données projet'!$A$113:$I$133,9,0)</f>
        <v>4</v>
      </c>
      <c r="BX58" s="12">
        <f t="array" ref="BX58">INDEX(BW:BW,MIN(IF(ISNUMBER(BW58:BW254),ROW(BW58:BW254),"")))</f>
        <v>4</v>
      </c>
      <c r="BY58" s="12">
        <f>IF('Données projet'!$A$114&gt;35,BY57+BX58-CG57,IF(A58&lt;'Données projet'!$A$114,$BV$205^A58,IF(A58='Données projet'!$A$114,'Données projet'!$B$114,BY57+BX58-CG57)))</f>
        <v>105.99999999999997</v>
      </c>
      <c r="BZ58" s="13">
        <f>BY58*VLOOKUP('Données projet'!$B$12,Paramètres!$A$1:$I$89,3,0)*VLOOKUP('Données projet'!$B$12,Paramètres!$A$1:$I$89,5,0)</f>
        <v>114.09839999999996</v>
      </c>
      <c r="CA58" s="13">
        <f t="shared" si="39"/>
        <v>30.294534186150813</v>
      </c>
      <c r="CB58" s="20">
        <f t="shared" si="10"/>
        <v>251.48436037421257</v>
      </c>
      <c r="CC58" s="59">
        <f t="shared" si="11"/>
        <v>544.81769370754591</v>
      </c>
      <c r="CD58" s="59">
        <f ca="1">AVERAGE(OFFSET($CC$3,0,0,'Données projet'!$E$12+1,1))-AVERAGE(OFFSET($H$3,0,0,'Données projet'!$E$12+1,1))</f>
        <v>231.89176215692947</v>
      </c>
      <c r="CE58" s="59">
        <f t="shared" si="40"/>
        <v>166.97658184507787</v>
      </c>
      <c r="CF58" s="15">
        <f>IF(ISNA(VLOOKUP(A58,'Données projet'!$A$113:$I$133,3,0)),0,VLOOKUP(A58,'Données projet'!$A$113:$I$133,3,0))</f>
        <v>6</v>
      </c>
      <c r="CG58" s="15">
        <f>IF(ISNA(VLOOKUP(A58,'Données projet'!$A$113:$I$133,4,0)),0,VLOOKUP(A58,'Données projet'!$A$113:$I$133,4,0))</f>
        <v>10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7.9</v>
      </c>
      <c r="CT58" s="12">
        <f>IF('Données projet'!$A$140&gt;35,CT57+CS58-DB57,IF(A58&lt;'Données projet'!$A$140,$CQ$205^A58,IF(A58='Données projet'!$A$140,'Données projet'!$B$140,CT57+CS58-DB57)))</f>
        <v>231.50000000000006</v>
      </c>
      <c r="CU58" s="17">
        <f>CT58*VLOOKUP('Données projet'!$B$13,Paramètres!$A$1:$I$89,3,0)*VLOOKUP('Données projet'!$B$13,Paramètres!$A$1:$I$89,5,0)</f>
        <v>180.57000000000005</v>
      </c>
      <c r="CV58" s="13">
        <f t="shared" si="41"/>
        <v>45.448977320521017</v>
      </c>
      <c r="CW58" s="20">
        <f t="shared" si="13"/>
        <v>393.6497188332408</v>
      </c>
      <c r="CX58" s="59">
        <f t="shared" si="14"/>
        <v>686.98305216657411</v>
      </c>
      <c r="CY58" s="59">
        <f ca="1">AVERAGE(OFFSET($CX$3,0,0,'Données projet'!$E$13+1,1))-AVERAGE(OFFSET($H$3,0,0,'Données projet'!$E$13+1,1))</f>
        <v>274.37717856763146</v>
      </c>
      <c r="CZ58" s="59">
        <f t="shared" si="42"/>
        <v>264.17357326498581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3.6780593237400404E-3</v>
      </c>
      <c r="DI58" s="22">
        <f t="shared" si="15"/>
        <v>3.6780593237400404E-3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188.19839999999991</v>
      </c>
      <c r="DQ58" s="13">
        <f t="shared" si="43"/>
        <v>47.141424081428013</v>
      </c>
      <c r="DR58" s="20">
        <f t="shared" si="16"/>
        <v>409.88352694182026</v>
      </c>
      <c r="DS58" s="59">
        <f t="shared" si="17"/>
        <v>703.21686027515352</v>
      </c>
      <c r="DT58" s="59">
        <f ca="1">AVERAGE(OFFSET($DS$3,0,0,'Données projet'!$E$14+1,1))-AVERAGE(OFFSET($H$3,0,0,'Données projet'!$E$14+1,1))</f>
        <v>304.26232113495314</v>
      </c>
      <c r="DU58" s="59">
        <f t="shared" si="44"/>
        <v>297.47246687305056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0.26500000000000001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0.3</v>
      </c>
      <c r="EA58" s="21">
        <f>EXP(-LN(2)/35)*EA57+(1-EXP(-LN(2)/35))/(LN(2)/35)*DW58*DX58*VLOOKUP('Données projet'!$B$14,Paramètres!$A$1:$I$89,3,0)*0.475*44/12</f>
        <v>8.846793147370601</v>
      </c>
      <c r="EB58" s="21">
        <f>EXP(-LN(2)/25)*EB57+(1-EXP(-LN(2)/25))/(LN(2)/25)*Calculateur!DW58*Calculateur!DY58*VLOOKUP('Données projet'!$B$14,Paramètres!$A$1:$I$89,3,0)*0.475*44/12</f>
        <v>5.7821261707839469</v>
      </c>
      <c r="EC58" s="21">
        <f>EXP(-LN(2)/2)*EC57+(1-EXP(-LN(2)/2))/(LN(2)/2)*DW58*DZ58*VLOOKUP('Données projet'!$B$14,Paramètres!$A$1:$I$89,3,0)*0.475*44/12</f>
        <v>4.1594476971005276</v>
      </c>
      <c r="ED58" s="22">
        <f t="shared" si="18"/>
        <v>18.788367015255076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203.80000000000015</v>
      </c>
      <c r="O59" s="13">
        <f>N59*VLOOKUP('Données projet'!$B$9,Paramètres!$A$1:$I$89,3,0)*VLOOKUP('Données projet'!$B$9,Paramètres!$A$1:$I$89,5,0)</f>
        <v>184.39824000000013</v>
      </c>
      <c r="P59" s="13">
        <f t="shared" si="33"/>
        <v>46.299334464645959</v>
      </c>
      <c r="Q59" s="20">
        <f t="shared" si="53"/>
        <v>401.79827552592525</v>
      </c>
      <c r="R59" s="59">
        <f t="shared" si="0"/>
        <v>695.13160885925856</v>
      </c>
      <c r="S59" s="59">
        <f ca="1">AVERAGE(OFFSET($R$3,0,0,'Données projet'!$E$9+1,1))-AVERAGE(OFFSET($H$3,0,0,'Données projet'!$E$9+1,1))</f>
        <v>344.4940855044307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9.3433031129428021E-4</v>
      </c>
      <c r="AC59" s="22">
        <f t="shared" si="3"/>
        <v>9.3433031129428021E-4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7.2</v>
      </c>
      <c r="AI59" s="13">
        <f>IF('Données projet'!$A$62&gt;35,AI58+AH59-AQ58,IF(A59&lt;'Données projet'!$A$62,$AF$205^A59,IF(A59='Données projet'!$A$62,'Données projet'!$B$62,AI58+AH59-AQ58)))</f>
        <v>170.19999999999996</v>
      </c>
      <c r="AJ59" s="13">
        <f>AI59*VLOOKUP('Données projet'!$B$10,Paramètres!$A$1:$I$89,3,0)*VLOOKUP('Données projet'!$B$10,Paramètres!$A$1:$I$89,5,0)</f>
        <v>114.17015999999997</v>
      </c>
      <c r="AK59" s="13">
        <f t="shared" si="35"/>
        <v>30.311368947671049</v>
      </c>
      <c r="AL59" s="20">
        <f t="shared" si="4"/>
        <v>251.63866291719367</v>
      </c>
      <c r="AM59" s="59">
        <f t="shared" si="5"/>
        <v>544.97199625052701</v>
      </c>
      <c r="AN59" s="59">
        <f ca="1">AVERAGE(OFFSET($AM$3,0,0,'Données projet'!$E$10+1,1))-AVERAGE(OFFSET($H$3,0,0,'Données projet'!$E$10+1,1))</f>
        <v>246.71489737733248</v>
      </c>
      <c r="AO59" s="59">
        <f t="shared" si="36"/>
        <v>185.03615139960783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3.8</v>
      </c>
      <c r="BD59" s="12">
        <f>IF('Données projet'!$A$88&gt;35,BD58+BC59-BL58,IF(A59&lt;'Données projet'!$A$88,$BA$205^A59,IF(A59='Données projet'!$A$88,'Données projet'!$B$88,BD58+BC59-BL58)))</f>
        <v>99.799999999999969</v>
      </c>
      <c r="BE59" s="13">
        <f>BD59*VLOOKUP('Données projet'!$B$11,Paramètres!$A$1:$I$89,3,0)*VLOOKUP('Données projet'!$B$11,Paramètres!$A$1:$I$89,5,0)</f>
        <v>96.526559999999975</v>
      </c>
      <c r="BF59" s="13">
        <f t="shared" si="37"/>
        <v>26.132803512664371</v>
      </c>
      <c r="BG59" s="20">
        <f t="shared" si="7"/>
        <v>213.63172478455704</v>
      </c>
      <c r="BH59" s="59">
        <f t="shared" si="8"/>
        <v>506.96505811789035</v>
      </c>
      <c r="BI59" s="59">
        <f ca="1">AVERAGE(OFFSET($BH$3,0,0,'Données projet'!$E$11+1,1))-AVERAGE(OFFSET($H$3,0,0,'Données projet'!$E$11+1,1))</f>
        <v>211.98817606983374</v>
      </c>
      <c r="BJ59" s="59">
        <f t="shared" si="38"/>
        <v>154.0840647586964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3.8</v>
      </c>
      <c r="BY59" s="12">
        <f>IF('Données projet'!$A$114&gt;35,BY58+BX59-CG58,IF(A59&lt;'Données projet'!$A$114,$BV$205^A59,IF(A59='Données projet'!$A$114,'Données projet'!$B$114,BY58+BX59-CG58)))</f>
        <v>99.799999999999969</v>
      </c>
      <c r="BZ59" s="13">
        <f>BY59*VLOOKUP('Données projet'!$B$12,Paramètres!$A$1:$I$89,3,0)*VLOOKUP('Données projet'!$B$12,Paramètres!$A$1:$I$89,5,0)</f>
        <v>107.42471999999995</v>
      </c>
      <c r="CA59" s="13">
        <f t="shared" si="39"/>
        <v>28.723394484955126</v>
      </c>
      <c r="CB59" s="20">
        <f t="shared" si="10"/>
        <v>237.12463272796342</v>
      </c>
      <c r="CC59" s="59">
        <f t="shared" si="11"/>
        <v>530.4579660612967</v>
      </c>
      <c r="CD59" s="59">
        <f ca="1">AVERAGE(OFFSET($CC$3,0,0,'Données projet'!$E$12+1,1))-AVERAGE(OFFSET($H$3,0,0,'Données projet'!$E$12+1,1))</f>
        <v>231.89176215692947</v>
      </c>
      <c r="CE59" s="59">
        <f t="shared" si="40"/>
        <v>166.97658184507787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7.9</v>
      </c>
      <c r="CT59" s="12">
        <f>IF('Données projet'!$A$140&gt;35,CT58+CS59-DB58,IF(A59&lt;'Données projet'!$A$140,$CQ$205^A59,IF(A59='Données projet'!$A$140,'Données projet'!$B$140,CT58+CS59-DB58)))</f>
        <v>239.40000000000006</v>
      </c>
      <c r="CU59" s="17">
        <f>CT59*VLOOKUP('Données projet'!$B$13,Paramètres!$A$1:$I$89,3,0)*VLOOKUP('Données projet'!$B$13,Paramètres!$A$1:$I$89,5,0)</f>
        <v>186.73200000000006</v>
      </c>
      <c r="CV59" s="13">
        <f t="shared" si="41"/>
        <v>46.81671651923142</v>
      </c>
      <c r="CW59" s="20">
        <f t="shared" si="13"/>
        <v>406.76401460432811</v>
      </c>
      <c r="CX59" s="59">
        <f t="shared" si="14"/>
        <v>700.09734793766143</v>
      </c>
      <c r="CY59" s="59">
        <f ca="1">AVERAGE(OFFSET($CX$3,0,0,'Données projet'!$E$13+1,1))-AVERAGE(OFFSET($H$3,0,0,'Données projet'!$E$13+1,1))</f>
        <v>274.37717856763146</v>
      </c>
      <c r="CZ59" s="59">
        <f t="shared" si="42"/>
        <v>264.17357326498581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2.6007806894229901E-3</v>
      </c>
      <c r="DI59" s="22">
        <f t="shared" si="15"/>
        <v>2.6007806894229901E-3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181.87103999999991</v>
      </c>
      <c r="DQ59" s="13">
        <f t="shared" si="43"/>
        <v>45.738207231648985</v>
      </c>
      <c r="DR59" s="20">
        <f t="shared" si="16"/>
        <v>396.41943892845512</v>
      </c>
      <c r="DS59" s="59">
        <f t="shared" si="17"/>
        <v>689.75277226178844</v>
      </c>
      <c r="DT59" s="59">
        <f ca="1">AVERAGE(OFFSET($DS$3,0,0,'Données projet'!$E$14+1,1))-AVERAGE(OFFSET($H$3,0,0,'Données projet'!$E$14+1,1))</f>
        <v>304.26232113495314</v>
      </c>
      <c r="DU59" s="59">
        <f t="shared" si="44"/>
        <v>297.47246687305056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8.6733129297616713</v>
      </c>
      <c r="EB59" s="21">
        <f>EXP(-LN(2)/25)*EB58+(1-EXP(-LN(2)/25))/(LN(2)/25)*Calculateur!DW59*Calculateur!DY59*VLOOKUP('Données projet'!$B$14,Paramètres!$A$1:$I$89,3,0)*0.475*44/12</f>
        <v>5.62401362657506</v>
      </c>
      <c r="EC59" s="21">
        <f>EXP(-LN(2)/2)*EC58+(1-EXP(-LN(2)/2))/(LN(2)/2)*DW59*DZ59*VLOOKUP('Données projet'!$B$14,Paramètres!$A$1:$I$89,3,0)*0.475*44/12</f>
        <v>2.9411736726105522</v>
      </c>
      <c r="ED59" s="22">
        <f t="shared" si="18"/>
        <v>17.238500228947284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211.60000000000016</v>
      </c>
      <c r="O60" s="13">
        <f>N60*VLOOKUP('Données projet'!$B$9,Paramètres!$A$1:$I$89,3,0)*VLOOKUP('Données projet'!$B$9,Paramètres!$A$1:$I$89,5,0)</f>
        <v>191.45568000000014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344.4940855044307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6.6067129898432345E-4</v>
      </c>
      <c r="AC60" s="22">
        <f t="shared" si="3"/>
        <v>6.6067129898432345E-4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7.2</v>
      </c>
      <c r="AI60" s="13">
        <f>IF('Données projet'!$A$62&gt;35,AI59+AH60-AQ59,IF(A60&lt;'Données projet'!$A$62,$AF$205^A60,IF(A60='Données projet'!$A$62,'Données projet'!$B$62,AI59+AH60-AQ59)))</f>
        <v>177.39999999999995</v>
      </c>
      <c r="AJ60" s="13">
        <f>AI60*VLOOKUP('Données projet'!$B$10,Paramètres!$A$1:$I$89,3,0)*VLOOKUP('Données projet'!$B$10,Paramètres!$A$1:$I$89,5,0)</f>
        <v>118.99991999999997</v>
      </c>
      <c r="AK60" s="13">
        <f t="shared" si="35"/>
        <v>31.441633568484178</v>
      </c>
      <c r="AL60" s="20">
        <f t="shared" si="4"/>
        <v>262.01903913177654</v>
      </c>
      <c r="AM60" s="59">
        <f t="shared" si="5"/>
        <v>555.35237246510985</v>
      </c>
      <c r="AN60" s="59">
        <f ca="1">AVERAGE(OFFSET($AM$3,0,0,'Données projet'!$E$10+1,1))-AVERAGE(OFFSET($H$3,0,0,'Données projet'!$E$10+1,1))</f>
        <v>246.71489737733248</v>
      </c>
      <c r="AO60" s="59">
        <f t="shared" si="36"/>
        <v>185.03615139960783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3.8</v>
      </c>
      <c r="BD60" s="12">
        <f>IF('Données projet'!$A$88&gt;35,BD59+BC60-BL59,IF(A60&lt;'Données projet'!$A$88,$BA$205^A60,IF(A60='Données projet'!$A$88,'Données projet'!$B$88,BD59+BC60-BL59)))</f>
        <v>103.59999999999997</v>
      </c>
      <c r="BE60" s="13">
        <f>BD60*VLOOKUP('Données projet'!$B$11,Paramètres!$A$1:$I$89,3,0)*VLOOKUP('Données projet'!$B$11,Paramètres!$A$1:$I$89,5,0)</f>
        <v>100.20191999999999</v>
      </c>
      <c r="BF60" s="13">
        <f t="shared" si="37"/>
        <v>27.010096555049586</v>
      </c>
      <c r="BG60" s="20">
        <f t="shared" si="7"/>
        <v>221.56092883337803</v>
      </c>
      <c r="BH60" s="59">
        <f t="shared" si="8"/>
        <v>514.89426216671131</v>
      </c>
      <c r="BI60" s="59">
        <f ca="1">AVERAGE(OFFSET($BH$3,0,0,'Données projet'!$E$11+1,1))-AVERAGE(OFFSET($H$3,0,0,'Données projet'!$E$11+1,1))</f>
        <v>211.98817606983374</v>
      </c>
      <c r="BJ60" s="59">
        <f t="shared" si="38"/>
        <v>154.0840647586964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3.8</v>
      </c>
      <c r="BY60" s="12">
        <f>IF('Données projet'!$A$114&gt;35,BY59+BX60-CG59,IF(A60&lt;'Données projet'!$A$114,$BV$205^A60,IF(A60='Données projet'!$A$114,'Données projet'!$B$114,BY59+BX60-CG59)))</f>
        <v>103.59999999999997</v>
      </c>
      <c r="BZ60" s="13">
        <f>BY60*VLOOKUP('Données projet'!$B$12,Paramètres!$A$1:$I$89,3,0)*VLOOKUP('Données projet'!$B$12,Paramètres!$A$1:$I$89,5,0)</f>
        <v>111.51503999999996</v>
      </c>
      <c r="CA60" s="13">
        <f t="shared" si="39"/>
        <v>29.687655136252104</v>
      </c>
      <c r="CB60" s="20">
        <f t="shared" si="10"/>
        <v>245.92802736230567</v>
      </c>
      <c r="CC60" s="59">
        <f t="shared" si="11"/>
        <v>539.26136069563904</v>
      </c>
      <c r="CD60" s="59">
        <f ca="1">AVERAGE(OFFSET($CC$3,0,0,'Données projet'!$E$12+1,1))-AVERAGE(OFFSET($H$3,0,0,'Données projet'!$E$12+1,1))</f>
        <v>231.89176215692947</v>
      </c>
      <c r="CE60" s="59">
        <f t="shared" si="40"/>
        <v>166.97658184507787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7.9</v>
      </c>
      <c r="CT60" s="12">
        <f>IF('Données projet'!$A$140&gt;35,CT59+CS60-DB59,IF(A60&lt;'Données projet'!$A$140,$CQ$205^A60,IF(A60='Données projet'!$A$140,'Données projet'!$B$140,CT59+CS60-DB59)))</f>
        <v>247.30000000000007</v>
      </c>
      <c r="CU60" s="17">
        <f>CT60*VLOOKUP('Données projet'!$B$13,Paramètres!$A$1:$I$89,3,0)*VLOOKUP('Données projet'!$B$13,Paramètres!$A$1:$I$89,5,0)</f>
        <v>192.89400000000006</v>
      </c>
      <c r="CV60" s="13">
        <f t="shared" si="41"/>
        <v>48.179211162520971</v>
      </c>
      <c r="CW60" s="20">
        <f t="shared" si="13"/>
        <v>419.86917610805745</v>
      </c>
      <c r="CX60" s="59">
        <f t="shared" si="14"/>
        <v>713.2025094413907</v>
      </c>
      <c r="CY60" s="59">
        <f ca="1">AVERAGE(OFFSET($CX$3,0,0,'Données projet'!$E$13+1,1))-AVERAGE(OFFSET($H$3,0,0,'Données projet'!$E$13+1,1))</f>
        <v>274.37717856763146</v>
      </c>
      <c r="CZ60" s="59">
        <f t="shared" si="42"/>
        <v>264.17357326498581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1.8390296618700207E-3</v>
      </c>
      <c r="DI60" s="22">
        <f t="shared" si="15"/>
        <v>1.8390296618700207E-3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186.08927999999992</v>
      </c>
      <c r="DQ60" s="13">
        <f t="shared" si="43"/>
        <v>46.674304440658766</v>
      </c>
      <c r="DR60" s="20">
        <f t="shared" si="16"/>
        <v>405.39657623414723</v>
      </c>
      <c r="DS60" s="59">
        <f t="shared" si="17"/>
        <v>698.72990956748049</v>
      </c>
      <c r="DT60" s="59">
        <f ca="1">AVERAGE(OFFSET($DS$3,0,0,'Données projet'!$E$14+1,1))-AVERAGE(OFFSET($H$3,0,0,'Données projet'!$E$14+1,1))</f>
        <v>304.26232113495314</v>
      </c>
      <c r="DU60" s="59">
        <f t="shared" si="44"/>
        <v>297.47246687305056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8.5032345534075677</v>
      </c>
      <c r="EB60" s="21">
        <f>EXP(-LN(2)/25)*EB59+(1-EXP(-LN(2)/25))/(LN(2)/25)*Calculateur!DW60*Calculateur!DY60*VLOOKUP('Données projet'!$B$14,Paramètres!$A$1:$I$89,3,0)*0.475*44/12</f>
        <v>5.4702246782023423</v>
      </c>
      <c r="EC60" s="21">
        <f>EXP(-LN(2)/2)*EC59+(1-EXP(-LN(2)/2))/(LN(2)/2)*DW60*DZ60*VLOOKUP('Données projet'!$B$14,Paramètres!$A$1:$I$89,3,0)*0.475*44/12</f>
        <v>2.0797238485502643</v>
      </c>
      <c r="ED60" s="22">
        <f t="shared" si="18"/>
        <v>16.053183080160174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219.40000000000018</v>
      </c>
      <c r="O61" s="13">
        <f>N61*VLOOKUP('Données projet'!$B$9,Paramètres!$A$1:$I$89,3,0)*VLOOKUP('Données projet'!$B$9,Paramètres!$A$1:$I$89,5,0)</f>
        <v>198.51312000000016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344.4940855044307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4.6716515564714016E-4</v>
      </c>
      <c r="AC61" s="22">
        <f t="shared" si="3"/>
        <v>4.6716515564714016E-4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7.2</v>
      </c>
      <c r="AI61" s="13">
        <f>IF('Données projet'!$A$62&gt;35,AI60+AH61-AQ60,IF(A61&lt;'Données projet'!$A$62,$AF$205^A61,IF(A61='Données projet'!$A$62,'Données projet'!$B$62,AI60+AH61-AQ60)))</f>
        <v>184.59999999999994</v>
      </c>
      <c r="AJ61" s="13">
        <f>AI61*VLOOKUP('Données projet'!$B$10,Paramètres!$A$1:$I$89,3,0)*VLOOKUP('Données projet'!$B$10,Paramètres!$A$1:$I$89,5,0)</f>
        <v>123.82967999999995</v>
      </c>
      <c r="AK61" s="13">
        <f t="shared" si="35"/>
        <v>32.566569597096496</v>
      </c>
      <c r="AL61" s="20">
        <f t="shared" si="4"/>
        <v>272.39013471494297</v>
      </c>
      <c r="AM61" s="59">
        <f t="shared" si="5"/>
        <v>565.72346804827635</v>
      </c>
      <c r="AN61" s="59">
        <f ca="1">AVERAGE(OFFSET($AM$3,0,0,'Données projet'!$E$10+1,1))-AVERAGE(OFFSET($H$3,0,0,'Données projet'!$E$10+1,1))</f>
        <v>246.71489737733248</v>
      </c>
      <c r="AO61" s="59">
        <f t="shared" si="36"/>
        <v>185.03615139960783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3.8</v>
      </c>
      <c r="BD61" s="12">
        <f>IF('Données projet'!$A$88&gt;35,BD60+BC61-BL60,IF(A61&lt;'Données projet'!$A$88,$BA$205^A61,IF(A61='Données projet'!$A$88,'Données projet'!$B$88,BD60+BC61-BL60)))</f>
        <v>107.39999999999996</v>
      </c>
      <c r="BE61" s="13">
        <f>BD61*VLOOKUP('Données projet'!$B$11,Paramètres!$A$1:$I$89,3,0)*VLOOKUP('Données projet'!$B$11,Paramètres!$A$1:$I$89,5,0)</f>
        <v>103.87727999999997</v>
      </c>
      <c r="BF61" s="13">
        <f t="shared" si="37"/>
        <v>27.883651095560136</v>
      </c>
      <c r="BG61" s="20">
        <f t="shared" si="7"/>
        <v>229.48362165810047</v>
      </c>
      <c r="BH61" s="59">
        <f t="shared" si="8"/>
        <v>522.81695499143382</v>
      </c>
      <c r="BI61" s="59">
        <f ca="1">AVERAGE(OFFSET($BH$3,0,0,'Données projet'!$E$11+1,1))-AVERAGE(OFFSET($H$3,0,0,'Données projet'!$E$11+1,1))</f>
        <v>211.98817606983374</v>
      </c>
      <c r="BJ61" s="59">
        <f t="shared" si="38"/>
        <v>154.0840647586964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3.8</v>
      </c>
      <c r="BY61" s="12">
        <f>IF('Données projet'!$A$114&gt;35,BY60+BX61-CG60,IF(A61&lt;'Données projet'!$A$114,$BV$205^A61,IF(A61='Données projet'!$A$114,'Données projet'!$B$114,BY60+BX61-CG60)))</f>
        <v>107.39999999999996</v>
      </c>
      <c r="BZ61" s="13">
        <f>BY61*VLOOKUP('Données projet'!$B$12,Paramètres!$A$1:$I$89,3,0)*VLOOKUP('Données projet'!$B$12,Paramètres!$A$1:$I$89,5,0)</f>
        <v>115.60535999999995</v>
      </c>
      <c r="CA61" s="13">
        <f t="shared" si="39"/>
        <v>30.647806681379965</v>
      </c>
      <c r="CB61" s="20">
        <f t="shared" si="10"/>
        <v>254.72426530340337</v>
      </c>
      <c r="CC61" s="59">
        <f t="shared" si="11"/>
        <v>548.05759863673666</v>
      </c>
      <c r="CD61" s="59">
        <f ca="1">AVERAGE(OFFSET($CC$3,0,0,'Données projet'!$E$12+1,1))-AVERAGE(OFFSET($H$3,0,0,'Données projet'!$E$12+1,1))</f>
        <v>231.89176215692947</v>
      </c>
      <c r="CE61" s="59">
        <f t="shared" si="40"/>
        <v>166.97658184507787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7.9</v>
      </c>
      <c r="CT61" s="12">
        <f>IF('Données projet'!$A$140&gt;35,CT60+CS61-DB60,IF(A61&lt;'Données projet'!$A$140,$CQ$205^A61,IF(A61='Données projet'!$A$140,'Données projet'!$B$140,CT60+CS61-DB60)))</f>
        <v>255.20000000000007</v>
      </c>
      <c r="CU61" s="17">
        <f>CT61*VLOOKUP('Données projet'!$B$13,Paramètres!$A$1:$I$89,3,0)*VLOOKUP('Données projet'!$B$13,Paramètres!$A$1:$I$89,5,0)</f>
        <v>199.05600000000007</v>
      </c>
      <c r="CV61" s="13">
        <f t="shared" si="41"/>
        <v>49.536648006253934</v>
      </c>
      <c r="CW61" s="20">
        <f t="shared" si="13"/>
        <v>432.96552861089236</v>
      </c>
      <c r="CX61" s="59">
        <f t="shared" si="14"/>
        <v>726.29886194422568</v>
      </c>
      <c r="CY61" s="59">
        <f ca="1">AVERAGE(OFFSET($CX$3,0,0,'Données projet'!$E$13+1,1))-AVERAGE(OFFSET($H$3,0,0,'Données projet'!$E$13+1,1))</f>
        <v>274.37717856763146</v>
      </c>
      <c r="CZ61" s="59">
        <f t="shared" si="42"/>
        <v>264.17357326498581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1.3003903447114953E-3</v>
      </c>
      <c r="DI61" s="22">
        <f t="shared" si="15"/>
        <v>1.3003903447114953E-3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190.3075199999999</v>
      </c>
      <c r="DQ61" s="13">
        <f t="shared" si="43"/>
        <v>47.607934756469184</v>
      </c>
      <c r="DR61" s="20">
        <f t="shared" si="16"/>
        <v>414.36941703418364</v>
      </c>
      <c r="DS61" s="59">
        <f t="shared" si="17"/>
        <v>707.70275036751696</v>
      </c>
      <c r="DT61" s="59">
        <f ca="1">AVERAGE(OFFSET($DS$3,0,0,'Données projet'!$E$14+1,1))-AVERAGE(OFFSET($H$3,0,0,'Données projet'!$E$14+1,1))</f>
        <v>304.26232113495314</v>
      </c>
      <c r="DU61" s="59">
        <f t="shared" si="44"/>
        <v>297.47246687305056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8.3364913102762017</v>
      </c>
      <c r="EB61" s="21">
        <f>EXP(-LN(2)/25)*EB60+(1-EXP(-LN(2)/25))/(LN(2)/25)*Calculateur!DW61*Calculateur!DY61*VLOOKUP('Données projet'!$B$14,Paramètres!$A$1:$I$89,3,0)*0.475*44/12</f>
        <v>5.3206410967102862</v>
      </c>
      <c r="EC61" s="21">
        <f>EXP(-LN(2)/2)*EC60+(1-EXP(-LN(2)/2))/(LN(2)/2)*DW61*DZ61*VLOOKUP('Données projet'!$B$14,Paramètres!$A$1:$I$89,3,0)*0.475*44/12</f>
        <v>1.4705868363052763</v>
      </c>
      <c r="ED61" s="22">
        <f t="shared" si="18"/>
        <v>15.127719243291764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227.20000000000019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344.4940855044307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3.3033564949216178E-4</v>
      </c>
      <c r="AC62" s="22">
        <f t="shared" si="3"/>
        <v>3.3033564949216178E-4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7.2</v>
      </c>
      <c r="AI62" s="13">
        <f>IF('Données projet'!$A$62&gt;35,AI61+AH62-AQ61,IF(A62&lt;'Données projet'!$A$62,$AF$205^A62,IF(A62='Données projet'!$A$62,'Données projet'!$B$62,AI61+AH62-AQ61)))</f>
        <v>191.79999999999993</v>
      </c>
      <c r="AJ62" s="13">
        <f>AI62*VLOOKUP('Données projet'!$B$10,Paramètres!$A$1:$I$89,3,0)*VLOOKUP('Données projet'!$B$10,Paramètres!$A$1:$I$89,5,0)</f>
        <v>128.65943999999993</v>
      </c>
      <c r="AK62" s="13">
        <f t="shared" si="35"/>
        <v>33.686408651333402</v>
      </c>
      <c r="AL62" s="20">
        <f t="shared" si="4"/>
        <v>282.75235306773891</v>
      </c>
      <c r="AM62" s="59">
        <f t="shared" si="5"/>
        <v>576.08568640107228</v>
      </c>
      <c r="AN62" s="59">
        <f ca="1">AVERAGE(OFFSET($AM$3,0,0,'Données projet'!$E$10+1,1))-AVERAGE(OFFSET($H$3,0,0,'Données projet'!$E$10+1,1))</f>
        <v>246.71489737733248</v>
      </c>
      <c r="AO62" s="59">
        <f t="shared" si="36"/>
        <v>185.03615139960783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3.8</v>
      </c>
      <c r="BD62" s="12">
        <f>IF('Données projet'!$A$88&gt;35,BD61+BC62-BL61,IF(A62&lt;'Données projet'!$A$88,$BA$205^A62,IF(A62='Données projet'!$A$88,'Données projet'!$B$88,BD61+BC62-BL61)))</f>
        <v>111.19999999999996</v>
      </c>
      <c r="BE62" s="13">
        <f>BD62*VLOOKUP('Données projet'!$B$11,Paramètres!$A$1:$I$89,3,0)*VLOOKUP('Données projet'!$B$11,Paramètres!$A$1:$I$89,5,0)</f>
        <v>107.55263999999997</v>
      </c>
      <c r="BF62" s="13">
        <f t="shared" si="37"/>
        <v>28.753614564587743</v>
      </c>
      <c r="BG62" s="20">
        <f t="shared" si="7"/>
        <v>237.40006003332357</v>
      </c>
      <c r="BH62" s="59">
        <f t="shared" si="8"/>
        <v>530.73339336665686</v>
      </c>
      <c r="BI62" s="59">
        <f ca="1">AVERAGE(OFFSET($BH$3,0,0,'Données projet'!$E$11+1,1))-AVERAGE(OFFSET($H$3,0,0,'Données projet'!$E$11+1,1))</f>
        <v>211.98817606983374</v>
      </c>
      <c r="BJ62" s="59">
        <f t="shared" si="38"/>
        <v>154.0840647586964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3.8</v>
      </c>
      <c r="BY62" s="12">
        <f>IF('Données projet'!$A$114&gt;35,BY61+BX62-CG61,IF(A62&lt;'Données projet'!$A$114,$BV$205^A62,IF(A62='Données projet'!$A$114,'Données projet'!$B$114,BY61+BX62-CG61)))</f>
        <v>111.19999999999996</v>
      </c>
      <c r="BZ62" s="13">
        <f>BY62*VLOOKUP('Données projet'!$B$12,Paramètres!$A$1:$I$89,3,0)*VLOOKUP('Données projet'!$B$12,Paramètres!$A$1:$I$89,5,0)</f>
        <v>119.69567999999995</v>
      </c>
      <c r="CA62" s="13">
        <f t="shared" si="39"/>
        <v>31.604011165765666</v>
      </c>
      <c r="CB62" s="20">
        <f t="shared" si="10"/>
        <v>263.51362878037509</v>
      </c>
      <c r="CC62" s="59">
        <f t="shared" si="11"/>
        <v>556.8469621137084</v>
      </c>
      <c r="CD62" s="59">
        <f ca="1">AVERAGE(OFFSET($CC$3,0,0,'Données projet'!$E$12+1,1))-AVERAGE(OFFSET($H$3,0,0,'Données projet'!$E$12+1,1))</f>
        <v>231.89176215692947</v>
      </c>
      <c r="CE62" s="59">
        <f t="shared" si="40"/>
        <v>166.97658184507787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7.9</v>
      </c>
      <c r="CT62" s="12">
        <f>IF('Données projet'!$A$140&gt;35,CT61+CS62-DB61,IF(A62&lt;'Données projet'!$A$140,$CQ$205^A62,IF(A62='Données projet'!$A$140,'Données projet'!$B$140,CT61+CS62-DB61)))</f>
        <v>263.10000000000008</v>
      </c>
      <c r="CU62" s="17">
        <f>CT62*VLOOKUP('Données projet'!$B$13,Paramètres!$A$1:$I$89,3,0)*VLOOKUP('Données projet'!$B$13,Paramètres!$A$1:$I$89,5,0)</f>
        <v>205.21800000000007</v>
      </c>
      <c r="CV62" s="13">
        <f t="shared" si="41"/>
        <v>50.889201586985557</v>
      </c>
      <c r="CW62" s="20">
        <f t="shared" si="13"/>
        <v>446.05337609733328</v>
      </c>
      <c r="CX62" s="59">
        <f t="shared" si="14"/>
        <v>739.38670943066654</v>
      </c>
      <c r="CY62" s="59">
        <f ca="1">AVERAGE(OFFSET($CX$3,0,0,'Données projet'!$E$13+1,1))-AVERAGE(OFFSET($H$3,0,0,'Données projet'!$E$13+1,1))</f>
        <v>274.37717856763146</v>
      </c>
      <c r="CZ62" s="59">
        <f t="shared" si="42"/>
        <v>264.17357326498581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9.1951483093501043E-4</v>
      </c>
      <c r="DI62" s="22">
        <f t="shared" si="15"/>
        <v>9.1951483093501043E-4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194.52575999999991</v>
      </c>
      <c r="DQ62" s="13">
        <f t="shared" si="43"/>
        <v>48.539159154841606</v>
      </c>
      <c r="DR62" s="20">
        <f t="shared" si="16"/>
        <v>423.33806752801564</v>
      </c>
      <c r="DS62" s="59">
        <f t="shared" si="17"/>
        <v>716.67140086134896</v>
      </c>
      <c r="DT62" s="59">
        <f ca="1">AVERAGE(OFFSET($DS$3,0,0,'Données projet'!$E$14+1,1))-AVERAGE(OFFSET($H$3,0,0,'Données projet'!$E$14+1,1))</f>
        <v>304.26232113495314</v>
      </c>
      <c r="DU62" s="59">
        <f t="shared" si="44"/>
        <v>297.47246687305056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8.1730178004393057</v>
      </c>
      <c r="EB62" s="21">
        <f>EXP(-LN(2)/25)*EB61+(1-EXP(-LN(2)/25))/(LN(2)/25)*Calculateur!DW62*Calculateur!DY62*VLOOKUP('Données projet'!$B$14,Paramètres!$A$1:$I$89,3,0)*0.475*44/12</f>
        <v>5.1751478861203886</v>
      </c>
      <c r="EC62" s="21">
        <f>EXP(-LN(2)/2)*EC61+(1-EXP(-LN(2)/2))/(LN(2)/2)*DW62*DZ62*VLOOKUP('Données projet'!$B$14,Paramètres!$A$1:$I$89,3,0)*0.475*44/12</f>
        <v>1.0398619242751324</v>
      </c>
      <c r="ED62" s="22">
        <f t="shared" si="18"/>
        <v>14.388027610834827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344.4940855044307</v>
      </c>
      <c r="T63" s="59">
        <f t="shared" si="34"/>
        <v>231.36959598460686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2.3358257782357011E-4</v>
      </c>
      <c r="AC63" s="22">
        <f t="shared" si="3"/>
        <v>2.3358257782357011E-4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199</v>
      </c>
      <c r="AG63" s="12">
        <f>VLOOKUP(A63,'Données projet'!$A$61:$I$81,9,0)</f>
        <v>7.2</v>
      </c>
      <c r="AH63" s="12">
        <f t="array" ref="AH63">INDEX(AG:AG,MIN(IF(ISNUMBER(AG63:AG259),ROW(AG63:AG259),"")))</f>
        <v>7.2</v>
      </c>
      <c r="AI63" s="13">
        <f>IF('Données projet'!$A$62&gt;35,AI62+AH63-AQ62,IF(A63&lt;'Données projet'!$A$62,$AF$205^A63,IF(A63='Données projet'!$A$62,'Données projet'!$B$62,AI62+AH63-AQ62)))</f>
        <v>198.99999999999991</v>
      </c>
      <c r="AJ63" s="13">
        <f>AI63*VLOOKUP('Données projet'!$B$10,Paramètres!$A$1:$I$89,3,0)*VLOOKUP('Données projet'!$B$10,Paramètres!$A$1:$I$89,5,0)</f>
        <v>133.48919999999995</v>
      </c>
      <c r="AK63" s="13">
        <f t="shared" si="35"/>
        <v>34.801363974466973</v>
      </c>
      <c r="AL63" s="20">
        <f t="shared" si="4"/>
        <v>293.1060655888632</v>
      </c>
      <c r="AM63" s="59">
        <f t="shared" si="5"/>
        <v>586.43939892219646</v>
      </c>
      <c r="AN63" s="59">
        <f ca="1">AVERAGE(OFFSET($AM$3,0,0,'Données projet'!$E$10+1,1))-AVERAGE(OFFSET($H$3,0,0,'Données projet'!$E$10+1,1))</f>
        <v>246.71489737733248</v>
      </c>
      <c r="AO63" s="59">
        <f t="shared" si="36"/>
        <v>185.03615139960783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115</v>
      </c>
      <c r="BB63" s="12">
        <f>VLOOKUP(A63,'Données projet'!$A$87:$I$107,9,0)</f>
        <v>3.8</v>
      </c>
      <c r="BC63" s="12">
        <f t="array" ref="BC63">INDEX(BB:BB,MIN(IF(ISNUMBER(BB63:BB259),ROW(BB63:BB259),"")))</f>
        <v>3.8</v>
      </c>
      <c r="BD63" s="12">
        <f>IF('Données projet'!$A$88&gt;35,BD62+BC63-BL62,IF(A63&lt;'Données projet'!$A$88,$BA$205^A63,IF(A63='Données projet'!$A$88,'Données projet'!$B$88,BD62+BC63-BL62)))</f>
        <v>114.99999999999996</v>
      </c>
      <c r="BE63" s="13">
        <f>BD63*VLOOKUP('Données projet'!$B$11,Paramètres!$A$1:$I$89,3,0)*VLOOKUP('Données projet'!$B$11,Paramètres!$A$1:$I$89,5,0)</f>
        <v>111.22799999999995</v>
      </c>
      <c r="BF63" s="13">
        <f t="shared" si="37"/>
        <v>29.620123744783804</v>
      </c>
      <c r="BG63" s="20">
        <f t="shared" si="7"/>
        <v>245.31048218883168</v>
      </c>
      <c r="BH63" s="59">
        <f t="shared" si="8"/>
        <v>538.64381552216503</v>
      </c>
      <c r="BI63" s="59">
        <f ca="1">AVERAGE(OFFSET($BH$3,0,0,'Données projet'!$E$11+1,1))-AVERAGE(OFFSET($H$3,0,0,'Données projet'!$E$11+1,1))</f>
        <v>211.98817606983374</v>
      </c>
      <c r="BJ63" s="59">
        <f t="shared" si="38"/>
        <v>154.0840647586964</v>
      </c>
      <c r="BK63" s="15">
        <f>IF(ISNA(VLOOKUP(A63,'Données projet'!$A$87:$I$107,3,0)),0,VLOOKUP(A63,'Données projet'!$A$87:$I$107,3,0))</f>
        <v>7</v>
      </c>
      <c r="BL63" s="15">
        <f>IF(ISNA(VLOOKUP(A63,'Données projet'!$A$87:$I$107,4,0)),0,VLOOKUP(A63,'Données projet'!$A$87:$I$107,4,0))</f>
        <v>10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115</v>
      </c>
      <c r="BW63" s="12">
        <f>VLOOKUP(A63,'Données projet'!$A$113:$I$133,9,0)</f>
        <v>3.8</v>
      </c>
      <c r="BX63" s="12">
        <f t="array" ref="BX63">INDEX(BW:BW,MIN(IF(ISNUMBER(BW63:BW259),ROW(BW63:BW259),"")))</f>
        <v>3.8</v>
      </c>
      <c r="BY63" s="12">
        <f>IF('Données projet'!$A$114&gt;35,BY62+BX63-CG62,IF(A63&lt;'Données projet'!$A$114,$BV$205^A63,IF(A63='Données projet'!$A$114,'Données projet'!$B$114,BY62+BX63-CG62)))</f>
        <v>114.99999999999996</v>
      </c>
      <c r="BZ63" s="13">
        <f>BY63*VLOOKUP('Données projet'!$B$12,Paramètres!$A$1:$I$89,3,0)*VLOOKUP('Données projet'!$B$12,Paramètres!$A$1:$I$89,5,0)</f>
        <v>123.78599999999994</v>
      </c>
      <c r="CA63" s="13">
        <f t="shared" si="39"/>
        <v>32.556418931566412</v>
      </c>
      <c r="CB63" s="20">
        <f t="shared" si="10"/>
        <v>272.29637963914473</v>
      </c>
      <c r="CC63" s="59">
        <f t="shared" si="11"/>
        <v>565.62971297247805</v>
      </c>
      <c r="CD63" s="59">
        <f ca="1">AVERAGE(OFFSET($CC$3,0,0,'Données projet'!$E$12+1,1))-AVERAGE(OFFSET($H$3,0,0,'Données projet'!$E$12+1,1))</f>
        <v>231.89176215692947</v>
      </c>
      <c r="CE63" s="59">
        <f t="shared" si="40"/>
        <v>166.97658184507787</v>
      </c>
      <c r="CF63" s="15">
        <f>IF(ISNA(VLOOKUP(A63,'Données projet'!$A$113:$I$133,3,0)),0,VLOOKUP(A63,'Données projet'!$A$113:$I$133,3,0))</f>
        <v>7</v>
      </c>
      <c r="CG63" s="15">
        <f>IF(ISNA(VLOOKUP(A63,'Données projet'!$A$113:$I$133,4,0)),0,VLOOKUP(A63,'Données projet'!$A$113:$I$133,4,0))</f>
        <v>10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271</v>
      </c>
      <c r="CR63" s="12">
        <f>VLOOKUP(A63,'Données projet'!$A$139:$I$159,9,0)</f>
        <v>7.9</v>
      </c>
      <c r="CS63" s="12">
        <f t="array" ref="CS63">INDEX(CR:CR,MIN(IF(ISNUMBER(CR63:CR259),ROW(CR63:CR259),"")))</f>
        <v>7.9</v>
      </c>
      <c r="CT63" s="12">
        <f>IF('Données projet'!$A$140&gt;35,CT62+CS63-DB62,IF(A63&lt;'Données projet'!$A$140,$CQ$205^A63,IF(A63='Données projet'!$A$140,'Données projet'!$B$140,CT62+CS63-DB62)))</f>
        <v>271.00000000000006</v>
      </c>
      <c r="CU63" s="17">
        <f>CT63*VLOOKUP('Données projet'!$B$13,Paramètres!$A$1:$I$89,3,0)*VLOOKUP('Données projet'!$B$13,Paramètres!$A$1:$I$89,5,0)</f>
        <v>211.38000000000005</v>
      </c>
      <c r="CV63" s="13">
        <f t="shared" si="41"/>
        <v>52.23703536408425</v>
      </c>
      <c r="CW63" s="20">
        <f t="shared" si="13"/>
        <v>459.13300325911342</v>
      </c>
      <c r="CX63" s="59">
        <f t="shared" si="14"/>
        <v>752.46633659244674</v>
      </c>
      <c r="CY63" s="59">
        <f ca="1">AVERAGE(OFFSET($CX$3,0,0,'Données projet'!$E$13+1,1))-AVERAGE(OFFSET($H$3,0,0,'Données projet'!$E$13+1,1))</f>
        <v>274.37717856763146</v>
      </c>
      <c r="CZ63" s="59">
        <f t="shared" si="42"/>
        <v>264.17357326498581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53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6.5019517235574773E-4</v>
      </c>
      <c r="DI63" s="22">
        <f t="shared" si="15"/>
        <v>6.5019517235574773E-4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198.74399999999989</v>
      </c>
      <c r="DQ63" s="13">
        <f t="shared" si="43"/>
        <v>49.468035816012154</v>
      </c>
      <c r="DR63" s="20">
        <f t="shared" si="16"/>
        <v>432.30262904622094</v>
      </c>
      <c r="DS63" s="59">
        <f t="shared" si="17"/>
        <v>725.63596237955426</v>
      </c>
      <c r="DT63" s="59">
        <f ca="1">AVERAGE(OFFSET($DS$3,0,0,'Données projet'!$E$14+1,1))-AVERAGE(OFFSET($H$3,0,0,'Données projet'!$E$14+1,1))</f>
        <v>304.26232113495314</v>
      </c>
      <c r="DU63" s="59">
        <f t="shared" si="44"/>
        <v>297.47246687305056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0.26500000000000001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0.3</v>
      </c>
      <c r="EA63" s="21">
        <f>EXP(-LN(2)/35)*EA62+(1-EXP(-LN(2)/35))/(LN(2)/35)*DW63*DX63*VLOOKUP('Données projet'!$B$14,Paramètres!$A$1:$I$89,3,0)*0.475*44/12</f>
        <v>10.864438984990587</v>
      </c>
      <c r="EB63" s="21">
        <f>EXP(-LN(2)/25)*EB62+(1-EXP(-LN(2)/25))/(LN(2)/25)*Calculateur!DW63*Calculateur!DY63*VLOOKUP('Données projet'!$B$14,Paramètres!$A$1:$I$89,3,0)*0.475*44/12</f>
        <v>5.0336331950252271</v>
      </c>
      <c r="EC63" s="21">
        <f>EXP(-LN(2)/2)*EC62+(1-EXP(-LN(2)/2))/(LN(2)/2)*DW63*DZ63*VLOOKUP('Données projet'!$B$14,Paramètres!$A$1:$I$89,3,0)*0.475*44/12</f>
        <v>3.4906939374130452</v>
      </c>
      <c r="ED63" s="22">
        <f t="shared" si="18"/>
        <v>19.388766117428858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</v>
      </c>
      <c r="O64" s="13">
        <f>N64*VLOOKUP('Données projet'!$B$9,Paramètres!$A$1:$I$89,3,0)*VLOOKUP('Données projet'!$B$9,Paramètres!$A$1:$I$89,5,0)</f>
        <v>180.96000000000018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344.4940855044307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1.6516782474608092E-4</v>
      </c>
      <c r="AC64" s="22">
        <f t="shared" si="3"/>
        <v>1.6516782474608092E-4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183.99999999999991</v>
      </c>
      <c r="AJ64" s="13">
        <f>AI64*VLOOKUP('Données projet'!$B$10,Paramètres!$A$1:$I$89,3,0)*VLOOKUP('Données projet'!$B$10,Paramètres!$A$1:$I$89,5,0)</f>
        <v>123.42719999999994</v>
      </c>
      <c r="AK64" s="13">
        <f t="shared" si="35"/>
        <v>32.473022671122074</v>
      </c>
      <c r="AL64" s="20">
        <f t="shared" si="4"/>
        <v>271.52622115220419</v>
      </c>
      <c r="AM64" s="59">
        <f t="shared" si="5"/>
        <v>564.8595544855375</v>
      </c>
      <c r="AN64" s="59">
        <f ca="1">AVERAGE(OFFSET($AM$3,0,0,'Données projet'!$E$10+1,1))-AVERAGE(OFFSET($H$3,0,0,'Données projet'!$E$10+1,1))</f>
        <v>246.71489737733248</v>
      </c>
      <c r="AO64" s="59">
        <f t="shared" si="36"/>
        <v>185.03615139960783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3.8</v>
      </c>
      <c r="BD64" s="12">
        <f>IF('Données projet'!$A$88&gt;35,BD63+BC64-BL63,IF(A64&lt;'Données projet'!$A$88,$BA$205^A64,IF(A64='Données projet'!$A$88,'Données projet'!$B$88,BD63+BC64-BL63)))</f>
        <v>108.79999999999995</v>
      </c>
      <c r="BE64" s="13">
        <f>BD64*VLOOKUP('Données projet'!$B$11,Paramètres!$A$1:$I$89,3,0)*VLOOKUP('Données projet'!$B$11,Paramètres!$A$1:$I$89,5,0)</f>
        <v>105.23135999999997</v>
      </c>
      <c r="BF64" s="13">
        <f t="shared" si="37"/>
        <v>28.204574272897808</v>
      </c>
      <c r="BG64" s="20">
        <f t="shared" si="7"/>
        <v>232.40091885863032</v>
      </c>
      <c r="BH64" s="59">
        <f t="shared" si="8"/>
        <v>525.73425219196361</v>
      </c>
      <c r="BI64" s="59">
        <f ca="1">AVERAGE(OFFSET($BH$3,0,0,'Données projet'!$E$11+1,1))-AVERAGE(OFFSET($H$3,0,0,'Données projet'!$E$11+1,1))</f>
        <v>211.98817606983374</v>
      </c>
      <c r="BJ64" s="59">
        <f t="shared" si="38"/>
        <v>154.0840647586964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3.8</v>
      </c>
      <c r="BY64" s="12">
        <f>IF('Données projet'!$A$114&gt;35,BY63+BX64-CG63,IF(A64&lt;'Données projet'!$A$114,$BV$205^A64,IF(A64='Données projet'!$A$114,'Données projet'!$B$114,BY63+BX64-CG63)))</f>
        <v>108.79999999999995</v>
      </c>
      <c r="BZ64" s="13">
        <f>BY64*VLOOKUP('Données projet'!$B$12,Paramètres!$A$1:$I$89,3,0)*VLOOKUP('Données projet'!$B$12,Paramètres!$A$1:$I$89,5,0)</f>
        <v>117.11231999999994</v>
      </c>
      <c r="CA64" s="13">
        <f t="shared" si="39"/>
        <v>31.000543540154752</v>
      </c>
      <c r="CB64" s="20">
        <f t="shared" si="10"/>
        <v>257.96323733243611</v>
      </c>
      <c r="CC64" s="59">
        <f t="shared" si="11"/>
        <v>551.29657066576942</v>
      </c>
      <c r="CD64" s="59">
        <f ca="1">AVERAGE(OFFSET($CC$3,0,0,'Données projet'!$E$12+1,1))-AVERAGE(OFFSET($H$3,0,0,'Données projet'!$E$12+1,1))</f>
        <v>231.89176215692947</v>
      </c>
      <c r="CE64" s="59">
        <f t="shared" si="40"/>
        <v>166.97658184507787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4.5333333333333332</v>
      </c>
      <c r="CT64" s="12">
        <f>IF('Données projet'!$A$140&gt;35,CT63+CS64-DB63,IF(A64&lt;'Données projet'!$A$140,$CQ$205^A64,IF(A64='Données projet'!$A$140,'Données projet'!$B$140,CT63+CS64-DB63)))</f>
        <v>222.53333333333342</v>
      </c>
      <c r="CU64" s="17">
        <f>CT64*VLOOKUP('Données projet'!$B$13,Paramètres!$A$1:$I$89,3,0)*VLOOKUP('Données projet'!$B$13,Paramètres!$A$1:$I$89,5,0)</f>
        <v>173.57600000000008</v>
      </c>
      <c r="CV64" s="13">
        <f t="shared" si="41"/>
        <v>43.889955707119007</v>
      </c>
      <c r="CW64" s="20">
        <f t="shared" si="13"/>
        <v>378.75320618989912</v>
      </c>
      <c r="CX64" s="59">
        <f t="shared" si="14"/>
        <v>672.08653952323243</v>
      </c>
      <c r="CY64" s="59">
        <f ca="1">AVERAGE(OFFSET($CX$3,0,0,'Données projet'!$E$13+1,1))-AVERAGE(OFFSET($H$3,0,0,'Données projet'!$E$13+1,1))</f>
        <v>274.37717856763146</v>
      </c>
      <c r="CZ64" s="59">
        <f t="shared" si="42"/>
        <v>264.17357326498581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4.5975741546750533E-4</v>
      </c>
      <c r="DI64" s="22">
        <f t="shared" si="15"/>
        <v>4.5975741546750533E-4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192.57887999999988</v>
      </c>
      <c r="DQ64" s="13">
        <f t="shared" si="43"/>
        <v>48.109658468565421</v>
      </c>
      <c r="DR64" s="20">
        <f t="shared" si="16"/>
        <v>419.19920449941787</v>
      </c>
      <c r="DS64" s="59">
        <f t="shared" si="17"/>
        <v>712.53253783275113</v>
      </c>
      <c r="DT64" s="59">
        <f ca="1">AVERAGE(OFFSET($DS$3,0,0,'Données projet'!$E$14+1,1))-AVERAGE(OFFSET($H$3,0,0,'Données projet'!$E$14+1,1))</f>
        <v>304.26232113495314</v>
      </c>
      <c r="DU64" s="59">
        <f t="shared" si="44"/>
        <v>297.47246687305056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10.651393963148374</v>
      </c>
      <c r="EB64" s="21">
        <f>EXP(-LN(2)/25)*EB63+(1-EXP(-LN(2)/25))/(LN(2)/25)*Calculateur!DW64*Calculateur!DY64*VLOOKUP('Données projet'!$B$14,Paramètres!$A$1:$I$89,3,0)*0.475*44/12</f>
        <v>4.8959882305999969</v>
      </c>
      <c r="EC64" s="21">
        <f>EXP(-LN(2)/2)*EC63+(1-EXP(-LN(2)/2))/(LN(2)/2)*DW64*DZ64*VLOOKUP('Données projet'!$B$14,Paramètres!$A$1:$I$89,3,0)*0.475*44/12</f>
        <v>2.4682933541915344</v>
      </c>
      <c r="ED64" s="22">
        <f t="shared" si="18"/>
        <v>18.015675547939907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</v>
      </c>
      <c r="O65" s="13">
        <f>N65*VLOOKUP('Données projet'!$B$9,Paramètres!$A$1:$I$89,3,0)*VLOOKUP('Données projet'!$B$9,Paramètres!$A$1:$I$89,5,0)</f>
        <v>187.29360000000017</v>
      </c>
      <c r="P65" s="13">
        <f t="shared" si="33"/>
        <v>46.941107550760499</v>
      </c>
      <c r="Q65" s="20">
        <f t="shared" si="53"/>
        <v>407.95878231757479</v>
      </c>
      <c r="R65" s="59">
        <f t="shared" si="0"/>
        <v>701.29211565090804</v>
      </c>
      <c r="S65" s="59">
        <f ca="1">AVERAGE(OFFSET($R$3,0,0,'Données projet'!$E$9+1,1))-AVERAGE(OFFSET($H$3,0,0,'Données projet'!$E$9+1,1))</f>
        <v>344.4940855044307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1.1679128891178508E-4</v>
      </c>
      <c r="AC65" s="22">
        <f t="shared" si="3"/>
        <v>1.1679128891178508E-4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190.99999999999991</v>
      </c>
      <c r="AJ65" s="13">
        <f>AI65*VLOOKUP('Données projet'!$B$10,Paramètres!$A$1:$I$89,3,0)*VLOOKUP('Données projet'!$B$10,Paramètres!$A$1:$I$89,5,0)</f>
        <v>128.12279999999996</v>
      </c>
      <c r="AK65" s="13">
        <f t="shared" si="35"/>
        <v>33.562227014048474</v>
      </c>
      <c r="AL65" s="20">
        <f t="shared" si="4"/>
        <v>281.60142204946766</v>
      </c>
      <c r="AM65" s="59">
        <f t="shared" si="5"/>
        <v>574.93475538280097</v>
      </c>
      <c r="AN65" s="59">
        <f ca="1">AVERAGE(OFFSET($AM$3,0,0,'Données projet'!$E$10+1,1))-AVERAGE(OFFSET($H$3,0,0,'Données projet'!$E$10+1,1))</f>
        <v>246.71489737733248</v>
      </c>
      <c r="AO65" s="59">
        <f t="shared" si="36"/>
        <v>185.03615139960783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3.8</v>
      </c>
      <c r="BD65" s="12">
        <f>IF('Données projet'!$A$88&gt;35,BD64+BC65-BL64,IF(A65&lt;'Données projet'!$A$88,$BA$205^A65,IF(A65='Données projet'!$A$88,'Données projet'!$B$88,BD64+BC65-BL64)))</f>
        <v>112.59999999999995</v>
      </c>
      <c r="BE65" s="13">
        <f>BD65*VLOOKUP('Données projet'!$B$11,Paramètres!$A$1:$I$89,3,0)*VLOOKUP('Données projet'!$B$11,Paramètres!$A$1:$I$89,5,0)</f>
        <v>108.90671999999995</v>
      </c>
      <c r="BF65" s="13">
        <f t="shared" si="37"/>
        <v>29.073249724487347</v>
      </c>
      <c r="BG65" s="20">
        <f t="shared" si="7"/>
        <v>240.31511393681535</v>
      </c>
      <c r="BH65" s="59">
        <f t="shared" si="8"/>
        <v>533.64844727014861</v>
      </c>
      <c r="BI65" s="59">
        <f ca="1">AVERAGE(OFFSET($BH$3,0,0,'Données projet'!$E$11+1,1))-AVERAGE(OFFSET($H$3,0,0,'Données projet'!$E$11+1,1))</f>
        <v>211.98817606983374</v>
      </c>
      <c r="BJ65" s="59">
        <f t="shared" si="38"/>
        <v>154.0840647586964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3.8</v>
      </c>
      <c r="BY65" s="12">
        <f>IF('Données projet'!$A$114&gt;35,BY64+BX65-CG64,IF(A65&lt;'Données projet'!$A$114,$BV$205^A65,IF(A65='Données projet'!$A$114,'Données projet'!$B$114,BY64+BX65-CG64)))</f>
        <v>112.59999999999995</v>
      </c>
      <c r="BZ65" s="13">
        <f>BY65*VLOOKUP('Données projet'!$B$12,Paramètres!$A$1:$I$89,3,0)*VLOOKUP('Données projet'!$B$12,Paramètres!$A$1:$I$89,5,0)</f>
        <v>121.20263999999995</v>
      </c>
      <c r="CA65" s="13">
        <f t="shared" si="39"/>
        <v>31.955332323658638</v>
      </c>
      <c r="CB65" s="20">
        <f t="shared" si="10"/>
        <v>266.75013513037203</v>
      </c>
      <c r="CC65" s="59">
        <f t="shared" si="11"/>
        <v>560.08346846370534</v>
      </c>
      <c r="CD65" s="59">
        <f ca="1">AVERAGE(OFFSET($CC$3,0,0,'Données projet'!$E$12+1,1))-AVERAGE(OFFSET($H$3,0,0,'Données projet'!$E$12+1,1))</f>
        <v>231.89176215692947</v>
      </c>
      <c r="CE65" s="59">
        <f t="shared" si="40"/>
        <v>166.97658184507787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4.5333333333333332</v>
      </c>
      <c r="CT65" s="12">
        <f>IF('Données projet'!$A$140&gt;35,CT64+CS65-DB64,IF(A65&lt;'Données projet'!$A$140,$CQ$205^A65,IF(A65='Données projet'!$A$140,'Données projet'!$B$140,CT64+CS65-DB64)))</f>
        <v>227.06666666666675</v>
      </c>
      <c r="CU65" s="17">
        <f>CT65*VLOOKUP('Données projet'!$B$13,Paramètres!$A$1:$I$89,3,0)*VLOOKUP('Données projet'!$B$13,Paramètres!$A$1:$I$89,5,0)</f>
        <v>177.11200000000008</v>
      </c>
      <c r="CV65" s="13">
        <f t="shared" si="41"/>
        <v>44.679055778835902</v>
      </c>
      <c r="CW65" s="20">
        <f t="shared" si="13"/>
        <v>386.28608881480596</v>
      </c>
      <c r="CX65" s="59">
        <f t="shared" si="14"/>
        <v>679.61942214813928</v>
      </c>
      <c r="CY65" s="59">
        <f ca="1">AVERAGE(OFFSET($CX$3,0,0,'Données projet'!$E$13+1,1))-AVERAGE(OFFSET($H$3,0,0,'Données projet'!$E$13+1,1))</f>
        <v>274.37717856763146</v>
      </c>
      <c r="CZ65" s="59">
        <f t="shared" si="42"/>
        <v>264.17357326498581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3.2509758617787392E-4</v>
      </c>
      <c r="DI65" s="22">
        <f t="shared" si="15"/>
        <v>3.2509758617787392E-4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196.14815999999988</v>
      </c>
      <c r="DQ65" s="13">
        <f t="shared" si="43"/>
        <v>48.896694156917398</v>
      </c>
      <c r="DR65" s="20">
        <f t="shared" si="16"/>
        <v>426.78645432329751</v>
      </c>
      <c r="DS65" s="59">
        <f t="shared" si="17"/>
        <v>720.11978765663082</v>
      </c>
      <c r="DT65" s="59">
        <f ca="1">AVERAGE(OFFSET($DS$3,0,0,'Données projet'!$E$14+1,1))-AVERAGE(OFFSET($H$3,0,0,'Données projet'!$E$14+1,1))</f>
        <v>304.26232113495314</v>
      </c>
      <c r="DU65" s="59">
        <f t="shared" si="44"/>
        <v>297.47246687305056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10.442526624239855</v>
      </c>
      <c r="EB65" s="21">
        <f>EXP(-LN(2)/25)*EB64+(1-EXP(-LN(2)/25))/(LN(2)/25)*Calculateur!DW65*Calculateur!DY65*VLOOKUP('Données projet'!$B$14,Paramètres!$A$1:$I$89,3,0)*0.475*44/12</f>
        <v>4.7621071749654087</v>
      </c>
      <c r="EC65" s="21">
        <f>EXP(-LN(2)/2)*EC64+(1-EXP(-LN(2)/2))/(LN(2)/2)*DW65*DZ65*VLOOKUP('Données projet'!$B$14,Paramètres!$A$1:$I$89,3,0)*0.475*44/12</f>
        <v>1.7453469687065228</v>
      </c>
      <c r="ED65" s="22">
        <f t="shared" si="18"/>
        <v>16.949980767911789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344.4940855044307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8.2583912373040473E-5</v>
      </c>
      <c r="AC66" s="22">
        <f t="shared" si="3"/>
        <v>8.2583912373040473E-5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197.99999999999991</v>
      </c>
      <c r="AJ66" s="13">
        <f>AI66*VLOOKUP('Données projet'!$B$10,Paramètres!$A$1:$I$89,3,0)*VLOOKUP('Données projet'!$B$10,Paramètres!$A$1:$I$89,5,0)</f>
        <v>132.81839999999994</v>
      </c>
      <c r="AK66" s="13">
        <f t="shared" si="35"/>
        <v>34.646793645680994</v>
      </c>
      <c r="AL66" s="20">
        <f t="shared" si="4"/>
        <v>291.66854559956096</v>
      </c>
      <c r="AM66" s="59">
        <f t="shared" si="5"/>
        <v>585.00187893289421</v>
      </c>
      <c r="AN66" s="59">
        <f ca="1">AVERAGE(OFFSET($AM$3,0,0,'Données projet'!$E$10+1,1))-AVERAGE(OFFSET($H$3,0,0,'Données projet'!$E$10+1,1))</f>
        <v>246.71489737733248</v>
      </c>
      <c r="AO66" s="59">
        <f t="shared" si="36"/>
        <v>185.03615139960783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3.8</v>
      </c>
      <c r="BD66" s="12">
        <f>IF('Données projet'!$A$88&gt;35,BD65+BC66-BL65,IF(A66&lt;'Données projet'!$A$88,$BA$205^A66,IF(A66='Données projet'!$A$88,'Données projet'!$B$88,BD65+BC66-BL65)))</f>
        <v>116.39999999999995</v>
      </c>
      <c r="BE66" s="13">
        <f>BD66*VLOOKUP('Données projet'!$B$11,Paramètres!$A$1:$I$89,3,0)*VLOOKUP('Données projet'!$B$11,Paramètres!$A$1:$I$89,5,0)</f>
        <v>112.58207999999995</v>
      </c>
      <c r="BF66" s="13">
        <f t="shared" si="37"/>
        <v>29.938518819529087</v>
      </c>
      <c r="BG66" s="20">
        <f t="shared" si="7"/>
        <v>248.22337627734638</v>
      </c>
      <c r="BH66" s="59">
        <f t="shared" si="8"/>
        <v>541.55670961067972</v>
      </c>
      <c r="BI66" s="59">
        <f ca="1">AVERAGE(OFFSET($BH$3,0,0,'Données projet'!$E$11+1,1))-AVERAGE(OFFSET($H$3,0,0,'Données projet'!$E$11+1,1))</f>
        <v>211.98817606983374</v>
      </c>
      <c r="BJ66" s="59">
        <f t="shared" si="38"/>
        <v>154.0840647586964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3.8</v>
      </c>
      <c r="BY66" s="12">
        <f>IF('Données projet'!$A$114&gt;35,BY65+BX66-CG65,IF(A66&lt;'Données projet'!$A$114,$BV$205^A66,IF(A66='Données projet'!$A$114,'Données projet'!$B$114,BY65+BX66-CG65)))</f>
        <v>116.39999999999995</v>
      </c>
      <c r="BZ66" s="13">
        <f>BY66*VLOOKUP('Données projet'!$B$12,Paramètres!$A$1:$I$89,3,0)*VLOOKUP('Données projet'!$B$12,Paramètres!$A$1:$I$89,5,0)</f>
        <v>125.29295999999994</v>
      </c>
      <c r="CA66" s="13">
        <f t="shared" si="39"/>
        <v>32.906377072473241</v>
      </c>
      <c r="CB66" s="20">
        <f t="shared" si="10"/>
        <v>275.53051206789081</v>
      </c>
      <c r="CC66" s="59">
        <f t="shared" si="11"/>
        <v>568.86384540122413</v>
      </c>
      <c r="CD66" s="59">
        <f ca="1">AVERAGE(OFFSET($CC$3,0,0,'Données projet'!$E$12+1,1))-AVERAGE(OFFSET($H$3,0,0,'Données projet'!$E$12+1,1))</f>
        <v>231.89176215692947</v>
      </c>
      <c r="CE66" s="59">
        <f t="shared" si="40"/>
        <v>166.97658184507787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4.5333333333333332</v>
      </c>
      <c r="CT66" s="12">
        <f>IF('Données projet'!$A$140&gt;35,CT65+CS66-DB65,IF(A66&lt;'Données projet'!$A$140,$CQ$205^A66,IF(A66='Données projet'!$A$140,'Données projet'!$B$140,CT65+CS66-DB65)))</f>
        <v>231.60000000000008</v>
      </c>
      <c r="CU66" s="17">
        <f>CT66*VLOOKUP('Données projet'!$B$13,Paramètres!$A$1:$I$89,3,0)*VLOOKUP('Données projet'!$B$13,Paramètres!$A$1:$I$89,5,0)</f>
        <v>180.64800000000008</v>
      </c>
      <c r="CV66" s="13">
        <f t="shared" si="41"/>
        <v>45.466324062169832</v>
      </c>
      <c r="CW66" s="20">
        <f t="shared" si="13"/>
        <v>393.81578107494585</v>
      </c>
      <c r="CX66" s="59">
        <f t="shared" si="14"/>
        <v>687.14911440827916</v>
      </c>
      <c r="CY66" s="59">
        <f ca="1">AVERAGE(OFFSET($CX$3,0,0,'Données projet'!$E$13+1,1))-AVERAGE(OFFSET($H$3,0,0,'Données projet'!$E$13+1,1))</f>
        <v>274.37717856763146</v>
      </c>
      <c r="CZ66" s="59">
        <f t="shared" si="42"/>
        <v>264.17357326498581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2.2987870773375269E-4</v>
      </c>
      <c r="DI66" s="22">
        <f t="shared" si="15"/>
        <v>2.2987870773375269E-4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199.71743999999987</v>
      </c>
      <c r="DQ66" s="13">
        <f t="shared" si="43"/>
        <v>49.682064480920403</v>
      </c>
      <c r="DR66" s="20">
        <f t="shared" si="16"/>
        <v>434.37080363760282</v>
      </c>
      <c r="DS66" s="59">
        <f t="shared" si="17"/>
        <v>727.70413697093613</v>
      </c>
      <c r="DT66" s="59">
        <f ca="1">AVERAGE(OFFSET($DS$3,0,0,'Données projet'!$E$14+1,1))-AVERAGE(OFFSET($H$3,0,0,'Données projet'!$E$14+1,1))</f>
        <v>304.26232113495314</v>
      </c>
      <c r="DU66" s="59">
        <f t="shared" si="44"/>
        <v>297.47246687305056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10.237755046450836</v>
      </c>
      <c r="EB66" s="21">
        <f>EXP(-LN(2)/25)*EB65+(1-EXP(-LN(2)/25))/(LN(2)/25)*Calculateur!DW66*Calculateur!DY66*VLOOKUP('Données projet'!$B$14,Paramètres!$A$1:$I$89,3,0)*0.475*44/12</f>
        <v>4.6318871038376468</v>
      </c>
      <c r="EC66" s="21">
        <f>EXP(-LN(2)/2)*EC65+(1-EXP(-LN(2)/2))/(LN(2)/2)*DW66*DZ66*VLOOKUP('Données projet'!$B$14,Paramètres!$A$1:$I$89,3,0)*0.475*44/12</f>
        <v>1.2341466770957674</v>
      </c>
      <c r="ED66" s="22">
        <f t="shared" si="18"/>
        <v>16.10378882738425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</v>
      </c>
      <c r="O67" s="13">
        <f>N67*VLOOKUP('Données projet'!$B$9,Paramètres!$A$1:$I$89,3,0)*VLOOKUP('Données projet'!$B$9,Paramètres!$A$1:$I$89,5,0)</f>
        <v>199.96080000000021</v>
      </c>
      <c r="P67" s="13">
        <f t="shared" si="33"/>
        <v>49.735552653569307</v>
      </c>
      <c r="Q67" s="20">
        <f t="shared" ref="Q67:Q98" si="54">(O67+P67)*0.475*44/12</f>
        <v>434.88781420496684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344.4940855044307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5.8395644455892547E-5</v>
      </c>
      <c r="AC67" s="22">
        <f t="shared" si="3"/>
        <v>5.8395644455892547E-5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204.99999999999991</v>
      </c>
      <c r="AJ67" s="13">
        <f>AI67*VLOOKUP('Données projet'!$B$10,Paramètres!$A$1:$I$89,3,0)*VLOOKUP('Données projet'!$B$10,Paramètres!$A$1:$I$89,5,0)</f>
        <v>137.51399999999995</v>
      </c>
      <c r="AK67" s="13">
        <f t="shared" si="35"/>
        <v>35.726905311681854</v>
      </c>
      <c r="AL67" s="20">
        <f t="shared" si="4"/>
        <v>301.72791008451242</v>
      </c>
      <c r="AM67" s="59">
        <f t="shared" si="5"/>
        <v>595.06124341784573</v>
      </c>
      <c r="AN67" s="59">
        <f ca="1">AVERAGE(OFFSET($AM$3,0,0,'Données projet'!$E$10+1,1))-AVERAGE(OFFSET($H$3,0,0,'Données projet'!$E$10+1,1))</f>
        <v>246.71489737733248</v>
      </c>
      <c r="AO67" s="59">
        <f t="shared" si="36"/>
        <v>185.03615139960783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3.8</v>
      </c>
      <c r="BD67" s="12">
        <f>IF('Données projet'!$A$88&gt;35,BD66+BC67-BL66,IF(A67&lt;'Données projet'!$A$88,$BA$205^A67,IF(A67='Données projet'!$A$88,'Données projet'!$B$88,BD66+BC67-BL66)))</f>
        <v>120.19999999999995</v>
      </c>
      <c r="BE67" s="13">
        <f>BD67*VLOOKUP('Données projet'!$B$11,Paramètres!$A$1:$I$89,3,0)*VLOOKUP('Données projet'!$B$11,Paramètres!$A$1:$I$89,5,0)</f>
        <v>116.25743999999996</v>
      </c>
      <c r="BF67" s="13">
        <f t="shared" si="37"/>
        <v>30.800505515381992</v>
      </c>
      <c r="BG67" s="20">
        <f t="shared" si="7"/>
        <v>256.1259217726236</v>
      </c>
      <c r="BH67" s="59">
        <f t="shared" si="8"/>
        <v>549.45925510595691</v>
      </c>
      <c r="BI67" s="59">
        <f ca="1">AVERAGE(OFFSET($BH$3,0,0,'Données projet'!$E$11+1,1))-AVERAGE(OFFSET($H$3,0,0,'Données projet'!$E$11+1,1))</f>
        <v>211.98817606983374</v>
      </c>
      <c r="BJ67" s="59">
        <f t="shared" si="38"/>
        <v>154.0840647586964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3.8</v>
      </c>
      <c r="BY67" s="12">
        <f>IF('Données projet'!$A$114&gt;35,BY66+BX67-CG66,IF(A67&lt;'Données projet'!$A$114,$BV$205^A67,IF(A67='Données projet'!$A$114,'Données projet'!$B$114,BY66+BX67-CG66)))</f>
        <v>120.19999999999995</v>
      </c>
      <c r="BZ67" s="13">
        <f>BY67*VLOOKUP('Données projet'!$B$12,Paramètres!$A$1:$I$89,3,0)*VLOOKUP('Données projet'!$B$12,Paramètres!$A$1:$I$89,5,0)</f>
        <v>129.38327999999993</v>
      </c>
      <c r="CA67" s="13">
        <f t="shared" si="39"/>
        <v>33.853814032069501</v>
      </c>
      <c r="CB67" s="20">
        <f t="shared" si="10"/>
        <v>284.30460543918753</v>
      </c>
      <c r="CC67" s="59">
        <f t="shared" si="11"/>
        <v>577.63793877252078</v>
      </c>
      <c r="CD67" s="59">
        <f ca="1">AVERAGE(OFFSET($CC$3,0,0,'Données projet'!$E$12+1,1))-AVERAGE(OFFSET($H$3,0,0,'Données projet'!$E$12+1,1))</f>
        <v>231.89176215692947</v>
      </c>
      <c r="CE67" s="59">
        <f t="shared" si="40"/>
        <v>166.97658184507787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4.5333333333333332</v>
      </c>
      <c r="CT67" s="12">
        <f>IF('Données projet'!$A$140&gt;35,CT66+CS67-DB66,IF(A67&lt;'Données projet'!$A$140,$CQ$205^A67,IF(A67='Données projet'!$A$140,'Données projet'!$B$140,CT66+CS67-DB66)))</f>
        <v>236.13333333333341</v>
      </c>
      <c r="CU67" s="17">
        <f>CT67*VLOOKUP('Données projet'!$B$13,Paramètres!$A$1:$I$89,3,0)*VLOOKUP('Données projet'!$B$13,Paramètres!$A$1:$I$89,5,0)</f>
        <v>184.18400000000005</v>
      </c>
      <c r="CV67" s="13">
        <f t="shared" si="41"/>
        <v>46.251800545659357</v>
      </c>
      <c r="CW67" s="20">
        <f t="shared" si="13"/>
        <v>401.34235261702344</v>
      </c>
      <c r="CX67" s="59">
        <f t="shared" si="14"/>
        <v>694.67568595035675</v>
      </c>
      <c r="CY67" s="59">
        <f ca="1">AVERAGE(OFFSET($CX$3,0,0,'Données projet'!$E$13+1,1))-AVERAGE(OFFSET($H$3,0,0,'Données projet'!$E$13+1,1))</f>
        <v>274.37717856763146</v>
      </c>
      <c r="CZ67" s="59">
        <f t="shared" si="42"/>
        <v>264.17357326498581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1.6254879308893699E-4</v>
      </c>
      <c r="DI67" s="22">
        <f t="shared" si="15"/>
        <v>1.6254879308893699E-4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203.28671999999989</v>
      </c>
      <c r="DQ67" s="13">
        <f t="shared" si="43"/>
        <v>50.465802636798685</v>
      </c>
      <c r="DR67" s="20">
        <f t="shared" si="16"/>
        <v>441.95231025909084</v>
      </c>
      <c r="DS67" s="59">
        <f t="shared" si="17"/>
        <v>735.28564359242409</v>
      </c>
      <c r="DT67" s="59">
        <f ca="1">AVERAGE(OFFSET($DS$3,0,0,'Données projet'!$E$14+1,1))-AVERAGE(OFFSET($H$3,0,0,'Données projet'!$E$14+1,1))</f>
        <v>304.26232113495314</v>
      </c>
      <c r="DU67" s="59">
        <f t="shared" si="44"/>
        <v>297.47246687305056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10.036998914403929</v>
      </c>
      <c r="EB67" s="21">
        <f>EXP(-LN(2)/25)*EB66+(1-EXP(-LN(2)/25))/(LN(2)/25)*Calculateur!DW67*Calculateur!DY67*VLOOKUP('Données projet'!$B$14,Paramètres!$A$1:$I$89,3,0)*0.475*44/12</f>
        <v>4.5052279074028503</v>
      </c>
      <c r="EC67" s="21">
        <f>EXP(-LN(2)/2)*EC66+(1-EXP(-LN(2)/2))/(LN(2)/2)*DW67*DZ67*VLOOKUP('Données projet'!$B$14,Paramètres!$A$1:$I$89,3,0)*0.475*44/12</f>
        <v>0.87267348435326164</v>
      </c>
      <c r="ED67" s="22">
        <f t="shared" si="18"/>
        <v>15.414900306160041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344.4940855044307</v>
      </c>
      <c r="T68" s="59">
        <f t="shared" si="34"/>
        <v>231.36959598460686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4.1291956186520243E-5</v>
      </c>
      <c r="AC68" s="22">
        <f t="shared" ref="AC68:AC131" si="57">SUM(Z68:AB68)</f>
        <v>4.1291956186520243E-5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212</v>
      </c>
      <c r="AG68" s="12">
        <f>VLOOKUP(A68,'Données projet'!$A$61:$I$81,9,0)</f>
        <v>7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211.99999999999991</v>
      </c>
      <c r="AJ68" s="13">
        <f>AI68*VLOOKUP('Données projet'!$B$10,Paramètres!$A$1:$I$89,3,0)*VLOOKUP('Données projet'!$B$10,Paramètres!$A$1:$I$89,5,0)</f>
        <v>142.20959999999997</v>
      </c>
      <c r="AK68" s="13">
        <f t="shared" si="35"/>
        <v>36.802731569585617</v>
      </c>
      <c r="AL68" s="20">
        <f t="shared" ref="AL68:AL131" si="58">(AJ68+AK68)*0.475*44/12</f>
        <v>311.77981081702814</v>
      </c>
      <c r="AM68" s="59">
        <f t="shared" ref="AM68:AM131" si="59">AL68+(AD68+AE68)*44/12</f>
        <v>605.11314415036145</v>
      </c>
      <c r="AN68" s="59">
        <f ca="1">AVERAGE(OFFSET($AM$3,0,0,'Données projet'!$E$10+1,1))-AVERAGE(OFFSET($H$3,0,0,'Données projet'!$E$10+1,1))</f>
        <v>246.71489737733248</v>
      </c>
      <c r="AO68" s="59">
        <f t="shared" si="36"/>
        <v>185.03615139960783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22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124</v>
      </c>
      <c r="BB68" s="12">
        <f>VLOOKUP(A68,'Données projet'!$A$87:$I$107,9,0)</f>
        <v>3.8</v>
      </c>
      <c r="BC68" s="12">
        <f t="array" ref="BC68">INDEX(BB:BB,MIN(IF(ISNUMBER(BB68:BB264),ROW(BB68:BB264),"")))</f>
        <v>3.8</v>
      </c>
      <c r="BD68" s="12">
        <f>IF('Données projet'!$A$88&gt;35,BD67+BC68-BL67,IF(A68&lt;'Données projet'!$A$88,$BA$205^A68,IF(A68='Données projet'!$A$88,'Données projet'!$B$88,BD67+BC68-BL67)))</f>
        <v>123.99999999999994</v>
      </c>
      <c r="BE68" s="13">
        <f>BD68*VLOOKUP('Données projet'!$B$11,Paramètres!$A$1:$I$89,3,0)*VLOOKUP('Données projet'!$B$11,Paramètres!$A$1:$I$89,5,0)</f>
        <v>119.93279999999996</v>
      </c>
      <c r="BF68" s="13">
        <f t="shared" si="37"/>
        <v>31.659325486741739</v>
      </c>
      <c r="BG68" s="20">
        <f t="shared" ref="BG68:BG131" si="61">(BE68+BF68)*0.475*44/12</f>
        <v>264.02295188940849</v>
      </c>
      <c r="BH68" s="59">
        <f t="shared" ref="BH68:BH131" si="62">BG68+(AY68+AZ68)*44/12</f>
        <v>557.3562852227418</v>
      </c>
      <c r="BI68" s="59">
        <f ca="1">AVERAGE(OFFSET($BH$3,0,0,'Données projet'!$E$11+1,1))-AVERAGE(OFFSET($H$3,0,0,'Données projet'!$E$11+1,1))</f>
        <v>211.98817606983374</v>
      </c>
      <c r="BJ68" s="59">
        <f t="shared" si="38"/>
        <v>154.0840647586964</v>
      </c>
      <c r="BK68" s="15">
        <f>IF(ISNA(VLOOKUP(A68,'Données projet'!$A$87:$I$107,3,0)),0,VLOOKUP(A68,'Données projet'!$A$87:$I$107,3,0))</f>
        <v>8</v>
      </c>
      <c r="BL68" s="15">
        <f>IF(ISNA(VLOOKUP(A68,'Données projet'!$A$87:$I$107,4,0)),0,VLOOKUP(A68,'Données projet'!$A$87:$I$107,4,0))</f>
        <v>10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124</v>
      </c>
      <c r="BW68" s="12">
        <f>VLOOKUP(A68,'Données projet'!$A$113:$I$133,9,0)</f>
        <v>3.8</v>
      </c>
      <c r="BX68" s="12">
        <f t="array" ref="BX68">INDEX(BW:BW,MIN(IF(ISNUMBER(BW68:BW264),ROW(BW68:BW264),"")))</f>
        <v>3.8</v>
      </c>
      <c r="BY68" s="12">
        <f>IF('Données projet'!$A$114&gt;35,BY67+BX68-CG67,IF(A68&lt;'Données projet'!$A$114,$BV$205^A68,IF(A68='Données projet'!$A$114,'Données projet'!$B$114,BY67+BX68-CG67)))</f>
        <v>123.99999999999994</v>
      </c>
      <c r="BZ68" s="13">
        <f>BY68*VLOOKUP('Données projet'!$B$12,Paramètres!$A$1:$I$89,3,0)*VLOOKUP('Données projet'!$B$12,Paramètres!$A$1:$I$89,5,0)</f>
        <v>133.47359999999995</v>
      </c>
      <c r="CA68" s="13">
        <f t="shared" si="39"/>
        <v>34.797770344180101</v>
      </c>
      <c r="CB68" s="20">
        <f t="shared" ref="CB68:CB131" si="64">(BZ68+CA68)*0.475*44/12</f>
        <v>293.07263668278023</v>
      </c>
      <c r="CC68" s="59">
        <f t="shared" ref="CC68:CC131" si="65">CB68+(BT68+BU68)*44/12</f>
        <v>586.40597001611354</v>
      </c>
      <c r="CD68" s="59">
        <f ca="1">AVERAGE(OFFSET($CC$3,0,0,'Données projet'!$E$12+1,1))-AVERAGE(OFFSET($H$3,0,0,'Données projet'!$E$12+1,1))</f>
        <v>231.89176215692947</v>
      </c>
      <c r="CE68" s="59">
        <f t="shared" si="40"/>
        <v>166.97658184507787</v>
      </c>
      <c r="CF68" s="15">
        <f>IF(ISNA(VLOOKUP(A68,'Données projet'!$A$113:$I$133,3,0)),0,VLOOKUP(A68,'Données projet'!$A$113:$I$133,3,0))</f>
        <v>8</v>
      </c>
      <c r="CG68" s="15">
        <f>IF(ISNA(VLOOKUP(A68,'Données projet'!$A$113:$I$133,4,0)),0,VLOOKUP(A68,'Données projet'!$A$113:$I$133,4,0))</f>
        <v>10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4.5333333333333332</v>
      </c>
      <c r="CT68" s="12">
        <f>IF('Données projet'!$A$140&gt;35,CT67+CS68-DB67,IF(A68&lt;'Données projet'!$A$140,$CQ$205^A68,IF(A68='Données projet'!$A$140,'Données projet'!$B$140,CT67+CS68-DB67)))</f>
        <v>240.66666666666674</v>
      </c>
      <c r="CU68" s="17">
        <f>CT68*VLOOKUP('Données projet'!$B$13,Paramètres!$A$1:$I$89,3,0)*VLOOKUP('Données projet'!$B$13,Paramètres!$A$1:$I$89,5,0)</f>
        <v>187.72000000000006</v>
      </c>
      <c r="CV68" s="13">
        <f t="shared" si="41"/>
        <v>47.035523594581932</v>
      </c>
      <c r="CW68" s="20">
        <f t="shared" ref="CW68:CW131" si="67">(CU68+CV68)*0.475*44/12</f>
        <v>408.86587026056355</v>
      </c>
      <c r="CX68" s="59">
        <f t="shared" ref="CX68:CX131" si="68">CW68+(CO68+CP68)*44/12</f>
        <v>702.19920359389687</v>
      </c>
      <c r="CY68" s="59">
        <f ca="1">AVERAGE(OFFSET($CX$3,0,0,'Données projet'!$E$13+1,1))-AVERAGE(OFFSET($H$3,0,0,'Données projet'!$E$13+1,1))</f>
        <v>274.37717856763146</v>
      </c>
      <c r="CZ68" s="59">
        <f t="shared" si="42"/>
        <v>264.17357326498581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1.1493935386687636E-4</v>
      </c>
      <c r="DI68" s="22">
        <f t="shared" ref="DI68:DI131" si="69">SUM(DF68:DH68)</f>
        <v>1.1493935386687636E-4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206.85599999999991</v>
      </c>
      <c r="DQ68" s="13">
        <f t="shared" si="43"/>
        <v>51.247940588293027</v>
      </c>
      <c r="DR68" s="20">
        <f t="shared" ref="DR68:DR131" si="70">(DP68+DQ68)*0.475*44/12</f>
        <v>449.53102985794345</v>
      </c>
      <c r="DS68" s="59">
        <f t="shared" ref="DS68:DS131" si="71">DR68+(DJ68+DK68)*44/12</f>
        <v>742.86436319127677</v>
      </c>
      <c r="DT68" s="59">
        <f ca="1">AVERAGE(OFFSET($DS$3,0,0,'Données projet'!$E$14+1,1))-AVERAGE(OFFSET($H$3,0,0,'Données projet'!$E$14+1,1))</f>
        <v>304.26232113495314</v>
      </c>
      <c r="DU68" s="59">
        <f t="shared" si="44"/>
        <v>297.47246687305056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0.26500000000000001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0.3</v>
      </c>
      <c r="EA68" s="21">
        <f>EXP(-LN(2)/35)*EA67+(1-EXP(-LN(2)/35))/(LN(2)/35)*DW68*DX68*VLOOKUP('Données projet'!$B$14,Paramètres!$A$1:$I$89,3,0)*0.475*44/12</f>
        <v>12.454227809679145</v>
      </c>
      <c r="EB68" s="21">
        <f>EXP(-LN(2)/25)*EB67+(1-EXP(-LN(2)/25))/(LN(2)/25)*Calculateur!DW68*Calculateur!DY68*VLOOKUP('Données projet'!$B$14,Paramètres!$A$1:$I$89,3,0)*0.475*44/12</f>
        <v>4.3820322133552807</v>
      </c>
      <c r="EC68" s="21">
        <f>EXP(-LN(2)/2)*EC67+(1-EXP(-LN(2)/2))/(LN(2)/2)*DW68*DZ68*VLOOKUP('Données projet'!$B$14,Paramètres!$A$1:$I$89,3,0)*0.475*44/12</f>
        <v>3.1428571478699241</v>
      </c>
      <c r="ED68" s="22">
        <f t="shared" ref="ED68:ED131" si="72">SUM(EA68:EC68)</f>
        <v>19.979117170904352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344.4940855044307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2.919782222794628E-5</v>
      </c>
      <c r="AC69" s="22">
        <f t="shared" si="57"/>
        <v>2.919782222794628E-5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6.6</v>
      </c>
      <c r="AI69" s="13">
        <f>IF('Données projet'!$A$62&gt;35,AI68+AH69-AQ68,IF(A69&lt;'Données projet'!$A$62,$AF$205^A69,IF(A69='Données projet'!$A$62,'Données projet'!$B$62,AI68+AH69-AQ68)))</f>
        <v>196.59999999999991</v>
      </c>
      <c r="AJ69" s="13">
        <f>AI69*VLOOKUP('Données projet'!$B$10,Paramètres!$A$1:$I$89,3,0)*VLOOKUP('Données projet'!$B$10,Paramètres!$A$1:$I$89,5,0)</f>
        <v>131.87927999999994</v>
      </c>
      <c r="AK69" s="13">
        <f t="shared" ref="AK69:AK132" si="89">EXP(-1.0587+0.8836*LN(AJ69)+0.284)</f>
        <v>34.430242365301694</v>
      </c>
      <c r="AL69" s="20">
        <f t="shared" si="58"/>
        <v>289.65575145290035</v>
      </c>
      <c r="AM69" s="59">
        <f t="shared" si="59"/>
        <v>582.98908478623366</v>
      </c>
      <c r="AN69" s="59">
        <f ca="1">AVERAGE(OFFSET($AM$3,0,0,'Données projet'!$E$10+1,1))-AVERAGE(OFFSET($H$3,0,0,'Données projet'!$E$10+1,1))</f>
        <v>246.71489737733248</v>
      </c>
      <c r="AO69" s="59">
        <f t="shared" ref="AO69:AO132" si="90">$AO$3</f>
        <v>185.03615139960783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3.6</v>
      </c>
      <c r="BD69" s="12">
        <f>IF('Données projet'!$A$88&gt;35,BD68+BC69-BL68,IF(A69&lt;'Données projet'!$A$88,$BA$205^A69,IF(A69='Données projet'!$A$88,'Données projet'!$B$88,BD68+BC69-BL68)))</f>
        <v>117.59999999999994</v>
      </c>
      <c r="BE69" s="13">
        <f>BD69*VLOOKUP('Données projet'!$B$11,Paramètres!$A$1:$I$89,3,0)*VLOOKUP('Données projet'!$B$11,Paramètres!$A$1:$I$89,5,0)</f>
        <v>113.74271999999995</v>
      </c>
      <c r="BF69" s="13">
        <f t="shared" ref="BF69:BF132" si="91">EXP(-1.0587+0.8836*LN(BE69)+0.284)</f>
        <v>30.211074114233345</v>
      </c>
      <c r="BG69" s="20">
        <f t="shared" si="61"/>
        <v>250.71952474895633</v>
      </c>
      <c r="BH69" s="59">
        <f t="shared" si="62"/>
        <v>544.05285808228962</v>
      </c>
      <c r="BI69" s="59">
        <f ca="1">AVERAGE(OFFSET($BH$3,0,0,'Données projet'!$E$11+1,1))-AVERAGE(OFFSET($H$3,0,0,'Données projet'!$E$11+1,1))</f>
        <v>211.98817606983374</v>
      </c>
      <c r="BJ69" s="59">
        <f t="shared" ref="BJ69:BJ132" si="92">$BJ$3</f>
        <v>154.0840647586964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3.6</v>
      </c>
      <c r="BY69" s="12">
        <f>IF('Données projet'!$A$114&gt;35,BY68+BX69-CG68,IF(A69&lt;'Données projet'!$A$114,$BV$205^A69,IF(A69='Données projet'!$A$114,'Données projet'!$B$114,BY68+BX69-CG68)))</f>
        <v>117.59999999999994</v>
      </c>
      <c r="BZ69" s="13">
        <f>BY69*VLOOKUP('Données projet'!$B$12,Paramètres!$A$1:$I$89,3,0)*VLOOKUP('Données projet'!$B$12,Paramètres!$A$1:$I$89,5,0)</f>
        <v>126.58463999999992</v>
      </c>
      <c r="CA69" s="13">
        <f t="shared" ref="CA69:CA132" si="93">EXP(-1.0587+0.8836*LN(BZ69)+0.284)</f>
        <v>33.205951254973776</v>
      </c>
      <c r="CB69" s="20">
        <f t="shared" si="64"/>
        <v>278.30194643574583</v>
      </c>
      <c r="CC69" s="59">
        <f t="shared" si="65"/>
        <v>571.63527976907915</v>
      </c>
      <c r="CD69" s="59">
        <f ca="1">AVERAGE(OFFSET($CC$3,0,0,'Données projet'!$E$12+1,1))-AVERAGE(OFFSET($H$3,0,0,'Données projet'!$E$12+1,1))</f>
        <v>231.89176215692947</v>
      </c>
      <c r="CE69" s="59">
        <f t="shared" ref="CE69:CE132" si="94">$CE$3</f>
        <v>166.97658184507787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4.5333333333333332</v>
      </c>
      <c r="CT69" s="12">
        <f>IF('Données projet'!$A$140&gt;35,CT68+CS69-DB68,IF(A69&lt;'Données projet'!$A$140,$CQ$205^A69,IF(A69='Données projet'!$A$140,'Données projet'!$B$140,CT68+CS69-DB68)))</f>
        <v>245.20000000000007</v>
      </c>
      <c r="CU69" s="17">
        <f>CT69*VLOOKUP('Données projet'!$B$13,Paramètres!$A$1:$I$89,3,0)*VLOOKUP('Données projet'!$B$13,Paramètres!$A$1:$I$89,5,0)</f>
        <v>191.25600000000006</v>
      </c>
      <c r="CV69" s="13">
        <f t="shared" ref="CV69:CV132" si="95">EXP(-1.0587+0.8836*LN(CU69)+0.284)</f>
        <v>47.817530046160755</v>
      </c>
      <c r="CW69" s="20">
        <f t="shared" si="67"/>
        <v>416.38639816373006</v>
      </c>
      <c r="CX69" s="59">
        <f t="shared" si="68"/>
        <v>709.71973149706332</v>
      </c>
      <c r="CY69" s="59">
        <f ca="1">AVERAGE(OFFSET($CX$3,0,0,'Données projet'!$E$13+1,1))-AVERAGE(OFFSET($H$3,0,0,'Données projet'!$E$13+1,1))</f>
        <v>274.37717856763146</v>
      </c>
      <c r="CZ69" s="59">
        <f t="shared" ref="CZ69:CZ132" si="96">$CZ$3</f>
        <v>264.17357326498581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8.1274396544468507E-5</v>
      </c>
      <c r="DI69" s="22">
        <f t="shared" si="69"/>
        <v>8.1274396544468507E-5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201.01535999999987</v>
      </c>
      <c r="DQ69" s="13">
        <f t="shared" ref="DQ69:DQ132" si="97">EXP(-1.0587+0.8836*LN(DP69)+0.284)</f>
        <v>49.96724731300592</v>
      </c>
      <c r="DR69" s="20">
        <f t="shared" si="70"/>
        <v>437.12804107015171</v>
      </c>
      <c r="DS69" s="59">
        <f t="shared" si="71"/>
        <v>730.46137440348502</v>
      </c>
      <c r="DT69" s="59">
        <f ca="1">AVERAGE(OFFSET($DS$3,0,0,'Données projet'!$E$14+1,1))-AVERAGE(OFFSET($H$3,0,0,'Données projet'!$E$14+1,1))</f>
        <v>304.26232113495314</v>
      </c>
      <c r="DU69" s="59">
        <f t="shared" ref="DU69:DU132" si="98">$DU$3</f>
        <v>297.47246687305056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12.210007998660226</v>
      </c>
      <c r="EB69" s="21">
        <f>EXP(-LN(2)/25)*EB68+(1-EXP(-LN(2)/25))/(LN(2)/25)*Calculateur!DW69*Calculateur!DY69*VLOOKUP('Données projet'!$B$14,Paramètres!$A$1:$I$89,3,0)*0.475*44/12</f>
        <v>4.2622053120400221</v>
      </c>
      <c r="EC69" s="21">
        <f>EXP(-LN(2)/2)*EC68+(1-EXP(-LN(2)/2))/(LN(2)/2)*DW69*DZ69*VLOOKUP('Données projet'!$B$14,Paramètres!$A$1:$I$89,3,0)*0.475*44/12</f>
        <v>2.2223356015594353</v>
      </c>
      <c r="ED69" s="22">
        <f t="shared" si="72"/>
        <v>18.694548912259684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344.4940855044307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2.0645978093260125E-5</v>
      </c>
      <c r="AC70" s="22">
        <f t="shared" si="57"/>
        <v>2.0645978093260125E-5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6.6</v>
      </c>
      <c r="AI70" s="13">
        <f>IF('Données projet'!$A$62&gt;35,AI69+AH70-AQ69,IF(A70&lt;'Données projet'!$A$62,$AF$205^A70,IF(A70='Données projet'!$A$62,'Données projet'!$B$62,AI69+AH70-AQ69)))</f>
        <v>203.1999999999999</v>
      </c>
      <c r="AJ70" s="13">
        <f>AI70*VLOOKUP('Données projet'!$B$10,Paramètres!$A$1:$I$89,3,0)*VLOOKUP('Données projet'!$B$10,Paramètres!$A$1:$I$89,5,0)</f>
        <v>136.30655999999993</v>
      </c>
      <c r="AK70" s="13">
        <f t="shared" si="89"/>
        <v>35.44957818198737</v>
      </c>
      <c r="AL70" s="20">
        <f t="shared" si="58"/>
        <v>299.14194066696115</v>
      </c>
      <c r="AM70" s="59">
        <f t="shared" si="59"/>
        <v>592.47527400029446</v>
      </c>
      <c r="AN70" s="59">
        <f ca="1">AVERAGE(OFFSET($AM$3,0,0,'Données projet'!$E$10+1,1))-AVERAGE(OFFSET($H$3,0,0,'Données projet'!$E$10+1,1))</f>
        <v>246.71489737733248</v>
      </c>
      <c r="AO70" s="59">
        <f t="shared" si="90"/>
        <v>185.03615139960783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3.6</v>
      </c>
      <c r="BD70" s="12">
        <f>IF('Données projet'!$A$88&gt;35,BD69+BC70-BL69,IF(A70&lt;'Données projet'!$A$88,$BA$205^A70,IF(A70='Données projet'!$A$88,'Données projet'!$B$88,BD69+BC70-BL69)))</f>
        <v>121.19999999999993</v>
      </c>
      <c r="BE70" s="13">
        <f>BD70*VLOOKUP('Données projet'!$B$11,Paramètres!$A$1:$I$89,3,0)*VLOOKUP('Données projet'!$B$11,Paramètres!$A$1:$I$89,5,0)</f>
        <v>117.22463999999995</v>
      </c>
      <c r="BF70" s="13">
        <f t="shared" si="91"/>
        <v>31.026813250993953</v>
      </c>
      <c r="BG70" s="20">
        <f t="shared" si="61"/>
        <v>258.20461441214769</v>
      </c>
      <c r="BH70" s="59">
        <f t="shared" si="62"/>
        <v>551.53794774548101</v>
      </c>
      <c r="BI70" s="59">
        <f ca="1">AVERAGE(OFFSET($BH$3,0,0,'Données projet'!$E$11+1,1))-AVERAGE(OFFSET($H$3,0,0,'Données projet'!$E$11+1,1))</f>
        <v>211.98817606983374</v>
      </c>
      <c r="BJ70" s="59">
        <f t="shared" si="92"/>
        <v>154.0840647586964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3.6</v>
      </c>
      <c r="BY70" s="12">
        <f>IF('Données projet'!$A$114&gt;35,BY69+BX70-CG69,IF(A70&lt;'Données projet'!$A$114,$BV$205^A70,IF(A70='Données projet'!$A$114,'Données projet'!$B$114,BY69+BX70-CG69)))</f>
        <v>121.19999999999993</v>
      </c>
      <c r="BZ70" s="13">
        <f>BY70*VLOOKUP('Données projet'!$B$12,Paramètres!$A$1:$I$89,3,0)*VLOOKUP('Données projet'!$B$12,Paramètres!$A$1:$I$89,5,0)</f>
        <v>130.45967999999991</v>
      </c>
      <c r="CA70" s="13">
        <f t="shared" si="93"/>
        <v>34.102556053254865</v>
      </c>
      <c r="CB70" s="20">
        <f t="shared" si="64"/>
        <v>286.61256112608538</v>
      </c>
      <c r="CC70" s="59">
        <f t="shared" si="65"/>
        <v>579.9458944594187</v>
      </c>
      <c r="CD70" s="59">
        <f ca="1">AVERAGE(OFFSET($CC$3,0,0,'Données projet'!$E$12+1,1))-AVERAGE(OFFSET($H$3,0,0,'Données projet'!$E$12+1,1))</f>
        <v>231.89176215692947</v>
      </c>
      <c r="CE70" s="59">
        <f t="shared" si="94"/>
        <v>166.97658184507787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4.5333333333333332</v>
      </c>
      <c r="CT70" s="12">
        <f>IF('Données projet'!$A$140&gt;35,CT69+CS70-DB69,IF(A70&lt;'Données projet'!$A$140,$CQ$205^A70,IF(A70='Données projet'!$A$140,'Données projet'!$B$140,CT69+CS70-DB69)))</f>
        <v>249.73333333333341</v>
      </c>
      <c r="CU70" s="17">
        <f>CT70*VLOOKUP('Données projet'!$B$13,Paramètres!$A$1:$I$89,3,0)*VLOOKUP('Données projet'!$B$13,Paramètres!$A$1:$I$89,5,0)</f>
        <v>194.79200000000006</v>
      </c>
      <c r="CV70" s="13">
        <f t="shared" si="95"/>
        <v>48.597855297532178</v>
      </c>
      <c r="CW70" s="20">
        <f t="shared" si="67"/>
        <v>423.90399797653527</v>
      </c>
      <c r="CX70" s="59">
        <f t="shared" si="68"/>
        <v>717.23733130986852</v>
      </c>
      <c r="CY70" s="59">
        <f ca="1">AVERAGE(OFFSET($CX$3,0,0,'Données projet'!$E$13+1,1))-AVERAGE(OFFSET($H$3,0,0,'Données projet'!$E$13+1,1))</f>
        <v>274.37717856763146</v>
      </c>
      <c r="CZ70" s="59">
        <f t="shared" si="96"/>
        <v>264.17357326498581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5.7469676933438193E-5</v>
      </c>
      <c r="DI70" s="22">
        <f t="shared" si="69"/>
        <v>5.7469676933438193E-5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204.0979199999999</v>
      </c>
      <c r="DQ70" s="13">
        <f t="shared" si="97"/>
        <v>50.643700651523019</v>
      </c>
      <c r="DR70" s="20">
        <f t="shared" si="70"/>
        <v>443.67498930140238</v>
      </c>
      <c r="DS70" s="59">
        <f t="shared" si="71"/>
        <v>737.00832263473569</v>
      </c>
      <c r="DT70" s="59">
        <f ca="1">AVERAGE(OFFSET($DS$3,0,0,'Données projet'!$E$14+1,1))-AVERAGE(OFFSET($H$3,0,0,'Données projet'!$E$14+1,1))</f>
        <v>304.26232113495314</v>
      </c>
      <c r="DU70" s="59">
        <f t="shared" si="98"/>
        <v>297.47246687305056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11.97057718917601</v>
      </c>
      <c r="EB70" s="21">
        <f>EXP(-LN(2)/25)*EB69+(1-EXP(-LN(2)/25))/(LN(2)/25)*Calculateur!DW70*Calculateur!DY70*VLOOKUP('Données projet'!$B$14,Paramètres!$A$1:$I$89,3,0)*0.475*44/12</f>
        <v>4.1456550836426516</v>
      </c>
      <c r="EC70" s="21">
        <f>EXP(-LN(2)/2)*EC69+(1-EXP(-LN(2)/2))/(LN(2)/2)*DW70*DZ70*VLOOKUP('Données projet'!$B$14,Paramètres!$A$1:$I$89,3,0)*0.475*44/12</f>
        <v>1.5714285739349623</v>
      </c>
      <c r="ED70" s="22">
        <f t="shared" si="72"/>
        <v>17.687660846753626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344.4940855044307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1.4598911113973142E-5</v>
      </c>
      <c r="AC71" s="22">
        <f t="shared" si="57"/>
        <v>1.4598911113973142E-5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6.6</v>
      </c>
      <c r="AI71" s="13">
        <f>IF('Données projet'!$A$62&gt;35,AI70+AH71-AQ70,IF(A71&lt;'Données projet'!$A$62,$AF$205^A71,IF(A71='Données projet'!$A$62,'Données projet'!$B$62,AI70+AH71-AQ70)))</f>
        <v>209.7999999999999</v>
      </c>
      <c r="AJ71" s="13">
        <f>AI71*VLOOKUP('Données projet'!$B$10,Paramètres!$A$1:$I$89,3,0)*VLOOKUP('Données projet'!$B$10,Paramètres!$A$1:$I$89,5,0)</f>
        <v>140.73383999999993</v>
      </c>
      <c r="AK71" s="13">
        <f t="shared" si="89"/>
        <v>36.465066748163046</v>
      </c>
      <c r="AL71" s="20">
        <f t="shared" si="58"/>
        <v>308.62142925305051</v>
      </c>
      <c r="AM71" s="59">
        <f t="shared" si="59"/>
        <v>601.95476258638382</v>
      </c>
      <c r="AN71" s="59">
        <f ca="1">AVERAGE(OFFSET($AM$3,0,0,'Données projet'!$E$10+1,1))-AVERAGE(OFFSET($H$3,0,0,'Données projet'!$E$10+1,1))</f>
        <v>246.71489737733248</v>
      </c>
      <c r="AO71" s="59">
        <f t="shared" si="90"/>
        <v>185.03615139960783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3.6</v>
      </c>
      <c r="BD71" s="12">
        <f>IF('Données projet'!$A$88&gt;35,BD70+BC71-BL70,IF(A71&lt;'Données projet'!$A$88,$BA$205^A71,IF(A71='Données projet'!$A$88,'Données projet'!$B$88,BD70+BC71-BL70)))</f>
        <v>124.79999999999993</v>
      </c>
      <c r="BE71" s="13">
        <f>BD71*VLOOKUP('Données projet'!$B$11,Paramètres!$A$1:$I$89,3,0)*VLOOKUP('Données projet'!$B$11,Paramètres!$A$1:$I$89,5,0)</f>
        <v>120.70655999999993</v>
      </c>
      <c r="BF71" s="13">
        <f t="shared" si="91"/>
        <v>31.839736462736809</v>
      </c>
      <c r="BG71" s="20">
        <f t="shared" si="61"/>
        <v>265.68479967259981</v>
      </c>
      <c r="BH71" s="59">
        <f t="shared" si="62"/>
        <v>559.01813300593312</v>
      </c>
      <c r="BI71" s="59">
        <f ca="1">AVERAGE(OFFSET($BH$3,0,0,'Données projet'!$E$11+1,1))-AVERAGE(OFFSET($H$3,0,0,'Données projet'!$E$11+1,1))</f>
        <v>211.98817606983374</v>
      </c>
      <c r="BJ71" s="59">
        <f t="shared" si="92"/>
        <v>154.0840647586964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3.6</v>
      </c>
      <c r="BY71" s="12">
        <f>IF('Données projet'!$A$114&gt;35,BY70+BX71-CG70,IF(A71&lt;'Données projet'!$A$114,$BV$205^A71,IF(A71='Données projet'!$A$114,'Données projet'!$B$114,BY70+BX71-CG70)))</f>
        <v>124.79999999999993</v>
      </c>
      <c r="BZ71" s="13">
        <f>BY71*VLOOKUP('Données projet'!$B$12,Paramètres!$A$1:$I$89,3,0)*VLOOKUP('Données projet'!$B$12,Paramètres!$A$1:$I$89,5,0)</f>
        <v>134.33471999999992</v>
      </c>
      <c r="CA71" s="13">
        <f t="shared" si="93"/>
        <v>34.996065778897268</v>
      </c>
      <c r="CB71" s="20">
        <f t="shared" si="64"/>
        <v>294.91778523157927</v>
      </c>
      <c r="CC71" s="59">
        <f t="shared" si="65"/>
        <v>588.25111856491253</v>
      </c>
      <c r="CD71" s="59">
        <f ca="1">AVERAGE(OFFSET($CC$3,0,0,'Données projet'!$E$12+1,1))-AVERAGE(OFFSET($H$3,0,0,'Données projet'!$E$12+1,1))</f>
        <v>231.89176215692947</v>
      </c>
      <c r="CE71" s="59">
        <f t="shared" si="94"/>
        <v>166.97658184507787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4.5333333333333332</v>
      </c>
      <c r="CT71" s="12">
        <f>IF('Données projet'!$A$140&gt;35,CT70+CS71-DB70,IF(A71&lt;'Données projet'!$A$140,$CQ$205^A71,IF(A71='Données projet'!$A$140,'Données projet'!$B$140,CT70+CS71-DB70)))</f>
        <v>254.26666666666674</v>
      </c>
      <c r="CU71" s="17">
        <f>CT71*VLOOKUP('Données projet'!$B$13,Paramètres!$A$1:$I$89,3,0)*VLOOKUP('Données projet'!$B$13,Paramètres!$A$1:$I$89,5,0)</f>
        <v>198.32800000000006</v>
      </c>
      <c r="CV71" s="13">
        <f t="shared" si="95"/>
        <v>49.376533387144718</v>
      </c>
      <c r="CW71" s="20">
        <f t="shared" si="67"/>
        <v>431.41872898261045</v>
      </c>
      <c r="CX71" s="59">
        <f t="shared" si="68"/>
        <v>724.7520623159437</v>
      </c>
      <c r="CY71" s="59">
        <f ca="1">AVERAGE(OFFSET($CX$3,0,0,'Données projet'!$E$13+1,1))-AVERAGE(OFFSET($H$3,0,0,'Données projet'!$E$13+1,1))</f>
        <v>274.37717856763146</v>
      </c>
      <c r="CZ71" s="59">
        <f t="shared" si="96"/>
        <v>264.17357326498581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4.063719827223426E-5</v>
      </c>
      <c r="DI71" s="22">
        <f t="shared" si="69"/>
        <v>4.063719827223426E-5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207.1804799999999</v>
      </c>
      <c r="DQ71" s="13">
        <f t="shared" si="97"/>
        <v>51.318965762681508</v>
      </c>
      <c r="DR71" s="20">
        <f t="shared" si="70"/>
        <v>450.21986803667011</v>
      </c>
      <c r="DS71" s="59">
        <f t="shared" si="71"/>
        <v>743.55320137000342</v>
      </c>
      <c r="DT71" s="59">
        <f ca="1">AVERAGE(OFFSET($DS$3,0,0,'Données projet'!$E$14+1,1))-AVERAGE(OFFSET($H$3,0,0,'Données projet'!$E$14+1,1))</f>
        <v>304.26232113495314</v>
      </c>
      <c r="DU71" s="59">
        <f t="shared" si="98"/>
        <v>297.47246687305056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11.735841471827408</v>
      </c>
      <c r="EB71" s="21">
        <f>EXP(-LN(2)/25)*EB70+(1-EXP(-LN(2)/25))/(LN(2)/25)*Calculateur!DW71*Calculateur!DY71*VLOOKUP('Données projet'!$B$14,Paramètres!$A$1:$I$89,3,0)*0.475*44/12</f>
        <v>4.0322919273699176</v>
      </c>
      <c r="EC71" s="21">
        <f>EXP(-LN(2)/2)*EC70+(1-EXP(-LN(2)/2))/(LN(2)/2)*DW71*DZ71*VLOOKUP('Données projet'!$B$14,Paramètres!$A$1:$I$89,3,0)*0.475*44/12</f>
        <v>1.1111678007797179</v>
      </c>
      <c r="ED71" s="22">
        <f t="shared" si="72"/>
        <v>16.879301199977043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231.62880000000021</v>
      </c>
      <c r="P72" s="13">
        <f t="shared" si="87"/>
        <v>56.63472139815827</v>
      </c>
      <c r="Q72" s="20">
        <f t="shared" si="54"/>
        <v>502.05896643512602</v>
      </c>
      <c r="R72" s="59">
        <f t="shared" si="55"/>
        <v>795.39229976845934</v>
      </c>
      <c r="S72" s="59">
        <f ca="1">AVERAGE(OFFSET($R$3,0,0,'Données projet'!$E$9+1,1))-AVERAGE(OFFSET($H$3,0,0,'Données projet'!$E$9+1,1))</f>
        <v>344.4940855044307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1.0322989046630064E-5</v>
      </c>
      <c r="AC72" s="22">
        <f t="shared" si="57"/>
        <v>1.0322989046630064E-5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6.6</v>
      </c>
      <c r="AI72" s="13">
        <f>IF('Données projet'!$A$62&gt;35,AI71+AH72-AQ71,IF(A72&lt;'Données projet'!$A$62,$AF$205^A72,IF(A72='Données projet'!$A$62,'Données projet'!$B$62,AI71+AH72-AQ71)))</f>
        <v>216.39999999999989</v>
      </c>
      <c r="AJ72" s="13">
        <f>AI72*VLOOKUP('Données projet'!$B$10,Paramètres!$A$1:$I$89,3,0)*VLOOKUP('Données projet'!$B$10,Paramètres!$A$1:$I$89,5,0)</f>
        <v>145.16111999999993</v>
      </c>
      <c r="AK72" s="13">
        <f t="shared" si="89"/>
        <v>37.476842978516544</v>
      </c>
      <c r="AL72" s="20">
        <f t="shared" si="58"/>
        <v>318.09445218758282</v>
      </c>
      <c r="AM72" s="59">
        <f t="shared" si="59"/>
        <v>611.42778552091613</v>
      </c>
      <c r="AN72" s="59">
        <f ca="1">AVERAGE(OFFSET($AM$3,0,0,'Données projet'!$E$10+1,1))-AVERAGE(OFFSET($H$3,0,0,'Données projet'!$E$10+1,1))</f>
        <v>246.71489737733248</v>
      </c>
      <c r="AO72" s="59">
        <f t="shared" si="90"/>
        <v>185.03615139960783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3.6</v>
      </c>
      <c r="BD72" s="12">
        <f>IF('Données projet'!$A$88&gt;35,BD71+BC72-BL71,IF(A72&lt;'Données projet'!$A$88,$BA$205^A72,IF(A72='Données projet'!$A$88,'Données projet'!$B$88,BD71+BC72-BL71)))</f>
        <v>128.39999999999992</v>
      </c>
      <c r="BE72" s="13">
        <f>BD72*VLOOKUP('Données projet'!$B$11,Paramètres!$A$1:$I$89,3,0)*VLOOKUP('Données projet'!$B$11,Paramètres!$A$1:$I$89,5,0)</f>
        <v>124.18847999999993</v>
      </c>
      <c r="BF72" s="13">
        <f t="shared" si="91"/>
        <v>32.64993430645783</v>
      </c>
      <c r="BG72" s="20">
        <f t="shared" si="61"/>
        <v>273.16023825041395</v>
      </c>
      <c r="BH72" s="59">
        <f t="shared" si="62"/>
        <v>566.49357158374733</v>
      </c>
      <c r="BI72" s="59">
        <f ca="1">AVERAGE(OFFSET($BH$3,0,0,'Données projet'!$E$11+1,1))-AVERAGE(OFFSET($H$3,0,0,'Données projet'!$E$11+1,1))</f>
        <v>211.98817606983374</v>
      </c>
      <c r="BJ72" s="59">
        <f t="shared" si="92"/>
        <v>154.0840647586964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3.6</v>
      </c>
      <c r="BY72" s="12">
        <f>IF('Données projet'!$A$114&gt;35,BY71+BX72-CG71,IF(A72&lt;'Données projet'!$A$114,$BV$205^A72,IF(A72='Données projet'!$A$114,'Données projet'!$B$114,BY71+BX72-CG71)))</f>
        <v>128.39999999999992</v>
      </c>
      <c r="BZ72" s="13">
        <f>BY72*VLOOKUP('Données projet'!$B$12,Paramètres!$A$1:$I$89,3,0)*VLOOKUP('Données projet'!$B$12,Paramètres!$A$1:$I$89,5,0)</f>
        <v>138.2097599999999</v>
      </c>
      <c r="CA72" s="13">
        <f t="shared" si="93"/>
        <v>35.886579965971777</v>
      </c>
      <c r="CB72" s="20">
        <f t="shared" si="64"/>
        <v>303.21779210740067</v>
      </c>
      <c r="CC72" s="59">
        <f t="shared" si="65"/>
        <v>596.55112544073404</v>
      </c>
      <c r="CD72" s="59">
        <f ca="1">AVERAGE(OFFSET($CC$3,0,0,'Données projet'!$E$12+1,1))-AVERAGE(OFFSET($H$3,0,0,'Données projet'!$E$12+1,1))</f>
        <v>231.89176215692947</v>
      </c>
      <c r="CE72" s="59">
        <f t="shared" si="94"/>
        <v>166.97658184507787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4.5333333333333332</v>
      </c>
      <c r="CT72" s="12">
        <f>IF('Données projet'!$A$140&gt;35,CT71+CS72-DB71,IF(A72&lt;'Données projet'!$A$140,$CQ$205^A72,IF(A72='Données projet'!$A$140,'Données projet'!$B$140,CT71+CS72-DB71)))</f>
        <v>258.80000000000007</v>
      </c>
      <c r="CU72" s="17">
        <f>CT72*VLOOKUP('Données projet'!$B$13,Paramètres!$A$1:$I$89,3,0)*VLOOKUP('Données projet'!$B$13,Paramètres!$A$1:$I$89,5,0)</f>
        <v>201.86400000000006</v>
      </c>
      <c r="CV72" s="13">
        <f t="shared" si="95"/>
        <v>50.15359707018861</v>
      </c>
      <c r="CW72" s="20">
        <f t="shared" si="67"/>
        <v>438.93064823057858</v>
      </c>
      <c r="CX72" s="59">
        <f t="shared" si="68"/>
        <v>732.2639815639119</v>
      </c>
      <c r="CY72" s="59">
        <f ca="1">AVERAGE(OFFSET($CX$3,0,0,'Données projet'!$E$13+1,1))-AVERAGE(OFFSET($H$3,0,0,'Données projet'!$E$13+1,1))</f>
        <v>274.37717856763146</v>
      </c>
      <c r="CZ72" s="59">
        <f t="shared" si="96"/>
        <v>264.17357326498581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2.87348384667191E-5</v>
      </c>
      <c r="DI72" s="22">
        <f t="shared" si="69"/>
        <v>2.87348384667191E-5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210.2630399999999</v>
      </c>
      <c r="DQ72" s="13">
        <f t="shared" si="97"/>
        <v>51.993062367907982</v>
      </c>
      <c r="DR72" s="20">
        <f t="shared" si="70"/>
        <v>456.7627116241062</v>
      </c>
      <c r="DS72" s="59">
        <f t="shared" si="71"/>
        <v>750.09604495743952</v>
      </c>
      <c r="DT72" s="59">
        <f ca="1">AVERAGE(OFFSET($DS$3,0,0,'Données projet'!$E$14+1,1))-AVERAGE(OFFSET($H$3,0,0,'Données projet'!$E$14+1,1))</f>
        <v>304.26232113495314</v>
      </c>
      <c r="DU72" s="59">
        <f t="shared" si="98"/>
        <v>297.47246687305056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11.505708778721361</v>
      </c>
      <c r="EB72" s="21">
        <f>EXP(-LN(2)/25)*EB71+(1-EXP(-LN(2)/25))/(LN(2)/25)*Calculateur!DW72*Calculateur!DY72*VLOOKUP('Données projet'!$B$14,Paramètres!$A$1:$I$89,3,0)*0.475*44/12</f>
        <v>3.9220286925669705</v>
      </c>
      <c r="EC72" s="21">
        <f>EXP(-LN(2)/2)*EC71+(1-EXP(-LN(2)/2))/(LN(2)/2)*DW72*DZ72*VLOOKUP('Données projet'!$B$14,Paramètres!$A$1:$I$89,3,0)*0.475*44/12</f>
        <v>0.78571428696748125</v>
      </c>
      <c r="ED72" s="22">
        <f t="shared" si="72"/>
        <v>16.213451758255811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237.96240000000023</v>
      </c>
      <c r="P73" s="13">
        <f t="shared" si="87"/>
        <v>58.000913607663399</v>
      </c>
      <c r="Q73" s="20">
        <f t="shared" si="54"/>
        <v>515.46943786668078</v>
      </c>
      <c r="R73" s="59">
        <f t="shared" si="55"/>
        <v>808.80277120001415</v>
      </c>
      <c r="S73" s="59">
        <f ca="1">AVERAGE(OFFSET($R$3,0,0,'Données projet'!$E$9+1,1))-AVERAGE(OFFSET($H$3,0,0,'Données projet'!$E$9+1,1))</f>
        <v>344.4940855044307</v>
      </c>
      <c r="T73" s="59">
        <f t="shared" si="88"/>
        <v>231.36959598460686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7.2994555569865718E-6</v>
      </c>
      <c r="AC73" s="22">
        <f t="shared" si="57"/>
        <v>7.2994555569865718E-6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6.6</v>
      </c>
      <c r="AH73" s="12">
        <f t="array" ref="AH73">INDEX(AG:AG,MIN(IF(ISNUMBER(AG73:AG269),ROW(AG73:AG269),"")))</f>
        <v>6.6</v>
      </c>
      <c r="AI73" s="13">
        <f>IF('Données projet'!$A$62&gt;35,AI72+AH73-AQ72,IF(A73&lt;'Données projet'!$A$62,$AF$205^A73,IF(A73='Données projet'!$A$62,'Données projet'!$B$62,AI72+AH73-AQ72)))</f>
        <v>222.99999999999989</v>
      </c>
      <c r="AJ73" s="13">
        <f>AI73*VLOOKUP('Données projet'!$B$10,Paramètres!$A$1:$I$89,3,0)*VLOOKUP('Données projet'!$B$10,Paramètres!$A$1:$I$89,5,0)</f>
        <v>149.58839999999992</v>
      </c>
      <c r="AK73" s="13">
        <f t="shared" si="89"/>
        <v>38.485033090581311</v>
      </c>
      <c r="AL73" s="20">
        <f t="shared" si="58"/>
        <v>327.56122929942899</v>
      </c>
      <c r="AM73" s="59">
        <f t="shared" si="59"/>
        <v>620.89456263276224</v>
      </c>
      <c r="AN73" s="59">
        <f ca="1">AVERAGE(OFFSET($AM$3,0,0,'Données projet'!$E$10+1,1))-AVERAGE(OFFSET($H$3,0,0,'Données projet'!$E$10+1,1))</f>
        <v>246.71489737733248</v>
      </c>
      <c r="AO73" s="59">
        <f t="shared" si="90"/>
        <v>185.03615139960783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132</v>
      </c>
      <c r="BB73" s="12">
        <f>VLOOKUP(A73,'Données projet'!$A$87:$I$107,9,0)</f>
        <v>3.6</v>
      </c>
      <c r="BC73" s="12">
        <f t="array" ref="BC73">INDEX(BB:BB,MIN(IF(ISNUMBER(BB73:BB269),ROW(BB73:BB269),"")))</f>
        <v>3.6</v>
      </c>
      <c r="BD73" s="12">
        <f>IF('Données projet'!$A$88&gt;35,BD72+BC73-BL72,IF(A73&lt;'Données projet'!$A$88,$BA$205^A73,IF(A73='Données projet'!$A$88,'Données projet'!$B$88,BD72+BC73-BL72)))</f>
        <v>131.99999999999991</v>
      </c>
      <c r="BE73" s="13">
        <f>BD73*VLOOKUP('Données projet'!$B$11,Paramètres!$A$1:$I$89,3,0)*VLOOKUP('Données projet'!$B$11,Paramètres!$A$1:$I$89,5,0)</f>
        <v>127.67039999999992</v>
      </c>
      <c r="BF73" s="13">
        <f t="shared" si="91"/>
        <v>33.457491972285453</v>
      </c>
      <c r="BG73" s="20">
        <f t="shared" si="61"/>
        <v>280.63107851839703</v>
      </c>
      <c r="BH73" s="59">
        <f t="shared" si="62"/>
        <v>573.96441185173035</v>
      </c>
      <c r="BI73" s="59">
        <f ca="1">AVERAGE(OFFSET($BH$3,0,0,'Données projet'!$E$11+1,1))-AVERAGE(OFFSET($H$3,0,0,'Données projet'!$E$11+1,1))</f>
        <v>211.98817606983374</v>
      </c>
      <c r="BJ73" s="59">
        <f t="shared" si="92"/>
        <v>154.0840647586964</v>
      </c>
      <c r="BK73" s="15">
        <f>IF(ISNA(VLOOKUP(A73,'Données projet'!$A$87:$I$107,3,0)),0,VLOOKUP(A73,'Données projet'!$A$87:$I$107,3,0))</f>
        <v>9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132</v>
      </c>
      <c r="BW73" s="12">
        <f>VLOOKUP(A73,'Données projet'!$A$113:$I$133,9,0)</f>
        <v>3.6</v>
      </c>
      <c r="BX73" s="12">
        <f t="array" ref="BX73">INDEX(BW:BW,MIN(IF(ISNUMBER(BW73:BW269),ROW(BW73:BW269),"")))</f>
        <v>3.6</v>
      </c>
      <c r="BY73" s="12">
        <f>IF('Données projet'!$A$114&gt;35,BY72+BX73-CG72,IF(A73&lt;'Données projet'!$A$114,$BV$205^A73,IF(A73='Données projet'!$A$114,'Données projet'!$B$114,BY72+BX73-CG72)))</f>
        <v>131.99999999999991</v>
      </c>
      <c r="BZ73" s="13">
        <f>BY73*VLOOKUP('Données projet'!$B$12,Paramètres!$A$1:$I$89,3,0)*VLOOKUP('Données projet'!$B$12,Paramètres!$A$1:$I$89,5,0)</f>
        <v>142.08479999999989</v>
      </c>
      <c r="CA73" s="13">
        <f t="shared" si="93"/>
        <v>36.77419224965486</v>
      </c>
      <c r="CB73" s="20">
        <f t="shared" si="64"/>
        <v>311.51274483481535</v>
      </c>
      <c r="CC73" s="59">
        <f t="shared" si="65"/>
        <v>604.84607816814867</v>
      </c>
      <c r="CD73" s="59">
        <f ca="1">AVERAGE(OFFSET($CC$3,0,0,'Données projet'!$E$12+1,1))-AVERAGE(OFFSET($H$3,0,0,'Données projet'!$E$12+1,1))</f>
        <v>231.89176215692947</v>
      </c>
      <c r="CE73" s="59">
        <f t="shared" si="94"/>
        <v>166.97658184507787</v>
      </c>
      <c r="CF73" s="15">
        <f>IF(ISNA(VLOOKUP(A73,'Données projet'!$A$113:$I$133,3,0)),0,VLOOKUP(A73,'Données projet'!$A$113:$I$133,3,0))</f>
        <v>9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4.5333333333333332</v>
      </c>
      <c r="CT73" s="12">
        <f>IF('Données projet'!$A$140&gt;35,CT72+CS73-DB72,IF(A73&lt;'Données projet'!$A$140,$CQ$205^A73,IF(A73='Données projet'!$A$140,'Données projet'!$B$140,CT72+CS73-DB72)))</f>
        <v>263.33333333333343</v>
      </c>
      <c r="CU73" s="17">
        <f>CT73*VLOOKUP('Données projet'!$B$13,Paramètres!$A$1:$I$89,3,0)*VLOOKUP('Données projet'!$B$13,Paramètres!$A$1:$I$89,5,0)</f>
        <v>205.40000000000009</v>
      </c>
      <c r="CV73" s="13">
        <f t="shared" si="95"/>
        <v>50.929077888590975</v>
      </c>
      <c r="CW73" s="20">
        <f t="shared" si="67"/>
        <v>446.43981065596273</v>
      </c>
      <c r="CX73" s="59">
        <f t="shared" si="68"/>
        <v>739.77314398929605</v>
      </c>
      <c r="CY73" s="59">
        <f ca="1">AVERAGE(OFFSET($CX$3,0,0,'Données projet'!$E$13+1,1))-AVERAGE(OFFSET($H$3,0,0,'Données projet'!$E$13+1,1))</f>
        <v>274.37717856763146</v>
      </c>
      <c r="CZ73" s="59">
        <f t="shared" si="96"/>
        <v>264.17357326498581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2.0318599136117134E-5</v>
      </c>
      <c r="DI73" s="22">
        <f t="shared" si="69"/>
        <v>2.0318599136117134E-5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213.34559999999991</v>
      </c>
      <c r="DQ73" s="13">
        <f t="shared" si="97"/>
        <v>52.666009577179437</v>
      </c>
      <c r="DR73" s="20">
        <f t="shared" si="70"/>
        <v>463.30355334692064</v>
      </c>
      <c r="DS73" s="59">
        <f t="shared" si="71"/>
        <v>756.63688668025395</v>
      </c>
      <c r="DT73" s="59">
        <f ca="1">AVERAGE(OFFSET($DS$3,0,0,'Données projet'!$E$14+1,1))-AVERAGE(OFFSET($H$3,0,0,'Données projet'!$E$14+1,1))</f>
        <v>304.26232113495314</v>
      </c>
      <c r="DU73" s="59">
        <f t="shared" si="98"/>
        <v>297.47246687305056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0.26500000000000001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0.3</v>
      </c>
      <c r="EA73" s="21">
        <f>EXP(-LN(2)/35)*EA72+(1-EXP(-LN(2)/35))/(LN(2)/35)*DW73*DX73*VLOOKUP('Données projet'!$B$14,Paramètres!$A$1:$I$89,3,0)*0.475*44/12</f>
        <v>13.656496412834432</v>
      </c>
      <c r="EB73" s="21">
        <f>EXP(-LN(2)/25)*EB72+(1-EXP(-LN(2)/25))/(LN(2)/25)*Calculateur!DW73*Calculateur!DY73*VLOOKUP('Données projet'!$B$14,Paramètres!$A$1:$I$89,3,0)*0.475*44/12</f>
        <v>3.8147806117182017</v>
      </c>
      <c r="EC73" s="21">
        <f>EXP(-LN(2)/2)*EC72+(1-EXP(-LN(2)/2))/(LN(2)/2)*DW73*DZ73*VLOOKUP('Données projet'!$B$14,Paramètres!$A$1:$I$89,3,0)*0.475*44/12</f>
        <v>2.851750999773532</v>
      </c>
      <c r="ED73" s="22">
        <f t="shared" si="72"/>
        <v>20.323028024326167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205.48008000000021</v>
      </c>
      <c r="P74" s="13">
        <f t="shared" si="87"/>
        <v>50.9466221581852</v>
      </c>
      <c r="Q74" s="20">
        <f t="shared" si="54"/>
        <v>446.60983959217293</v>
      </c>
      <c r="R74" s="59">
        <f t="shared" si="55"/>
        <v>739.94317292550625</v>
      </c>
      <c r="S74" s="59">
        <f ca="1">AVERAGE(OFFSET($R$3,0,0,'Données projet'!$E$9+1,1))-AVERAGE(OFFSET($H$3,0,0,'Données projet'!$E$9+1,1))</f>
        <v>344.4940855044307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5.1614945233150329E-6</v>
      </c>
      <c r="AC74" s="22">
        <f t="shared" si="57"/>
        <v>5.1614945233150329E-6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6.6</v>
      </c>
      <c r="AI74" s="13">
        <f>IF('Données projet'!$A$62&gt;35,AI73+AH74-AQ73,IF(A74&lt;'Données projet'!$A$62,$AF$205^A74,IF(A74='Données projet'!$A$62,'Données projet'!$B$62,AI73+AH74-AQ73)))</f>
        <v>207.59999999999988</v>
      </c>
      <c r="AJ74" s="13">
        <f>AI74*VLOOKUP('Données projet'!$B$10,Paramètres!$A$1:$I$89,3,0)*VLOOKUP('Données projet'!$B$10,Paramètres!$A$1:$I$89,5,0)</f>
        <v>139.25807999999992</v>
      </c>
      <c r="AK74" s="13">
        <f t="shared" si="89"/>
        <v>36.126989516446116</v>
      </c>
      <c r="AL74" s="20">
        <f t="shared" si="58"/>
        <v>305.46232940781016</v>
      </c>
      <c r="AM74" s="59">
        <f t="shared" si="59"/>
        <v>598.79566274114347</v>
      </c>
      <c r="AN74" s="59">
        <f ca="1">AVERAGE(OFFSET($AM$3,0,0,'Données projet'!$E$10+1,1))-AVERAGE(OFFSET($H$3,0,0,'Données projet'!$E$10+1,1))</f>
        <v>246.71489737733248</v>
      </c>
      <c r="AO74" s="59">
        <f t="shared" si="90"/>
        <v>185.03615139960783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125.39999999999992</v>
      </c>
      <c r="BE74" s="13">
        <f>BD74*VLOOKUP('Données projet'!$B$11,Paramètres!$A$1:$I$89,3,0)*VLOOKUP('Données projet'!$B$11,Paramètres!$A$1:$I$89,5,0)</f>
        <v>121.28687999999993</v>
      </c>
      <c r="BF74" s="13">
        <f t="shared" si="91"/>
        <v>31.974956333849075</v>
      </c>
      <c r="BG74" s="20">
        <f t="shared" si="61"/>
        <v>266.931031614787</v>
      </c>
      <c r="BH74" s="59">
        <f t="shared" si="62"/>
        <v>560.26436494812037</v>
      </c>
      <c r="BI74" s="59">
        <f ca="1">AVERAGE(OFFSET($BH$3,0,0,'Données projet'!$E$11+1,1))-AVERAGE(OFFSET($H$3,0,0,'Données projet'!$E$11+1,1))</f>
        <v>211.98817606983374</v>
      </c>
      <c r="BJ74" s="59">
        <f t="shared" si="92"/>
        <v>154.0840647586964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125.39999999999992</v>
      </c>
      <c r="BZ74" s="13">
        <f>BY74*VLOOKUP('Données projet'!$B$12,Paramètres!$A$1:$I$89,3,0)*VLOOKUP('Données projet'!$B$12,Paramètres!$A$1:$I$89,5,0)</f>
        <v>134.98055999999991</v>
      </c>
      <c r="CA74" s="13">
        <f t="shared" si="93"/>
        <v>35.144690234680603</v>
      </c>
      <c r="CB74" s="20">
        <f t="shared" si="64"/>
        <v>296.30147749206856</v>
      </c>
      <c r="CC74" s="59">
        <f t="shared" si="65"/>
        <v>589.63481082540193</v>
      </c>
      <c r="CD74" s="59">
        <f ca="1">AVERAGE(OFFSET($CC$3,0,0,'Données projet'!$E$12+1,1))-AVERAGE(OFFSET($H$3,0,0,'Données projet'!$E$12+1,1))</f>
        <v>231.89176215692947</v>
      </c>
      <c r="CE74" s="59">
        <f t="shared" si="94"/>
        <v>166.97658184507787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4.5333333333333332</v>
      </c>
      <c r="CT74" s="12">
        <f>IF('Données projet'!$A$140&gt;35,CT73+CS74-DB73,IF(A74&lt;'Données projet'!$A$140,$CQ$205^A74,IF(A74='Données projet'!$A$140,'Données projet'!$B$140,CT73+CS74-DB73)))</f>
        <v>267.86666666666679</v>
      </c>
      <c r="CU74" s="17">
        <f>CT74*VLOOKUP('Données projet'!$B$13,Paramètres!$A$1:$I$89,3,0)*VLOOKUP('Données projet'!$B$13,Paramètres!$A$1:$I$89,5,0)</f>
        <v>208.93600000000009</v>
      </c>
      <c r="CV74" s="13">
        <f t="shared" si="95"/>
        <v>51.703006236054087</v>
      </c>
      <c r="CW74" s="20">
        <f t="shared" si="67"/>
        <v>453.94626919446097</v>
      </c>
      <c r="CX74" s="59">
        <f t="shared" si="68"/>
        <v>747.27960252779428</v>
      </c>
      <c r="CY74" s="59">
        <f ca="1">AVERAGE(OFFSET($CX$3,0,0,'Données projet'!$E$13+1,1))-AVERAGE(OFFSET($H$3,0,0,'Données projet'!$E$13+1,1))</f>
        <v>274.37717856763146</v>
      </c>
      <c r="CZ74" s="59">
        <f t="shared" si="96"/>
        <v>264.17357326498581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1.4367419233359553E-5</v>
      </c>
      <c r="DI74" s="22">
        <f t="shared" si="69"/>
        <v>1.4367419233359553E-5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207.99167999999992</v>
      </c>
      <c r="DQ74" s="13">
        <f t="shared" si="97"/>
        <v>51.496472105486831</v>
      </c>
      <c r="DR74" s="20">
        <f t="shared" si="70"/>
        <v>451.94186491705608</v>
      </c>
      <c r="DS74" s="59">
        <f t="shared" si="71"/>
        <v>745.27519825038939</v>
      </c>
      <c r="DT74" s="59">
        <f ca="1">AVERAGE(OFFSET($DS$3,0,0,'Données projet'!$E$14+1,1))-AVERAGE(OFFSET($H$3,0,0,'Données projet'!$E$14+1,1))</f>
        <v>304.26232113495314</v>
      </c>
      <c r="DU74" s="59">
        <f t="shared" si="98"/>
        <v>297.47246687305056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13.388700847819077</v>
      </c>
      <c r="EB74" s="21">
        <f>EXP(-LN(2)/25)*EB73+(1-EXP(-LN(2)/25))/(LN(2)/25)*Calculateur!DW74*Calculateur!DY74*VLOOKUP('Données projet'!$B$14,Paramètres!$A$1:$I$89,3,0)*0.475*44/12</f>
        <v>3.7104652352801737</v>
      </c>
      <c r="EC74" s="21">
        <f>EXP(-LN(2)/2)*EC73+(1-EXP(-LN(2)/2))/(LN(2)/2)*DW74*DZ74*VLOOKUP('Données projet'!$B$14,Paramètres!$A$1:$I$89,3,0)*0.475*44/12</f>
        <v>2.0164924701953812</v>
      </c>
      <c r="ED74" s="22">
        <f t="shared" si="72"/>
        <v>19.115658553294633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210.99936000000022</v>
      </c>
      <c r="P75" s="13">
        <f t="shared" si="87"/>
        <v>52.153910623486716</v>
      </c>
      <c r="Q75" s="20">
        <f t="shared" si="54"/>
        <v>458.32527966923976</v>
      </c>
      <c r="R75" s="59">
        <f t="shared" si="55"/>
        <v>751.65861300257302</v>
      </c>
      <c r="S75" s="59">
        <f ca="1">AVERAGE(OFFSET($R$3,0,0,'Données projet'!$E$9+1,1))-AVERAGE(OFFSET($H$3,0,0,'Données projet'!$E$9+1,1))</f>
        <v>344.4940855044307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3.6497277784932867E-6</v>
      </c>
      <c r="AC75" s="22">
        <f t="shared" si="57"/>
        <v>3.6497277784932867E-6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6.6</v>
      </c>
      <c r="AI75" s="13">
        <f>IF('Données projet'!$A$62&gt;35,AI74+AH75-AQ74,IF(A75&lt;'Données projet'!$A$62,$AF$205^A75,IF(A75='Données projet'!$A$62,'Données projet'!$B$62,AI74+AH75-AQ74)))</f>
        <v>214.19999999999987</v>
      </c>
      <c r="AJ75" s="13">
        <f>AI75*VLOOKUP('Données projet'!$B$10,Paramètres!$A$1:$I$89,3,0)*VLOOKUP('Données projet'!$B$10,Paramètres!$A$1:$I$89,5,0)</f>
        <v>143.68535999999992</v>
      </c>
      <c r="AK75" s="13">
        <f t="shared" si="89"/>
        <v>37.139988755891473</v>
      </c>
      <c r="AL75" s="20">
        <f t="shared" si="58"/>
        <v>314.93748241651082</v>
      </c>
      <c r="AM75" s="59">
        <f t="shared" si="59"/>
        <v>608.27081574984413</v>
      </c>
      <c r="AN75" s="59">
        <f ca="1">AVERAGE(OFFSET($AM$3,0,0,'Données projet'!$E$10+1,1))-AVERAGE(OFFSET($H$3,0,0,'Données projet'!$E$10+1,1))</f>
        <v>246.71489737733248</v>
      </c>
      <c r="AO75" s="59">
        <f t="shared" si="90"/>
        <v>185.03615139960783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128.79999999999993</v>
      </c>
      <c r="BE75" s="13">
        <f>BD75*VLOOKUP('Données projet'!$B$11,Paramètres!$A$1:$I$89,3,0)*VLOOKUP('Données projet'!$B$11,Paramètres!$A$1:$I$89,5,0)</f>
        <v>124.57535999999993</v>
      </c>
      <c r="BF75" s="13">
        <f t="shared" si="91"/>
        <v>32.739791806000952</v>
      </c>
      <c r="BG75" s="20">
        <f t="shared" si="61"/>
        <v>273.99055606211817</v>
      </c>
      <c r="BH75" s="59">
        <f t="shared" si="62"/>
        <v>567.32388939545149</v>
      </c>
      <c r="BI75" s="59">
        <f ca="1">AVERAGE(OFFSET($BH$3,0,0,'Données projet'!$E$11+1,1))-AVERAGE(OFFSET($H$3,0,0,'Données projet'!$E$11+1,1))</f>
        <v>211.98817606983374</v>
      </c>
      <c r="BJ75" s="59">
        <f t="shared" si="92"/>
        <v>154.0840647586964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128.79999999999993</v>
      </c>
      <c r="BZ75" s="13">
        <f>BY75*VLOOKUP('Données projet'!$B$12,Paramètres!$A$1:$I$89,3,0)*VLOOKUP('Données projet'!$B$12,Paramètres!$A$1:$I$89,5,0)</f>
        <v>138.64031999999992</v>
      </c>
      <c r="CA75" s="13">
        <f t="shared" si="93"/>
        <v>35.985345198165781</v>
      </c>
      <c r="CB75" s="20">
        <f t="shared" si="64"/>
        <v>304.13970022013859</v>
      </c>
      <c r="CC75" s="59">
        <f t="shared" si="65"/>
        <v>597.47303355347185</v>
      </c>
      <c r="CD75" s="59">
        <f ca="1">AVERAGE(OFFSET($CC$3,0,0,'Données projet'!$E$12+1,1))-AVERAGE(OFFSET($H$3,0,0,'Données projet'!$E$12+1,1))</f>
        <v>231.89176215692947</v>
      </c>
      <c r="CE75" s="59">
        <f t="shared" si="94"/>
        <v>166.97658184507787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4.5333333333333332</v>
      </c>
      <c r="CT75" s="12">
        <f>IF('Données projet'!$A$140&gt;35,CT74+CS75-DB74,IF(A75&lt;'Données projet'!$A$140,$CQ$205^A75,IF(A75='Données projet'!$A$140,'Données projet'!$B$140,CT74+CS75-DB74)))</f>
        <v>272.40000000000015</v>
      </c>
      <c r="CU75" s="17">
        <f>CT75*VLOOKUP('Données projet'!$B$13,Paramètres!$A$1:$I$89,3,0)*VLOOKUP('Données projet'!$B$13,Paramètres!$A$1:$I$89,5,0)</f>
        <v>212.47200000000012</v>
      </c>
      <c r="CV75" s="13">
        <f t="shared" si="95"/>
        <v>52.475411418566573</v>
      </c>
      <c r="CW75" s="20">
        <f t="shared" si="67"/>
        <v>461.45007488733694</v>
      </c>
      <c r="CX75" s="59">
        <f t="shared" si="68"/>
        <v>754.78340822067025</v>
      </c>
      <c r="CY75" s="59">
        <f ca="1">AVERAGE(OFFSET($CX$3,0,0,'Données projet'!$E$13+1,1))-AVERAGE(OFFSET($H$3,0,0,'Données projet'!$E$13+1,1))</f>
        <v>274.37717856763146</v>
      </c>
      <c r="CZ75" s="59">
        <f t="shared" si="96"/>
        <v>264.17357326498581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1.0159299568058569E-5</v>
      </c>
      <c r="DI75" s="22">
        <f t="shared" si="69"/>
        <v>1.0159299568058569E-5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210.74975999999987</v>
      </c>
      <c r="DQ75" s="13">
        <f t="shared" si="97"/>
        <v>52.099393122422597</v>
      </c>
      <c r="DR75" s="20">
        <f t="shared" si="70"/>
        <v>457.79560835488581</v>
      </c>
      <c r="DS75" s="59">
        <f t="shared" si="71"/>
        <v>751.12894168821913</v>
      </c>
      <c r="DT75" s="59">
        <f ca="1">AVERAGE(OFFSET($DS$3,0,0,'Données projet'!$E$14+1,1))-AVERAGE(OFFSET($H$3,0,0,'Données projet'!$E$14+1,1))</f>
        <v>304.26232113495314</v>
      </c>
      <c r="DU75" s="59">
        <f t="shared" si="98"/>
        <v>297.47246687305056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13.126156590494507</v>
      </c>
      <c r="EB75" s="21">
        <f>EXP(-LN(2)/25)*EB74+(1-EXP(-LN(2)/25))/(LN(2)/25)*Calculateur!DW75*Calculateur!DY75*VLOOKUP('Données projet'!$B$14,Paramètres!$A$1:$I$89,3,0)*0.475*44/12</f>
        <v>3.6090023682965509</v>
      </c>
      <c r="EC75" s="21">
        <f>EXP(-LN(2)/2)*EC74+(1-EXP(-LN(2)/2))/(LN(2)/2)*DW75*DZ75*VLOOKUP('Données projet'!$B$14,Paramètres!$A$1:$I$89,3,0)*0.475*44/12</f>
        <v>1.4258754998867662</v>
      </c>
      <c r="ED75" s="22">
        <f t="shared" si="72"/>
        <v>18.161034458677825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216.5186400000002</v>
      </c>
      <c r="P76" s="13">
        <f t="shared" si="87"/>
        <v>53.357528323079173</v>
      </c>
      <c r="Q76" s="20">
        <f t="shared" si="54"/>
        <v>470.03432649602991</v>
      </c>
      <c r="R76" s="59">
        <f t="shared" si="55"/>
        <v>763.36765982936322</v>
      </c>
      <c r="S76" s="59">
        <f ca="1">AVERAGE(OFFSET($R$3,0,0,'Données projet'!$E$9+1,1))-AVERAGE(OFFSET($H$3,0,0,'Données projet'!$E$9+1,1))</f>
        <v>344.4940855044307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2.5807472616575169E-6</v>
      </c>
      <c r="AC76" s="22">
        <f t="shared" si="57"/>
        <v>2.5807472616575169E-6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6.6</v>
      </c>
      <c r="AI76" s="13">
        <f>IF('Données projet'!$A$62&gt;35,AI75+AH76-AQ75,IF(A76&lt;'Données projet'!$A$62,$AF$205^A76,IF(A76='Données projet'!$A$62,'Données projet'!$B$62,AI75+AH76-AQ75)))</f>
        <v>220.79999999999987</v>
      </c>
      <c r="AJ76" s="13">
        <f>AI76*VLOOKUP('Données projet'!$B$10,Paramètres!$A$1:$I$89,3,0)*VLOOKUP('Données projet'!$B$10,Paramètres!$A$1:$I$89,5,0)</f>
        <v>148.11263999999991</v>
      </c>
      <c r="AK76" s="13">
        <f t="shared" si="89"/>
        <v>38.149360719333707</v>
      </c>
      <c r="AL76" s="20">
        <f t="shared" si="58"/>
        <v>324.40631791950602</v>
      </c>
      <c r="AM76" s="59">
        <f t="shared" si="59"/>
        <v>617.73965125283939</v>
      </c>
      <c r="AN76" s="59">
        <f ca="1">AVERAGE(OFFSET($AM$3,0,0,'Données projet'!$E$10+1,1))-AVERAGE(OFFSET($H$3,0,0,'Données projet'!$E$10+1,1))</f>
        <v>246.71489737733248</v>
      </c>
      <c r="AO76" s="59">
        <f t="shared" si="90"/>
        <v>185.03615139960783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132.19999999999993</v>
      </c>
      <c r="BE76" s="13">
        <f>BD76*VLOOKUP('Données projet'!$B$11,Paramètres!$A$1:$I$89,3,0)*VLOOKUP('Données projet'!$B$11,Paramètres!$A$1:$I$89,5,0)</f>
        <v>127.86383999999994</v>
      </c>
      <c r="BF76" s="13">
        <f t="shared" si="91"/>
        <v>33.502280509335172</v>
      </c>
      <c r="BG76" s="20">
        <f t="shared" si="61"/>
        <v>281.04599322042526</v>
      </c>
      <c r="BH76" s="59">
        <f t="shared" si="62"/>
        <v>574.37932655375857</v>
      </c>
      <c r="BI76" s="59">
        <f ca="1">AVERAGE(OFFSET($BH$3,0,0,'Données projet'!$E$11+1,1))-AVERAGE(OFFSET($H$3,0,0,'Données projet'!$E$11+1,1))</f>
        <v>211.98817606983374</v>
      </c>
      <c r="BJ76" s="59">
        <f t="shared" si="92"/>
        <v>154.0840647586964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132.19999999999993</v>
      </c>
      <c r="BZ76" s="13">
        <f>BY76*VLOOKUP('Données projet'!$B$12,Paramètres!$A$1:$I$89,3,0)*VLOOKUP('Données projet'!$B$12,Paramètres!$A$1:$I$89,5,0)</f>
        <v>142.30007999999992</v>
      </c>
      <c r="CA76" s="13">
        <f t="shared" si="93"/>
        <v>36.823420753495235</v>
      </c>
      <c r="CB76" s="20">
        <f t="shared" si="64"/>
        <v>311.97343047900409</v>
      </c>
      <c r="CC76" s="59">
        <f t="shared" si="65"/>
        <v>605.30676381233741</v>
      </c>
      <c r="CD76" s="59">
        <f ca="1">AVERAGE(OFFSET($CC$3,0,0,'Données projet'!$E$12+1,1))-AVERAGE(OFFSET($H$3,0,0,'Données projet'!$E$12+1,1))</f>
        <v>231.89176215692947</v>
      </c>
      <c r="CE76" s="59">
        <f t="shared" si="94"/>
        <v>166.97658184507787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4.5333333333333332</v>
      </c>
      <c r="CT76" s="12">
        <f>IF('Données projet'!$A$140&gt;35,CT75+CS76-DB75,IF(A76&lt;'Données projet'!$A$140,$CQ$205^A76,IF(A76='Données projet'!$A$140,'Données projet'!$B$140,CT75+CS76-DB75)))</f>
        <v>276.93333333333351</v>
      </c>
      <c r="CU76" s="17">
        <f>CT76*VLOOKUP('Données projet'!$B$13,Paramètres!$A$1:$I$89,3,0)*VLOOKUP('Données projet'!$B$13,Paramètres!$A$1:$I$89,5,0)</f>
        <v>216.00800000000015</v>
      </c>
      <c r="CV76" s="13">
        <f t="shared" si="95"/>
        <v>53.246321710771632</v>
      </c>
      <c r="CW76" s="20">
        <f t="shared" si="67"/>
        <v>468.95127697959407</v>
      </c>
      <c r="CX76" s="59">
        <f t="shared" si="68"/>
        <v>762.28461031292738</v>
      </c>
      <c r="CY76" s="59">
        <f ca="1">AVERAGE(OFFSET($CX$3,0,0,'Données projet'!$E$13+1,1))-AVERAGE(OFFSET($H$3,0,0,'Données projet'!$E$13+1,1))</f>
        <v>274.37717856763146</v>
      </c>
      <c r="CZ76" s="59">
        <f t="shared" si="96"/>
        <v>264.17357326498581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7.1837096166797775E-6</v>
      </c>
      <c r="DI76" s="22">
        <f t="shared" si="69"/>
        <v>7.1837096166797775E-6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213.50783999999987</v>
      </c>
      <c r="DQ76" s="13">
        <f t="shared" si="97"/>
        <v>52.701396365805124</v>
      </c>
      <c r="DR76" s="20">
        <f t="shared" si="70"/>
        <v>463.64775333711032</v>
      </c>
      <c r="DS76" s="59">
        <f t="shared" si="71"/>
        <v>756.98108667044357</v>
      </c>
      <c r="DT76" s="59">
        <f ca="1">AVERAGE(OFFSET($DS$3,0,0,'Données projet'!$E$14+1,1))-AVERAGE(OFFSET($H$3,0,0,'Données projet'!$E$14+1,1))</f>
        <v>304.26232113495314</v>
      </c>
      <c r="DU76" s="59">
        <f t="shared" si="98"/>
        <v>297.47246687305056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12.868760665919886</v>
      </c>
      <c r="EB76" s="21">
        <f>EXP(-LN(2)/25)*EB75+(1-EXP(-LN(2)/25))/(LN(2)/25)*Calculateur!DW76*Calculateur!DY76*VLOOKUP('Données projet'!$B$14,Paramètres!$A$1:$I$89,3,0)*0.475*44/12</f>
        <v>3.5103140087462954</v>
      </c>
      <c r="EC76" s="21">
        <f>EXP(-LN(2)/2)*EC75+(1-EXP(-LN(2)/2))/(LN(2)/2)*DW76*DZ76*VLOOKUP('Données projet'!$B$14,Paramètres!$A$1:$I$89,3,0)*0.475*44/12</f>
        <v>1.0082462350976906</v>
      </c>
      <c r="ED76" s="22">
        <f t="shared" si="72"/>
        <v>17.387320909763872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222.03792000000021</v>
      </c>
      <c r="P77" s="13">
        <f t="shared" si="87"/>
        <v>54.557579588273143</v>
      </c>
      <c r="Q77" s="20">
        <f t="shared" si="54"/>
        <v>481.73716178290942</v>
      </c>
      <c r="R77" s="59">
        <f t="shared" si="55"/>
        <v>775.07049511624268</v>
      </c>
      <c r="S77" s="59">
        <f ca="1">AVERAGE(OFFSET($R$3,0,0,'Données projet'!$E$9+1,1))-AVERAGE(OFFSET($H$3,0,0,'Données projet'!$E$9+1,1))</f>
        <v>344.4940855044307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1.8248638892466436E-6</v>
      </c>
      <c r="AC77" s="22">
        <f t="shared" si="57"/>
        <v>1.8248638892466436E-6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6.6</v>
      </c>
      <c r="AI77" s="13">
        <f>IF('Données projet'!$A$62&gt;35,AI76+AH77-AQ76,IF(A77&lt;'Données projet'!$A$62,$AF$205^A77,IF(A77='Données projet'!$A$62,'Données projet'!$B$62,AI76+AH77-AQ76)))</f>
        <v>227.39999999999986</v>
      </c>
      <c r="AJ77" s="13">
        <f>AI77*VLOOKUP('Données projet'!$B$10,Paramètres!$A$1:$I$89,3,0)*VLOOKUP('Données projet'!$B$10,Paramètres!$A$1:$I$89,5,0)</f>
        <v>152.53991999999991</v>
      </c>
      <c r="AK77" s="13">
        <f t="shared" si="89"/>
        <v>39.155226277503331</v>
      </c>
      <c r="AL77" s="20">
        <f t="shared" si="58"/>
        <v>333.86904643331809</v>
      </c>
      <c r="AM77" s="59">
        <f t="shared" si="59"/>
        <v>627.20237976665135</v>
      </c>
      <c r="AN77" s="59">
        <f ca="1">AVERAGE(OFFSET($AM$3,0,0,'Données projet'!$E$10+1,1))-AVERAGE(OFFSET($H$3,0,0,'Données projet'!$E$10+1,1))</f>
        <v>246.71489737733248</v>
      </c>
      <c r="AO77" s="59">
        <f t="shared" si="90"/>
        <v>185.03615139960783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135.59999999999994</v>
      </c>
      <c r="BE77" s="13">
        <f>BD77*VLOOKUP('Données projet'!$B$11,Paramètres!$A$1:$I$89,3,0)*VLOOKUP('Données projet'!$B$11,Paramètres!$A$1:$I$89,5,0)</f>
        <v>131.15231999999995</v>
      </c>
      <c r="BF77" s="13">
        <f t="shared" si="91"/>
        <v>34.262489739130991</v>
      </c>
      <c r="BG77" s="20">
        <f t="shared" si="61"/>
        <v>288.09746029565304</v>
      </c>
      <c r="BH77" s="59">
        <f t="shared" si="62"/>
        <v>581.43079362898629</v>
      </c>
      <c r="BI77" s="59">
        <f ca="1">AVERAGE(OFFSET($BH$3,0,0,'Données projet'!$E$11+1,1))-AVERAGE(OFFSET($H$3,0,0,'Données projet'!$E$11+1,1))</f>
        <v>211.98817606983374</v>
      </c>
      <c r="BJ77" s="59">
        <f t="shared" si="92"/>
        <v>154.0840647586964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135.59999999999994</v>
      </c>
      <c r="BZ77" s="13">
        <f>BY77*VLOOKUP('Données projet'!$B$12,Paramètres!$A$1:$I$89,3,0)*VLOOKUP('Données projet'!$B$12,Paramètres!$A$1:$I$89,5,0)</f>
        <v>145.95983999999993</v>
      </c>
      <c r="CA77" s="13">
        <f t="shared" si="93"/>
        <v>37.65899086704794</v>
      </c>
      <c r="CB77" s="20">
        <f t="shared" si="64"/>
        <v>319.80279709344171</v>
      </c>
      <c r="CC77" s="59">
        <f t="shared" si="65"/>
        <v>613.13613042677503</v>
      </c>
      <c r="CD77" s="59">
        <f ca="1">AVERAGE(OFFSET($CC$3,0,0,'Données projet'!$E$12+1,1))-AVERAGE(OFFSET($H$3,0,0,'Données projet'!$E$12+1,1))</f>
        <v>231.89176215692947</v>
      </c>
      <c r="CE77" s="59">
        <f t="shared" si="94"/>
        <v>166.97658184507787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4.5333333333333332</v>
      </c>
      <c r="CT77" s="12">
        <f>IF('Données projet'!$A$140&gt;35,CT76+CS77-DB76,IF(A77&lt;'Données projet'!$A$140,$CQ$205^A77,IF(A77='Données projet'!$A$140,'Données projet'!$B$140,CT76+CS77-DB76)))</f>
        <v>281.46666666666687</v>
      </c>
      <c r="CU77" s="17">
        <f>CT77*VLOOKUP('Données projet'!$B$13,Paramètres!$A$1:$I$89,3,0)*VLOOKUP('Données projet'!$B$13,Paramètres!$A$1:$I$89,5,0)</f>
        <v>219.54400000000015</v>
      </c>
      <c r="CV77" s="13">
        <f t="shared" si="95"/>
        <v>54.015764408540633</v>
      </c>
      <c r="CW77" s="20">
        <f t="shared" si="67"/>
        <v>476.44992301154184</v>
      </c>
      <c r="CX77" s="59">
        <f t="shared" si="68"/>
        <v>769.7832563448751</v>
      </c>
      <c r="CY77" s="59">
        <f ca="1">AVERAGE(OFFSET($CX$3,0,0,'Données projet'!$E$13+1,1))-AVERAGE(OFFSET($H$3,0,0,'Données projet'!$E$13+1,1))</f>
        <v>274.37717856763146</v>
      </c>
      <c r="CZ77" s="59">
        <f t="shared" si="96"/>
        <v>264.17357326498581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5.0796497840292851E-6</v>
      </c>
      <c r="DI77" s="22">
        <f t="shared" si="69"/>
        <v>5.0796497840292851E-6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216.26591999999982</v>
      </c>
      <c r="DQ77" s="13">
        <f t="shared" si="97"/>
        <v>53.302495062173776</v>
      </c>
      <c r="DR77" s="20">
        <f t="shared" si="70"/>
        <v>469.49832289995226</v>
      </c>
      <c r="DS77" s="59">
        <f t="shared" si="71"/>
        <v>762.83165623328557</v>
      </c>
      <c r="DT77" s="59">
        <f ca="1">AVERAGE(OFFSET($DS$3,0,0,'Données projet'!$E$14+1,1))-AVERAGE(OFFSET($H$3,0,0,'Données projet'!$E$14+1,1))</f>
        <v>304.26232113495314</v>
      </c>
      <c r="DU77" s="59">
        <f t="shared" si="98"/>
        <v>297.47246687305056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12.616412118430162</v>
      </c>
      <c r="EB77" s="21">
        <f>EXP(-LN(2)/25)*EB76+(1-EXP(-LN(2)/25))/(LN(2)/25)*Calculateur!DW77*Calculateur!DY77*VLOOKUP('Données projet'!$B$14,Paramètres!$A$1:$I$89,3,0)*0.475*44/12</f>
        <v>3.4143242875777373</v>
      </c>
      <c r="EC77" s="21">
        <f>EXP(-LN(2)/2)*EC76+(1-EXP(-LN(2)/2))/(LN(2)/2)*DW77*DZ77*VLOOKUP('Données projet'!$B$14,Paramètres!$A$1:$I$89,3,0)*0.475*44/12</f>
        <v>0.7129377499433831</v>
      </c>
      <c r="ED77" s="22">
        <f t="shared" si="72"/>
        <v>16.743674155951283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227.55720000000019</v>
      </c>
      <c r="P78" s="13">
        <f t="shared" si="87"/>
        <v>55.754163267932753</v>
      </c>
      <c r="Q78" s="20">
        <f t="shared" si="54"/>
        <v>493.43395769164994</v>
      </c>
      <c r="R78" s="59">
        <f t="shared" si="55"/>
        <v>786.76729102498325</v>
      </c>
      <c r="S78" s="59">
        <f ca="1">AVERAGE(OFFSET($R$3,0,0,'Données projet'!$E$9+1,1))-AVERAGE(OFFSET($H$3,0,0,'Données projet'!$E$9+1,1))</f>
        <v>344.4940855044307</v>
      </c>
      <c r="T78" s="59">
        <f t="shared" si="88"/>
        <v>231.36959598460686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1.2903736308287587E-6</v>
      </c>
      <c r="AC78" s="22">
        <f t="shared" si="57"/>
        <v>1.2903736308287587E-6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234</v>
      </c>
      <c r="AG78" s="12">
        <f>VLOOKUP(A78,'Données projet'!$A$61:$I$81,9,0)</f>
        <v>6.6</v>
      </c>
      <c r="AH78" s="12">
        <f t="array" ref="AH78">INDEX(AG:AG,MIN(IF(ISNUMBER(AG78:AG274),ROW(AG78:AG274),"")))</f>
        <v>6.6</v>
      </c>
      <c r="AI78" s="13">
        <f>IF('Données projet'!$A$62&gt;35,AI77+AH78-AQ77,IF(A78&lt;'Données projet'!$A$62,$AF$205^A78,IF(A78='Données projet'!$A$62,'Données projet'!$B$62,AI77+AH78-AQ77)))</f>
        <v>233.99999999999986</v>
      </c>
      <c r="AJ78" s="13">
        <f>AI78*VLOOKUP('Données projet'!$B$10,Paramètres!$A$1:$I$89,3,0)*VLOOKUP('Données projet'!$B$10,Paramètres!$A$1:$I$89,5,0)</f>
        <v>156.96719999999991</v>
      </c>
      <c r="AK78" s="13">
        <f t="shared" si="89"/>
        <v>40.157698885918364</v>
      </c>
      <c r="AL78" s="20">
        <f t="shared" si="58"/>
        <v>343.32586555964099</v>
      </c>
      <c r="AM78" s="59">
        <f t="shared" si="59"/>
        <v>636.65919889297425</v>
      </c>
      <c r="AN78" s="59">
        <f ca="1">AVERAGE(OFFSET($AM$3,0,0,'Données projet'!$E$10+1,1))-AVERAGE(OFFSET($H$3,0,0,'Données projet'!$E$10+1,1))</f>
        <v>246.71489737733248</v>
      </c>
      <c r="AO78" s="59">
        <f t="shared" si="90"/>
        <v>185.03615139960783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22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139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138.99999999999994</v>
      </c>
      <c r="BE78" s="13">
        <f>BD78*VLOOKUP('Données projet'!$B$11,Paramètres!$A$1:$I$89,3,0)*VLOOKUP('Données projet'!$B$11,Paramètres!$A$1:$I$89,5,0)</f>
        <v>134.44079999999994</v>
      </c>
      <c r="BF78" s="13">
        <f t="shared" si="91"/>
        <v>35.02048322365038</v>
      </c>
      <c r="BG78" s="20">
        <f t="shared" si="61"/>
        <v>295.14506828119096</v>
      </c>
      <c r="BH78" s="59">
        <f t="shared" si="62"/>
        <v>588.47840161452427</v>
      </c>
      <c r="BI78" s="59">
        <f ca="1">AVERAGE(OFFSET($BH$3,0,0,'Données projet'!$E$11+1,1))-AVERAGE(OFFSET($H$3,0,0,'Données projet'!$E$11+1,1))</f>
        <v>211.98817606983374</v>
      </c>
      <c r="BJ78" s="59">
        <f t="shared" si="92"/>
        <v>154.0840647586964</v>
      </c>
      <c r="BK78" s="15">
        <f>IF(ISNA(VLOOKUP(A78,'Données projet'!$A$87:$I$107,3,0)),0,VLOOKUP(A78,'Données projet'!$A$87:$I$107,3,0))</f>
        <v>10</v>
      </c>
      <c r="BL78" s="15">
        <f>IF(ISNA(VLOOKUP(A78,'Données projet'!$A$87:$I$107,4,0)),0,VLOOKUP(A78,'Données projet'!$A$87:$I$107,4,0))</f>
        <v>10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139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138.99999999999994</v>
      </c>
      <c r="BZ78" s="13">
        <f>BY78*VLOOKUP('Données projet'!$B$12,Paramètres!$A$1:$I$89,3,0)*VLOOKUP('Données projet'!$B$12,Paramètres!$A$1:$I$89,5,0)</f>
        <v>149.61959999999993</v>
      </c>
      <c r="CA78" s="13">
        <f t="shared" si="93"/>
        <v>38.492125584581245</v>
      </c>
      <c r="CB78" s="20">
        <f t="shared" si="64"/>
        <v>327.62792205981219</v>
      </c>
      <c r="CC78" s="59">
        <f t="shared" si="65"/>
        <v>620.96125539314551</v>
      </c>
      <c r="CD78" s="59">
        <f ca="1">AVERAGE(OFFSET($CC$3,0,0,'Données projet'!$E$12+1,1))-AVERAGE(OFFSET($H$3,0,0,'Données projet'!$E$12+1,1))</f>
        <v>231.89176215692947</v>
      </c>
      <c r="CE78" s="59">
        <f t="shared" si="94"/>
        <v>166.97658184507787</v>
      </c>
      <c r="CF78" s="15">
        <f>IF(ISNA(VLOOKUP(A78,'Données projet'!$A$113:$I$133,3,0)),0,VLOOKUP(A78,'Données projet'!$A$113:$I$133,3,0))</f>
        <v>10</v>
      </c>
      <c r="CG78" s="15">
        <f>IF(ISNA(VLOOKUP(A78,'Données projet'!$A$113:$I$133,4,0)),0,VLOOKUP(A78,'Données projet'!$A$113:$I$133,4,0))</f>
        <v>10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286</v>
      </c>
      <c r="CR78" s="12">
        <f>VLOOKUP(A78,'Données projet'!$A$139:$I$159,9,0)</f>
        <v>4.5333333333333332</v>
      </c>
      <c r="CS78" s="12">
        <f t="array" ref="CS78">INDEX(CR:CR,MIN(IF(ISNUMBER(CR78:CR274),ROW(CR78:CR274),"")))</f>
        <v>4.5333333333333332</v>
      </c>
      <c r="CT78" s="12">
        <f>IF('Données projet'!$A$140&gt;35,CT77+CS78-DB77,IF(A78&lt;'Données projet'!$A$140,$CQ$205^A78,IF(A78='Données projet'!$A$140,'Données projet'!$B$140,CT77+CS78-DB77)))</f>
        <v>286.00000000000023</v>
      </c>
      <c r="CU78" s="17">
        <f>CT78*VLOOKUP('Données projet'!$B$13,Paramètres!$A$1:$I$89,3,0)*VLOOKUP('Données projet'!$B$13,Paramètres!$A$1:$I$89,5,0)</f>
        <v>223.08000000000018</v>
      </c>
      <c r="CV78" s="13">
        <f t="shared" si="95"/>
        <v>54.783765878062667</v>
      </c>
      <c r="CW78" s="20">
        <f t="shared" si="67"/>
        <v>483.94605890429278</v>
      </c>
      <c r="CX78" s="59">
        <f t="shared" si="68"/>
        <v>777.2793922376261</v>
      </c>
      <c r="CY78" s="59">
        <f ca="1">AVERAGE(OFFSET($CX$3,0,0,'Données projet'!$E$13+1,1))-AVERAGE(OFFSET($H$3,0,0,'Données projet'!$E$13+1,1))</f>
        <v>274.37717856763146</v>
      </c>
      <c r="CZ78" s="59">
        <f t="shared" si="96"/>
        <v>264.17357326498581</v>
      </c>
      <c r="DA78" s="15" t="str">
        <f>IF(ISNA(VLOOKUP(A78,'Données projet'!$A$139:$I$159,3,0)),0,VLOOKUP(A78,'Données projet'!$A$139:$I$159,3,0))</f>
        <v>CR</v>
      </c>
      <c r="DB78" s="15">
        <f>IF(ISNA(VLOOKUP(A78,'Données projet'!$A$139:$I$159,4,0)),0,VLOOKUP(A78,'Données projet'!$A$139:$I$159,4,0))</f>
        <v>286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3.5918548083398892E-6</v>
      </c>
      <c r="DI78" s="22">
        <f t="shared" si="69"/>
        <v>3.5918548083398892E-6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219.02399999999983</v>
      </c>
      <c r="DQ78" s="13">
        <f t="shared" si="97"/>
        <v>53.902702081308306</v>
      </c>
      <c r="DR78" s="20">
        <f t="shared" si="70"/>
        <v>475.34733945827821</v>
      </c>
      <c r="DS78" s="59">
        <f t="shared" si="71"/>
        <v>768.68067279161153</v>
      </c>
      <c r="DT78" s="59">
        <f ca="1">AVERAGE(OFFSET($DS$3,0,0,'Données projet'!$E$14+1,1))-AVERAGE(OFFSET($H$3,0,0,'Données projet'!$E$14+1,1))</f>
        <v>304.26232113495314</v>
      </c>
      <c r="DU78" s="59">
        <f t="shared" si="98"/>
        <v>297.47246687305056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0.371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0.2</v>
      </c>
      <c r="EA78" s="21">
        <f>EXP(-LN(2)/35)*EA77+(1-EXP(-LN(2)/35))/(LN(2)/35)*DW78*DX78*VLOOKUP('Données projet'!$B$14,Paramètres!$A$1:$I$89,3,0)*0.475*44/12</f>
        <v>15.36328550453703</v>
      </c>
      <c r="EB78" s="21">
        <f>EXP(-LN(2)/25)*EB77+(1-EXP(-LN(2)/25))/(LN(2)/25)*Calculateur!DW78*Calculateur!DY78*VLOOKUP('Données projet'!$B$14,Paramètres!$A$1:$I$89,3,0)*0.475*44/12</f>
        <v>3.3209594103824132</v>
      </c>
      <c r="EC78" s="21">
        <f>EXP(-LN(2)/2)*EC77+(1-EXP(-LN(2)/2))/(LN(2)/2)*DW78*DZ78*VLOOKUP('Données projet'!$B$14,Paramètres!$A$1:$I$89,3,0)*0.475*44/12</f>
        <v>1.8818233771790491</v>
      </c>
      <c r="ED78" s="22">
        <f t="shared" si="72"/>
        <v>20.566068292098493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233.0764800000002</v>
      </c>
      <c r="P79" s="13">
        <f t="shared" si="87"/>
        <v>56.947373142454929</v>
      </c>
      <c r="Q79" s="20">
        <f t="shared" si="54"/>
        <v>505.1248775564427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344.4940855044307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9.12431944623322E-7</v>
      </c>
      <c r="AC79" s="22">
        <f t="shared" si="57"/>
        <v>9.12431944623322E-7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218.19999999999985</v>
      </c>
      <c r="AJ79" s="13">
        <f>AI79*VLOOKUP('Données projet'!$B$10,Paramètres!$A$1:$I$89,3,0)*VLOOKUP('Données projet'!$B$10,Paramètres!$A$1:$I$89,5,0)</f>
        <v>146.36855999999992</v>
      </c>
      <c r="AK79" s="13">
        <f t="shared" si="89"/>
        <v>37.752154450755143</v>
      </c>
      <c r="AL79" s="20">
        <f t="shared" si="58"/>
        <v>320.6769110017317</v>
      </c>
      <c r="AM79" s="59">
        <f t="shared" si="59"/>
        <v>614.01024433506495</v>
      </c>
      <c r="AN79" s="59">
        <f ca="1">AVERAGE(OFFSET($AM$3,0,0,'Données projet'!$E$10+1,1))-AVERAGE(OFFSET($H$3,0,0,'Données projet'!$E$10+1,1))</f>
        <v>246.71489737733248</v>
      </c>
      <c r="AO79" s="59">
        <f t="shared" si="90"/>
        <v>185.03615139960783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3.4</v>
      </c>
      <c r="BD79" s="12">
        <f>IF('Données projet'!$A$88&gt;35,BD78+BC79-BL78,IF(A79&lt;'Données projet'!$A$88,$BA$205^A79,IF(A79='Données projet'!$A$88,'Données projet'!$B$88,BD78+BC79-BL78)))</f>
        <v>132.39999999999995</v>
      </c>
      <c r="BE79" s="13">
        <f>BD79*VLOOKUP('Données projet'!$B$11,Paramètres!$A$1:$I$89,3,0)*VLOOKUP('Données projet'!$B$11,Paramètres!$A$1:$I$89,5,0)</f>
        <v>128.05727999999996</v>
      </c>
      <c r="BF79" s="13">
        <f t="shared" si="91"/>
        <v>33.54706115995706</v>
      </c>
      <c r="BG79" s="20">
        <f t="shared" si="61"/>
        <v>281.46089418692515</v>
      </c>
      <c r="BH79" s="59">
        <f t="shared" si="62"/>
        <v>574.79422752025846</v>
      </c>
      <c r="BI79" s="59">
        <f ca="1">AVERAGE(OFFSET($BH$3,0,0,'Données projet'!$E$11+1,1))-AVERAGE(OFFSET($H$3,0,0,'Données projet'!$E$11+1,1))</f>
        <v>211.98817606983374</v>
      </c>
      <c r="BJ79" s="59">
        <f t="shared" si="92"/>
        <v>154.0840647586964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3.4</v>
      </c>
      <c r="BY79" s="12">
        <f>IF('Données projet'!$A$114&gt;35,BY78+BX79-CG78,IF(A79&lt;'Données projet'!$A$114,$BV$205^A79,IF(A79='Données projet'!$A$114,'Données projet'!$B$114,BY78+BX79-CG78)))</f>
        <v>132.39999999999995</v>
      </c>
      <c r="BZ79" s="13">
        <f>BY79*VLOOKUP('Données projet'!$B$12,Paramètres!$A$1:$I$89,3,0)*VLOOKUP('Données projet'!$B$12,Paramètres!$A$1:$I$89,5,0)</f>
        <v>142.51535999999993</v>
      </c>
      <c r="CA79" s="13">
        <f t="shared" si="93"/>
        <v>36.872640589112194</v>
      </c>
      <c r="CB79" s="20">
        <f t="shared" si="64"/>
        <v>312.4341010260369</v>
      </c>
      <c r="CC79" s="59">
        <f t="shared" si="65"/>
        <v>605.76743435937021</v>
      </c>
      <c r="CD79" s="59">
        <f ca="1">AVERAGE(OFFSET($CC$3,0,0,'Données projet'!$E$12+1,1))-AVERAGE(OFFSET($H$3,0,0,'Données projet'!$E$12+1,1))</f>
        <v>231.89176215692947</v>
      </c>
      <c r="CE79" s="59">
        <f t="shared" si="94"/>
        <v>166.97658184507787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2.2737367544323206E-13</v>
      </c>
      <c r="CU79" s="17">
        <f>CT79*VLOOKUP('Données projet'!$B$13,Paramètres!$A$1:$I$89,3,0)*VLOOKUP('Données projet'!$B$13,Paramètres!$A$1:$I$89,5,0)</f>
        <v>1.7735146684572101E-13</v>
      </c>
      <c r="CV79" s="13">
        <f t="shared" si="95"/>
        <v>2.4924271921531257E-12</v>
      </c>
      <c r="CW79" s="20">
        <f t="shared" si="67"/>
        <v>4.6498644977563242E-12</v>
      </c>
      <c r="CX79" s="59">
        <f t="shared" si="68"/>
        <v>293.33333333333798</v>
      </c>
      <c r="CY79" s="59">
        <f ca="1">AVERAGE(OFFSET($CX$3,0,0,'Données projet'!$E$13+1,1))-AVERAGE(OFFSET($H$3,0,0,'Données projet'!$E$13+1,1))</f>
        <v>274.37717856763146</v>
      </c>
      <c r="CZ79" s="59">
        <f t="shared" si="96"/>
        <v>264.17357326498581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2.539824892014643E-6</v>
      </c>
      <c r="DI79" s="22">
        <f t="shared" si="69"/>
        <v>2.539824892014643E-6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213.99455999999986</v>
      </c>
      <c r="DQ79" s="13">
        <f t="shared" si="97"/>
        <v>52.807537963382018</v>
      </c>
      <c r="DR79" s="20">
        <f t="shared" si="70"/>
        <v>464.68032061955677</v>
      </c>
      <c r="DS79" s="59">
        <f t="shared" si="71"/>
        <v>758.01365395289008</v>
      </c>
      <c r="DT79" s="59">
        <f ca="1">AVERAGE(OFFSET($DS$3,0,0,'Données projet'!$E$14+1,1))-AVERAGE(OFFSET($H$3,0,0,'Données projet'!$E$14+1,1))</f>
        <v>304.26232113495314</v>
      </c>
      <c r="DU79" s="59">
        <f t="shared" si="98"/>
        <v>297.47246687305056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15.062020846471938</v>
      </c>
      <c r="EB79" s="21">
        <f>EXP(-LN(2)/25)*EB78+(1-EXP(-LN(2)/25))/(LN(2)/25)*Calculateur!DW79*Calculateur!DY79*VLOOKUP('Données projet'!$B$14,Paramètres!$A$1:$I$89,3,0)*0.475*44/12</f>
        <v>3.230147600663841</v>
      </c>
      <c r="EC79" s="21">
        <f>EXP(-LN(2)/2)*EC78+(1-EXP(-LN(2)/2))/(LN(2)/2)*DW79*DZ79*VLOOKUP('Données projet'!$B$14,Paramètres!$A$1:$I$89,3,0)*0.475*44/12</f>
        <v>1.3306500709986759</v>
      </c>
      <c r="ED79" s="22">
        <f t="shared" si="72"/>
        <v>19.622818518134455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238.59576000000024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344.4940855044307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6.4518681541437943E-7</v>
      </c>
      <c r="AC80" s="22">
        <f t="shared" si="57"/>
        <v>6.4518681541437943E-7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224.39999999999984</v>
      </c>
      <c r="AJ80" s="13">
        <f>AI80*VLOOKUP('Données projet'!$B$10,Paramètres!$A$1:$I$89,3,0)*VLOOKUP('Données projet'!$B$10,Paramètres!$A$1:$I$89,5,0)</f>
        <v>150.5275199999999</v>
      </c>
      <c r="AK80" s="13">
        <f t="shared" si="89"/>
        <v>38.698441928903449</v>
      </c>
      <c r="AL80" s="20">
        <f t="shared" si="58"/>
        <v>329.56855035950667</v>
      </c>
      <c r="AM80" s="59">
        <f t="shared" si="59"/>
        <v>622.90188369283999</v>
      </c>
      <c r="AN80" s="59">
        <f ca="1">AVERAGE(OFFSET($AM$3,0,0,'Données projet'!$E$10+1,1))-AVERAGE(OFFSET($H$3,0,0,'Données projet'!$E$10+1,1))</f>
        <v>246.71489737733248</v>
      </c>
      <c r="AO80" s="59">
        <f t="shared" si="90"/>
        <v>185.03615139960783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3.4</v>
      </c>
      <c r="BD80" s="12">
        <f>IF('Données projet'!$A$88&gt;35,BD79+BC80-BL79,IF(A80&lt;'Données projet'!$A$88,$BA$205^A80,IF(A80='Données projet'!$A$88,'Données projet'!$B$88,BD79+BC80-BL79)))</f>
        <v>135.79999999999995</v>
      </c>
      <c r="BE80" s="13">
        <f>BD80*VLOOKUP('Données projet'!$B$11,Paramètres!$A$1:$I$89,3,0)*VLOOKUP('Données projet'!$B$11,Paramètres!$A$1:$I$89,5,0)</f>
        <v>131.34575999999996</v>
      </c>
      <c r="BF80" s="13">
        <f t="shared" si="91"/>
        <v>34.307138321119652</v>
      </c>
      <c r="BG80" s="20">
        <f t="shared" si="61"/>
        <v>288.51213124261659</v>
      </c>
      <c r="BH80" s="59">
        <f t="shared" si="62"/>
        <v>581.8454645759499</v>
      </c>
      <c r="BI80" s="59">
        <f ca="1">AVERAGE(OFFSET($BH$3,0,0,'Données projet'!$E$11+1,1))-AVERAGE(OFFSET($H$3,0,0,'Données projet'!$E$11+1,1))</f>
        <v>211.98817606983374</v>
      </c>
      <c r="BJ80" s="59">
        <f t="shared" si="92"/>
        <v>154.0840647586964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3.4</v>
      </c>
      <c r="BY80" s="12">
        <f>IF('Données projet'!$A$114&gt;35,BY79+BX80-CG79,IF(A80&lt;'Données projet'!$A$114,$BV$205^A80,IF(A80='Données projet'!$A$114,'Données projet'!$B$114,BY79+BX80-CG79)))</f>
        <v>135.79999999999995</v>
      </c>
      <c r="BZ80" s="13">
        <f>BY80*VLOOKUP('Données projet'!$B$12,Paramètres!$A$1:$I$89,3,0)*VLOOKUP('Données projet'!$B$12,Paramètres!$A$1:$I$89,5,0)</f>
        <v>146.17511999999994</v>
      </c>
      <c r="CA80" s="13">
        <f t="shared" si="93"/>
        <v>37.708065541834912</v>
      </c>
      <c r="CB80" s="20">
        <f t="shared" si="64"/>
        <v>320.26321481869564</v>
      </c>
      <c r="CC80" s="59">
        <f t="shared" si="65"/>
        <v>613.59654815202896</v>
      </c>
      <c r="CD80" s="59">
        <f ca="1">AVERAGE(OFFSET($CC$3,0,0,'Données projet'!$E$12+1,1))-AVERAGE(OFFSET($H$3,0,0,'Données projet'!$E$12+1,1))</f>
        <v>231.89176215692947</v>
      </c>
      <c r="CE80" s="59">
        <f t="shared" si="94"/>
        <v>166.97658184507787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2.2737367544323206E-13</v>
      </c>
      <c r="CU80" s="17">
        <f>CT80*VLOOKUP('Données projet'!$B$13,Paramètres!$A$1:$I$89,3,0)*VLOOKUP('Données projet'!$B$13,Paramètres!$A$1:$I$89,5,0)</f>
        <v>1.7735146684572101E-13</v>
      </c>
      <c r="CV80" s="13">
        <f t="shared" si="95"/>
        <v>2.4924271921531257E-12</v>
      </c>
      <c r="CW80" s="20">
        <f t="shared" si="67"/>
        <v>4.6498644977563242E-12</v>
      </c>
      <c r="CX80" s="59">
        <f t="shared" si="68"/>
        <v>293.33333333333798</v>
      </c>
      <c r="CY80" s="59">
        <f ca="1">AVERAGE(OFFSET($CX$3,0,0,'Données projet'!$E$13+1,1))-AVERAGE(OFFSET($H$3,0,0,'Données projet'!$E$13+1,1))</f>
        <v>274.37717856763146</v>
      </c>
      <c r="CZ80" s="59">
        <f t="shared" si="96"/>
        <v>264.17357326498581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1.795927404169945E-6</v>
      </c>
      <c r="DI80" s="22">
        <f t="shared" si="69"/>
        <v>1.795927404169945E-6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216.26591999999982</v>
      </c>
      <c r="DQ80" s="13">
        <f t="shared" si="97"/>
        <v>53.302495062173776</v>
      </c>
      <c r="DR80" s="20">
        <f t="shared" si="70"/>
        <v>469.49832289995226</v>
      </c>
      <c r="DS80" s="59">
        <f t="shared" si="71"/>
        <v>762.83165623328557</v>
      </c>
      <c r="DT80" s="59">
        <f ca="1">AVERAGE(OFFSET($DS$3,0,0,'Données projet'!$E$14+1,1))-AVERAGE(OFFSET($H$3,0,0,'Données projet'!$E$14+1,1))</f>
        <v>304.26232113495314</v>
      </c>
      <c r="DU80" s="59">
        <f t="shared" si="98"/>
        <v>297.47246687305056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14.766663804598206</v>
      </c>
      <c r="EB80" s="21">
        <f>EXP(-LN(2)/25)*EB79+(1-EXP(-LN(2)/25))/(LN(2)/25)*Calculateur!DW80*Calculateur!DY80*VLOOKUP('Données projet'!$B$14,Paramètres!$A$1:$I$89,3,0)*0.475*44/12</f>
        <v>3.1418190446576086</v>
      </c>
      <c r="EC80" s="21">
        <f>EXP(-LN(2)/2)*EC79+(1-EXP(-LN(2)/2))/(LN(2)/2)*DW80*DZ80*VLOOKUP('Données projet'!$B$14,Paramètres!$A$1:$I$89,3,0)*0.475*44/12</f>
        <v>0.94091168858952479</v>
      </c>
      <c r="ED80" s="22">
        <f t="shared" si="72"/>
        <v>18.849394537845342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244.11504000000025</v>
      </c>
      <c r="P81" s="13">
        <f t="shared" si="87"/>
        <v>59.324023461759118</v>
      </c>
      <c r="Q81" s="20">
        <f t="shared" si="54"/>
        <v>528.48970219589762</v>
      </c>
      <c r="R81" s="59">
        <f t="shared" si="55"/>
        <v>821.82303552923099</v>
      </c>
      <c r="S81" s="59">
        <f ca="1">AVERAGE(OFFSET($R$3,0,0,'Données projet'!$E$9+1,1))-AVERAGE(OFFSET($H$3,0,0,'Données projet'!$E$9+1,1))</f>
        <v>344.4940855044307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4.5621597231166105E-7</v>
      </c>
      <c r="AC81" s="22">
        <f t="shared" si="57"/>
        <v>4.5621597231166105E-7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230.59999999999982</v>
      </c>
      <c r="AJ81" s="13">
        <f>AI81*VLOOKUP('Données projet'!$B$10,Paramètres!$A$1:$I$89,3,0)*VLOOKUP('Données projet'!$B$10,Paramètres!$A$1:$I$89,5,0)</f>
        <v>154.68647999999988</v>
      </c>
      <c r="AK81" s="13">
        <f t="shared" si="89"/>
        <v>39.641690585944211</v>
      </c>
      <c r="AL81" s="20">
        <f t="shared" si="58"/>
        <v>338.4548971038526</v>
      </c>
      <c r="AM81" s="59">
        <f t="shared" si="59"/>
        <v>631.78823043718592</v>
      </c>
      <c r="AN81" s="59">
        <f ca="1">AVERAGE(OFFSET($AM$3,0,0,'Données projet'!$E$10+1,1))-AVERAGE(OFFSET($H$3,0,0,'Données projet'!$E$10+1,1))</f>
        <v>246.71489737733248</v>
      </c>
      <c r="AO81" s="59">
        <f t="shared" si="90"/>
        <v>185.03615139960783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3.4</v>
      </c>
      <c r="BD81" s="12">
        <f>IF('Données projet'!$A$88&gt;35,BD80+BC81-BL80,IF(A81&lt;'Données projet'!$A$88,$BA$205^A81,IF(A81='Données projet'!$A$88,'Données projet'!$B$88,BD80+BC81-BL80)))</f>
        <v>139.19999999999996</v>
      </c>
      <c r="BE81" s="13">
        <f>BD81*VLOOKUP('Données projet'!$B$11,Paramètres!$A$1:$I$89,3,0)*VLOOKUP('Données projet'!$B$11,Paramètres!$A$1:$I$89,5,0)</f>
        <v>134.63423999999998</v>
      </c>
      <c r="BF81" s="13">
        <f t="shared" si="91"/>
        <v>35.065003380589694</v>
      </c>
      <c r="BG81" s="20">
        <f t="shared" si="61"/>
        <v>295.55951555452697</v>
      </c>
      <c r="BH81" s="59">
        <f t="shared" si="62"/>
        <v>588.89284888786028</v>
      </c>
      <c r="BI81" s="59">
        <f ca="1">AVERAGE(OFFSET($BH$3,0,0,'Données projet'!$E$11+1,1))-AVERAGE(OFFSET($H$3,0,0,'Données projet'!$E$11+1,1))</f>
        <v>211.98817606983374</v>
      </c>
      <c r="BJ81" s="59">
        <f t="shared" si="92"/>
        <v>154.0840647586964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3.4</v>
      </c>
      <c r="BY81" s="12">
        <f>IF('Données projet'!$A$114&gt;35,BY80+BX81-CG80,IF(A81&lt;'Données projet'!$A$114,$BV$205^A81,IF(A81='Données projet'!$A$114,'Données projet'!$B$114,BY80+BX81-CG80)))</f>
        <v>139.19999999999996</v>
      </c>
      <c r="BZ81" s="13">
        <f>BY81*VLOOKUP('Données projet'!$B$12,Paramètres!$A$1:$I$89,3,0)*VLOOKUP('Données projet'!$B$12,Paramètres!$A$1:$I$89,5,0)</f>
        <v>149.83487999999994</v>
      </c>
      <c r="CA81" s="13">
        <f t="shared" si="93"/>
        <v>38.541059103316854</v>
      </c>
      <c r="CB81" s="20">
        <f t="shared" si="64"/>
        <v>328.08809393827676</v>
      </c>
      <c r="CC81" s="59">
        <f t="shared" si="65"/>
        <v>621.42142727161013</v>
      </c>
      <c r="CD81" s="59">
        <f ca="1">AVERAGE(OFFSET($CC$3,0,0,'Données projet'!$E$12+1,1))-AVERAGE(OFFSET($H$3,0,0,'Données projet'!$E$12+1,1))</f>
        <v>231.89176215692947</v>
      </c>
      <c r="CE81" s="59">
        <f t="shared" si="94"/>
        <v>166.97658184507787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2.2737367544323206E-13</v>
      </c>
      <c r="CU81" s="17">
        <f>CT81*VLOOKUP('Données projet'!$B$13,Paramètres!$A$1:$I$89,3,0)*VLOOKUP('Données projet'!$B$13,Paramètres!$A$1:$I$89,5,0)</f>
        <v>1.7735146684572101E-13</v>
      </c>
      <c r="CV81" s="13">
        <f t="shared" si="95"/>
        <v>2.4924271921531257E-12</v>
      </c>
      <c r="CW81" s="20">
        <f t="shared" si="67"/>
        <v>4.6498644977563242E-12</v>
      </c>
      <c r="CX81" s="59">
        <f t="shared" si="68"/>
        <v>293.33333333333798</v>
      </c>
      <c r="CY81" s="59">
        <f ca="1">AVERAGE(OFFSET($CX$3,0,0,'Données projet'!$E$13+1,1))-AVERAGE(OFFSET($H$3,0,0,'Données projet'!$E$13+1,1))</f>
        <v>274.37717856763146</v>
      </c>
      <c r="CZ81" s="59">
        <f t="shared" si="96"/>
        <v>264.17357326498581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1.2699124460073217E-6</v>
      </c>
      <c r="DI81" s="22">
        <f t="shared" si="69"/>
        <v>1.2699124460073217E-6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218.53727999999987</v>
      </c>
      <c r="DQ81" s="13">
        <f t="shared" si="97"/>
        <v>53.796847431080771</v>
      </c>
      <c r="DR81" s="20">
        <f t="shared" si="70"/>
        <v>474.31527194246542</v>
      </c>
      <c r="DS81" s="59">
        <f t="shared" si="71"/>
        <v>767.64860527579867</v>
      </c>
      <c r="DT81" s="59">
        <f ca="1">AVERAGE(OFFSET($DS$3,0,0,'Données projet'!$E$14+1,1))-AVERAGE(OFFSET($H$3,0,0,'Données projet'!$E$14+1,1))</f>
        <v>304.26232113495314</v>
      </c>
      <c r="DU81" s="59">
        <f t="shared" si="98"/>
        <v>297.47246687305056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14.477098534165611</v>
      </c>
      <c r="EB81" s="21">
        <f>EXP(-LN(2)/25)*EB80+(1-EXP(-LN(2)/25))/(LN(2)/25)*Calculateur!DW81*Calculateur!DY81*VLOOKUP('Données projet'!$B$14,Paramètres!$A$1:$I$89,3,0)*0.475*44/12</f>
        <v>3.0559058376603634</v>
      </c>
      <c r="EC81" s="21">
        <f>EXP(-LN(2)/2)*EC80+(1-EXP(-LN(2)/2))/(LN(2)/2)*DW81*DZ81*VLOOKUP('Données projet'!$B$14,Paramètres!$A$1:$I$89,3,0)*0.475*44/12</f>
        <v>0.66532503549933808</v>
      </c>
      <c r="ED81" s="22">
        <f t="shared" si="72"/>
        <v>18.198329407325314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249.63432000000026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344.4940855044307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3.2259340770718977E-7</v>
      </c>
      <c r="AC82" s="22">
        <f t="shared" si="57"/>
        <v>3.2259340770718977E-7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236.79999999999981</v>
      </c>
      <c r="AJ82" s="13">
        <f>AI82*VLOOKUP('Données projet'!$B$10,Paramètres!$A$1:$I$89,3,0)*VLOOKUP('Données projet'!$B$10,Paramètres!$A$1:$I$89,5,0)</f>
        <v>158.84543999999988</v>
      </c>
      <c r="AK82" s="13">
        <f t="shared" si="89"/>
        <v>40.581991514647143</v>
      </c>
      <c r="AL82" s="20">
        <f t="shared" si="58"/>
        <v>347.33610988801024</v>
      </c>
      <c r="AM82" s="59">
        <f t="shared" si="59"/>
        <v>640.6694432213435</v>
      </c>
      <c r="AN82" s="59">
        <f ca="1">AVERAGE(OFFSET($AM$3,0,0,'Données projet'!$E$10+1,1))-AVERAGE(OFFSET($H$3,0,0,'Données projet'!$E$10+1,1))</f>
        <v>246.71489737733248</v>
      </c>
      <c r="AO82" s="59">
        <f t="shared" si="90"/>
        <v>185.03615139960783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3.4</v>
      </c>
      <c r="BD82" s="12">
        <f>IF('Données projet'!$A$88&gt;35,BD81+BC82-BL81,IF(A82&lt;'Données projet'!$A$88,$BA$205^A82,IF(A82='Données projet'!$A$88,'Données projet'!$B$88,BD81+BC82-BL81)))</f>
        <v>142.59999999999997</v>
      </c>
      <c r="BE82" s="13">
        <f>BD82*VLOOKUP('Données projet'!$B$11,Paramètres!$A$1:$I$89,3,0)*VLOOKUP('Données projet'!$B$11,Paramètres!$A$1:$I$89,5,0)</f>
        <v>137.92271999999997</v>
      </c>
      <c r="BF82" s="13">
        <f t="shared" si="91"/>
        <v>35.82071658526872</v>
      </c>
      <c r="BG82" s="20">
        <f t="shared" si="61"/>
        <v>302.60315205267631</v>
      </c>
      <c r="BH82" s="59">
        <f t="shared" si="62"/>
        <v>595.93648538600962</v>
      </c>
      <c r="BI82" s="59">
        <f ca="1">AVERAGE(OFFSET($BH$3,0,0,'Données projet'!$E$11+1,1))-AVERAGE(OFFSET($H$3,0,0,'Données projet'!$E$11+1,1))</f>
        <v>211.98817606983374</v>
      </c>
      <c r="BJ82" s="59">
        <f t="shared" si="92"/>
        <v>154.0840647586964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3.4</v>
      </c>
      <c r="BY82" s="12">
        <f>IF('Données projet'!$A$114&gt;35,BY81+BX82-CG81,IF(A82&lt;'Données projet'!$A$114,$BV$205^A82,IF(A82='Données projet'!$A$114,'Données projet'!$B$114,BY81+BX82-CG81)))</f>
        <v>142.59999999999997</v>
      </c>
      <c r="BZ82" s="13">
        <f>BY82*VLOOKUP('Données projet'!$B$12,Paramètres!$A$1:$I$89,3,0)*VLOOKUP('Données projet'!$B$12,Paramètres!$A$1:$I$89,5,0)</f>
        <v>153.49463999999995</v>
      </c>
      <c r="CA82" s="13">
        <f t="shared" si="93"/>
        <v>39.371687492841346</v>
      </c>
      <c r="CB82" s="20">
        <f t="shared" si="64"/>
        <v>335.90885371669856</v>
      </c>
      <c r="CC82" s="59">
        <f t="shared" si="65"/>
        <v>629.24218705003182</v>
      </c>
      <c r="CD82" s="59">
        <f ca="1">AVERAGE(OFFSET($CC$3,0,0,'Données projet'!$E$12+1,1))-AVERAGE(OFFSET($H$3,0,0,'Données projet'!$E$12+1,1))</f>
        <v>231.89176215692947</v>
      </c>
      <c r="CE82" s="59">
        <f t="shared" si="94"/>
        <v>166.97658184507787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2.2737367544323206E-13</v>
      </c>
      <c r="CU82" s="17">
        <f>CT82*VLOOKUP('Données projet'!$B$13,Paramètres!$A$1:$I$89,3,0)*VLOOKUP('Données projet'!$B$13,Paramètres!$A$1:$I$89,5,0)</f>
        <v>1.7735146684572101E-13</v>
      </c>
      <c r="CV82" s="13">
        <f t="shared" si="95"/>
        <v>2.4924271921531257E-12</v>
      </c>
      <c r="CW82" s="20">
        <f t="shared" si="67"/>
        <v>4.6498644977563242E-12</v>
      </c>
      <c r="CX82" s="59">
        <f t="shared" si="68"/>
        <v>293.33333333333798</v>
      </c>
      <c r="CY82" s="59">
        <f ca="1">AVERAGE(OFFSET($CX$3,0,0,'Données projet'!$E$13+1,1))-AVERAGE(OFFSET($H$3,0,0,'Données projet'!$E$13+1,1))</f>
        <v>274.37717856763146</v>
      </c>
      <c r="CZ82" s="59">
        <f t="shared" si="96"/>
        <v>264.17357326498581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8.9796370208497261E-7</v>
      </c>
      <c r="DI82" s="22">
        <f t="shared" si="69"/>
        <v>8.9796370208497261E-7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220.80863999999985</v>
      </c>
      <c r="DQ82" s="13">
        <f t="shared" si="97"/>
        <v>54.290602082955985</v>
      </c>
      <c r="DR82" s="20">
        <f t="shared" si="70"/>
        <v>479.13117996114801</v>
      </c>
      <c r="DS82" s="59">
        <f t="shared" si="71"/>
        <v>772.46451329448132</v>
      </c>
      <c r="DT82" s="59">
        <f ca="1">AVERAGE(OFFSET($DS$3,0,0,'Données projet'!$E$14+1,1))-AVERAGE(OFFSET($H$3,0,0,'Données projet'!$E$14+1,1))</f>
        <v>304.26232113495314</v>
      </c>
      <c r="DU82" s="59">
        <f t="shared" si="98"/>
        <v>297.47246687305056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14.193211462068824</v>
      </c>
      <c r="EB82" s="21">
        <f>EXP(-LN(2)/25)*EB81+(1-EXP(-LN(2)/25))/(LN(2)/25)*Calculateur!DW82*Calculateur!DY82*VLOOKUP('Données projet'!$B$14,Paramètres!$A$1:$I$89,3,0)*0.475*44/12</f>
        <v>2.972341931826437</v>
      </c>
      <c r="EC82" s="21">
        <f>EXP(-LN(2)/2)*EC81+(1-EXP(-LN(2)/2))/(LN(2)/2)*DW82*DZ82*VLOOKUP('Données projet'!$B$14,Paramètres!$A$1:$I$89,3,0)*0.475*44/12</f>
        <v>0.47045584429476245</v>
      </c>
      <c r="ED82" s="22">
        <f t="shared" si="72"/>
        <v>17.636009238190024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255.15360000000027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344.4940855044307</v>
      </c>
      <c r="T83" s="59">
        <f t="shared" si="88"/>
        <v>231.36959598460686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2.2810798615583055E-7</v>
      </c>
      <c r="AC83" s="22">
        <f t="shared" si="57"/>
        <v>2.2810798615583055E-7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242.9999999999998</v>
      </c>
      <c r="AJ83" s="13">
        <f>AI83*VLOOKUP('Données projet'!$B$10,Paramètres!$A$1:$I$89,3,0)*VLOOKUP('Données projet'!$B$10,Paramètres!$A$1:$I$89,5,0)</f>
        <v>163.00439999999986</v>
      </c>
      <c r="AK83" s="13">
        <f t="shared" si="89"/>
        <v>41.519430766049126</v>
      </c>
      <c r="AL83" s="20">
        <f t="shared" si="58"/>
        <v>356.21233858420197</v>
      </c>
      <c r="AM83" s="59">
        <f t="shared" si="59"/>
        <v>649.54567191753529</v>
      </c>
      <c r="AN83" s="59">
        <f ca="1">AVERAGE(OFFSET($AM$3,0,0,'Données projet'!$E$10+1,1))-AVERAGE(OFFSET($H$3,0,0,'Données projet'!$E$10+1,1))</f>
        <v>246.71489737733248</v>
      </c>
      <c r="AO83" s="59">
        <f t="shared" si="90"/>
        <v>185.03615139960783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146</v>
      </c>
      <c r="BB83" s="12">
        <f>VLOOKUP(A83,'Données projet'!$A$87:$I$107,9,0)</f>
        <v>3.4</v>
      </c>
      <c r="BC83" s="12">
        <f t="array" ref="BC83">INDEX(BB:BB,MIN(IF(ISNUMBER(BB83:BB279),ROW(BB83:BB279),"")))</f>
        <v>3.4</v>
      </c>
      <c r="BD83" s="12">
        <f>IF('Données projet'!$A$88&gt;35,BD82+BC83-BL82,IF(A83&lt;'Données projet'!$A$88,$BA$205^A83,IF(A83='Données projet'!$A$88,'Données projet'!$B$88,BD82+BC83-BL82)))</f>
        <v>145.99999999999997</v>
      </c>
      <c r="BE83" s="13">
        <f>BD83*VLOOKUP('Données projet'!$B$11,Paramètres!$A$1:$I$89,3,0)*VLOOKUP('Données projet'!$B$11,Paramètres!$A$1:$I$89,5,0)</f>
        <v>141.21119999999996</v>
      </c>
      <c r="BF83" s="13">
        <f t="shared" si="91"/>
        <v>36.574335145278738</v>
      </c>
      <c r="BG83" s="20">
        <f t="shared" si="61"/>
        <v>309.64314037802706</v>
      </c>
      <c r="BH83" s="59">
        <f t="shared" si="62"/>
        <v>602.97647371136031</v>
      </c>
      <c r="BI83" s="59">
        <f ca="1">AVERAGE(OFFSET($BH$3,0,0,'Données projet'!$E$11+1,1))-AVERAGE(OFFSET($H$3,0,0,'Données projet'!$E$11+1,1))</f>
        <v>211.98817606983374</v>
      </c>
      <c r="BJ83" s="59">
        <f t="shared" si="92"/>
        <v>154.0840647586964</v>
      </c>
      <c r="BK83" s="15">
        <f>IF(ISNA(VLOOKUP(A83,'Données projet'!$A$87:$I$107,3,0)),0,VLOOKUP(A83,'Données projet'!$A$87:$I$107,3,0))</f>
        <v>11</v>
      </c>
      <c r="BL83" s="21">
        <f>IF(ISNA(VLOOKUP(A83,'Données projet'!$A$87:$I$107,4,0)),0,VLOOKUP(A83,'Données projet'!$A$87:$I$107,4,0))</f>
        <v>9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146</v>
      </c>
      <c r="BW83" s="12">
        <f>VLOOKUP(A83,'Données projet'!$A$113:$I$133,9,0)</f>
        <v>3.4</v>
      </c>
      <c r="BX83" s="12">
        <f t="array" ref="BX83">INDEX(BW:BW,MIN(IF(ISNUMBER(BW83:BW279),ROW(BW83:BW279),"")))</f>
        <v>3.4</v>
      </c>
      <c r="BY83" s="12">
        <f>IF('Données projet'!$A$114&gt;35,BY82+BX83-CG82,IF(A83&lt;'Données projet'!$A$114,$BV$205^A83,IF(A83='Données projet'!$A$114,'Données projet'!$B$114,BY82+BX83-CG82)))</f>
        <v>145.99999999999997</v>
      </c>
      <c r="BZ83" s="13">
        <f>BY83*VLOOKUP('Données projet'!$B$12,Paramètres!$A$1:$I$89,3,0)*VLOOKUP('Données projet'!$B$12,Paramètres!$A$1:$I$89,5,0)</f>
        <v>157.15439999999995</v>
      </c>
      <c r="CA83" s="13">
        <f t="shared" si="93"/>
        <v>40.20001359187092</v>
      </c>
      <c r="CB83" s="20">
        <f t="shared" si="64"/>
        <v>343.72560367250838</v>
      </c>
      <c r="CC83" s="59">
        <f t="shared" si="65"/>
        <v>637.0589370058417</v>
      </c>
      <c r="CD83" s="59">
        <f ca="1">AVERAGE(OFFSET($CC$3,0,0,'Données projet'!$E$12+1,1))-AVERAGE(OFFSET($H$3,0,0,'Données projet'!$E$12+1,1))</f>
        <v>231.89176215692947</v>
      </c>
      <c r="CE83" s="59">
        <f t="shared" si="94"/>
        <v>166.97658184507787</v>
      </c>
      <c r="CF83" s="15">
        <f>IF(ISNA(VLOOKUP(A83,'Données projet'!$A$113:$I$133,3,0)),0,VLOOKUP(A83,'Données projet'!$A$113:$I$133,3,0))</f>
        <v>11</v>
      </c>
      <c r="CG83" s="15">
        <f>IF(ISNA(VLOOKUP(A83,'Données projet'!$A$113:$I$133,4,0)),0,VLOOKUP(A83,'Données projet'!$A$113:$I$133,4,0))</f>
        <v>9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2.2737367544323206E-13</v>
      </c>
      <c r="CU83" s="17">
        <f>CT83*VLOOKUP('Données projet'!$B$13,Paramètres!$A$1:$I$89,3,0)*VLOOKUP('Données projet'!$B$13,Paramètres!$A$1:$I$89,5,0)</f>
        <v>1.7735146684572101E-13</v>
      </c>
      <c r="CV83" s="13">
        <f t="shared" si="95"/>
        <v>2.4924271921531257E-12</v>
      </c>
      <c r="CW83" s="20">
        <f t="shared" si="67"/>
        <v>4.6498644977563242E-12</v>
      </c>
      <c r="CX83" s="59">
        <f t="shared" si="68"/>
        <v>293.33333333333798</v>
      </c>
      <c r="CY83" s="59">
        <f ca="1">AVERAGE(OFFSET($CX$3,0,0,'Données projet'!$E$13+1,1))-AVERAGE(OFFSET($H$3,0,0,'Données projet'!$E$13+1,1))</f>
        <v>274.37717856763146</v>
      </c>
      <c r="CZ83" s="59">
        <f t="shared" si="96"/>
        <v>264.17357326498581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6.3495622300366096E-7</v>
      </c>
      <c r="DI83" s="22">
        <f t="shared" si="69"/>
        <v>6.3495622300366096E-7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223.07999999999987</v>
      </c>
      <c r="DQ83" s="13">
        <f t="shared" si="97"/>
        <v>54.783765878062617</v>
      </c>
      <c r="DR83" s="20">
        <f t="shared" si="70"/>
        <v>483.94605890429216</v>
      </c>
      <c r="DS83" s="59">
        <f t="shared" si="71"/>
        <v>777.27939223762542</v>
      </c>
      <c r="DT83" s="59">
        <f ca="1">AVERAGE(OFFSET($DS$3,0,0,'Données projet'!$E$14+1,1))-AVERAGE(OFFSET($H$3,0,0,'Données projet'!$E$14+1,1))</f>
        <v>304.26232113495314</v>
      </c>
      <c r="DU83" s="59">
        <f t="shared" si="98"/>
        <v>297.47246687305056</v>
      </c>
      <c r="DV83" s="15" t="str">
        <f>IF(ISNA(VLOOKUP(A83,'Données projet'!$A$165:$I$185,3,0)),0,VLOOKUP(A83,'Données projet'!$A$165:$I$185,3,0))</f>
        <v>CR</v>
      </c>
      <c r="DW83" s="15">
        <f>IF(ISNA(VLOOKUP(A83,'Données projet'!$A$165:$I$185,4,0)),0,VLOOKUP(A83,'Données projet'!$A$165:$I$185,4,0))</f>
        <v>275</v>
      </c>
      <c r="DX83" s="16">
        <f>IF(ISNA(VLOOKUP(A83,'Données projet'!$A$165:$I$185,5,0)),0%,VLOOKUP(A83,'Données projet'!$A$165:$I$185,5,0)*VLOOKUP('Données projet'!$B$14,Paramètres!$A$1:$I$89,7,0))</f>
        <v>0.371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0.2</v>
      </c>
      <c r="EA83" s="21">
        <f>EXP(-LN(2)/35)*EA82+(1-EXP(-LN(2)/35))/(LN(2)/35)*DW83*DX83*VLOOKUP('Données projet'!$B$14,Paramètres!$A$1:$I$89,3,0)*0.475*44/12</f>
        <v>105.40658251306596</v>
      </c>
      <c r="EB83" s="21">
        <f>EXP(-LN(2)/25)*EB82+(1-EXP(-LN(2)/25))/(LN(2)/25)*Calculateur!DW83*Calculateur!DY83*VLOOKUP('Données projet'!$B$14,Paramètres!$A$1:$I$89,3,0)*0.475*44/12</f>
        <v>2.8910630853919743</v>
      </c>
      <c r="EC83" s="21">
        <f>EXP(-LN(2)/2)*EC82+(1-EXP(-LN(2)/2))/(LN(2)/2)*DW83*DZ83*VLOOKUP('Données projet'!$B$14,Paramètres!$A$1:$I$89,3,0)*0.475*44/12</f>
        <v>42.42905933978367</v>
      </c>
      <c r="ED83" s="22">
        <f t="shared" si="72"/>
        <v>150.7267049382416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222.21888000000033</v>
      </c>
      <c r="P84" s="13">
        <f t="shared" si="87"/>
        <v>54.596866296848951</v>
      </c>
      <c r="Q84" s="20">
        <f t="shared" si="54"/>
        <v>482.12075813367915</v>
      </c>
      <c r="R84" s="59">
        <f t="shared" si="55"/>
        <v>775.4540914670124</v>
      </c>
      <c r="S84" s="59">
        <f ca="1">AVERAGE(OFFSET($R$3,0,0,'Données projet'!$E$9+1,1))-AVERAGE(OFFSET($H$3,0,0,'Données projet'!$E$9+1,1))</f>
        <v>344.4940855044307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1.6129670385359488E-7</v>
      </c>
      <c r="AC84" s="22">
        <f t="shared" si="57"/>
        <v>1.6129670385359488E-7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227.79999999999981</v>
      </c>
      <c r="AJ84" s="13">
        <f>AI84*VLOOKUP('Données projet'!$B$10,Paramètres!$A$1:$I$89,3,0)*VLOOKUP('Données projet'!$B$10,Paramètres!$A$1:$I$89,5,0)</f>
        <v>152.8082399999999</v>
      </c>
      <c r="AK84" s="13">
        <f t="shared" si="89"/>
        <v>39.216077673002978</v>
      </c>
      <c r="AL84" s="20">
        <f t="shared" si="58"/>
        <v>334.44235328048001</v>
      </c>
      <c r="AM84" s="59">
        <f t="shared" si="59"/>
        <v>627.77568661381338</v>
      </c>
      <c r="AN84" s="59">
        <f ca="1">AVERAGE(OFFSET($AM$3,0,0,'Données projet'!$E$10+1,1))-AVERAGE(OFFSET($H$3,0,0,'Données projet'!$E$10+1,1))</f>
        <v>246.71489737733248</v>
      </c>
      <c r="AO84" s="59">
        <f t="shared" si="90"/>
        <v>185.03615139960783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</v>
      </c>
      <c r="BD84" s="12">
        <f>IF('Données projet'!$A$88&gt;35,BD83+BC84-BL83,IF(A84&lt;'Données projet'!$A$88,$BA$205^A84,IF(A84='Données projet'!$A$88,'Données projet'!$B$88,BD83+BC84-BL83)))</f>
        <v>139.99999999999997</v>
      </c>
      <c r="BE84" s="13">
        <f>BD84*VLOOKUP('Données projet'!$B$11,Paramètres!$A$1:$I$89,3,0)*VLOOKUP('Données projet'!$B$11,Paramètres!$A$1:$I$89,5,0)</f>
        <v>135.40799999999999</v>
      </c>
      <c r="BF84" s="13">
        <f t="shared" si="91"/>
        <v>35.243009677478732</v>
      </c>
      <c r="BG84" s="20">
        <f t="shared" si="61"/>
        <v>297.21717518827546</v>
      </c>
      <c r="BH84" s="59">
        <f t="shared" si="62"/>
        <v>590.55050852160878</v>
      </c>
      <c r="BI84" s="59">
        <f ca="1">AVERAGE(OFFSET($BH$3,0,0,'Données projet'!$E$11+1,1))-AVERAGE(OFFSET($H$3,0,0,'Données projet'!$E$11+1,1))</f>
        <v>211.98817606983374</v>
      </c>
      <c r="BJ84" s="59">
        <f t="shared" si="92"/>
        <v>154.0840647586964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</v>
      </c>
      <c r="BY84" s="12">
        <f>IF('Données projet'!$A$114&gt;35,BY83+BX84-CG83,IF(A84&lt;'Données projet'!$A$114,$BV$205^A84,IF(A84='Données projet'!$A$114,'Données projet'!$B$114,BY83+BX84-CG83)))</f>
        <v>139.99999999999997</v>
      </c>
      <c r="BZ84" s="13">
        <f>BY84*VLOOKUP('Données projet'!$B$12,Paramètres!$A$1:$I$89,3,0)*VLOOKUP('Données projet'!$B$12,Paramètres!$A$1:$I$89,5,0)</f>
        <v>150.69599999999994</v>
      </c>
      <c r="CA84" s="13">
        <f t="shared" si="93"/>
        <v>38.736711478840633</v>
      </c>
      <c r="CB84" s="20">
        <f t="shared" si="64"/>
        <v>329.92863915898073</v>
      </c>
      <c r="CC84" s="59">
        <f t="shared" si="65"/>
        <v>623.26197249231404</v>
      </c>
      <c r="CD84" s="59">
        <f ca="1">AVERAGE(OFFSET($CC$3,0,0,'Données projet'!$E$12+1,1))-AVERAGE(OFFSET($H$3,0,0,'Données projet'!$E$12+1,1))</f>
        <v>231.89176215692947</v>
      </c>
      <c r="CE84" s="59">
        <f t="shared" si="94"/>
        <v>166.97658184507787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2.2737367544323206E-13</v>
      </c>
      <c r="CU84" s="17">
        <f>CT84*VLOOKUP('Données projet'!$B$13,Paramètres!$A$1:$I$89,3,0)*VLOOKUP('Données projet'!$B$13,Paramètres!$A$1:$I$89,5,0)</f>
        <v>1.7735146684572101E-13</v>
      </c>
      <c r="CV84" s="13">
        <f t="shared" si="95"/>
        <v>2.4924271921531257E-12</v>
      </c>
      <c r="CW84" s="20">
        <f t="shared" si="67"/>
        <v>4.6498644977563242E-12</v>
      </c>
      <c r="CX84" s="59">
        <f t="shared" si="68"/>
        <v>293.33333333333798</v>
      </c>
      <c r="CY84" s="59">
        <f ca="1">AVERAGE(OFFSET($CX$3,0,0,'Données projet'!$E$13+1,1))-AVERAGE(OFFSET($H$3,0,0,'Données projet'!$E$13+1,1))</f>
        <v>274.37717856763146</v>
      </c>
      <c r="CZ84" s="59">
        <f t="shared" si="96"/>
        <v>264.17357326498581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4.4898185104248641E-7</v>
      </c>
      <c r="DI84" s="22">
        <f t="shared" si="69"/>
        <v>4.4898185104248641E-7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-1.7053025658242404E-13</v>
      </c>
      <c r="DP84" s="17">
        <f>DO84*VLOOKUP('Données projet'!$B$14,Paramètres!$A$1:$I$89,3,0)*VLOOKUP('Données projet'!$B$14,Paramètres!$A$1:$I$89,5,0)</f>
        <v>-1.383341441396624E-13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304.26232113495314</v>
      </c>
      <c r="DU84" s="59">
        <f t="shared" si="98"/>
        <v>297.47246687305056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103.33962372165179</v>
      </c>
      <c r="EB84" s="21">
        <f>EXP(-LN(2)/25)*EB83+(1-EXP(-LN(2)/25))/(LN(2)/25)*Calculateur!DW84*Calculateur!DY84*VLOOKUP('Données projet'!$B$14,Paramètres!$A$1:$I$89,3,0)*0.475*44/12</f>
        <v>2.8120068132875309</v>
      </c>
      <c r="EC84" s="21">
        <f>EXP(-LN(2)/2)*EC83+(1-EXP(-LN(2)/2))/(LN(2)/2)*DW84*DZ84*VLOOKUP('Données projet'!$B$14,Paramètres!$A$1:$I$89,3,0)*0.475*44/12</f>
        <v>30.001875578527454</v>
      </c>
      <c r="ED84" s="22">
        <f t="shared" si="72"/>
        <v>136.15350611346676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227.28576000000032</v>
      </c>
      <c r="P85" s="13">
        <f t="shared" si="87"/>
        <v>55.695394520076427</v>
      </c>
      <c r="Q85" s="20">
        <f t="shared" si="54"/>
        <v>492.85884412246702</v>
      </c>
      <c r="R85" s="59">
        <f t="shared" si="55"/>
        <v>786.19217745580033</v>
      </c>
      <c r="S85" s="59">
        <f ca="1">AVERAGE(OFFSET($R$3,0,0,'Données projet'!$E$9+1,1))-AVERAGE(OFFSET($H$3,0,0,'Données projet'!$E$9+1,1))</f>
        <v>344.4940855044307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1.1405399307791528E-7</v>
      </c>
      <c r="AC85" s="22">
        <f t="shared" si="57"/>
        <v>1.1405399307791528E-7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233.59999999999982</v>
      </c>
      <c r="AJ85" s="13">
        <f>AI85*VLOOKUP('Données projet'!$B$10,Paramètres!$A$1:$I$89,3,0)*VLOOKUP('Données projet'!$B$10,Paramètres!$A$1:$I$89,5,0)</f>
        <v>156.69887999999989</v>
      </c>
      <c r="AK85" s="13">
        <f t="shared" si="89"/>
        <v>40.097037560925337</v>
      </c>
      <c r="AL85" s="20">
        <f t="shared" si="58"/>
        <v>342.75288975194479</v>
      </c>
      <c r="AM85" s="59">
        <f t="shared" si="59"/>
        <v>636.08622308527811</v>
      </c>
      <c r="AN85" s="59">
        <f ca="1">AVERAGE(OFFSET($AM$3,0,0,'Données projet'!$E$10+1,1))-AVERAGE(OFFSET($H$3,0,0,'Données projet'!$E$10+1,1))</f>
        <v>246.71489737733248</v>
      </c>
      <c r="AO85" s="59">
        <f t="shared" si="90"/>
        <v>185.03615139960783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</v>
      </c>
      <c r="BD85" s="12">
        <f>IF('Données projet'!$A$88&gt;35,BD84+BC85-BL84,IF(A85&lt;'Données projet'!$A$88,$BA$205^A85,IF(A85='Données projet'!$A$88,'Données projet'!$B$88,BD84+BC85-BL84)))</f>
        <v>142.99999999999997</v>
      </c>
      <c r="BE85" s="13">
        <f>BD85*VLOOKUP('Données projet'!$B$11,Paramètres!$A$1:$I$89,3,0)*VLOOKUP('Données projet'!$B$11,Paramètres!$A$1:$I$89,5,0)</f>
        <v>138.30959999999999</v>
      </c>
      <c r="BF85" s="13">
        <f t="shared" si="91"/>
        <v>35.909485234307901</v>
      </c>
      <c r="BG85" s="20">
        <f t="shared" si="61"/>
        <v>303.43157344975288</v>
      </c>
      <c r="BH85" s="59">
        <f t="shared" si="62"/>
        <v>596.76490678308619</v>
      </c>
      <c r="BI85" s="59">
        <f ca="1">AVERAGE(OFFSET($BH$3,0,0,'Données projet'!$E$11+1,1))-AVERAGE(OFFSET($H$3,0,0,'Données projet'!$E$11+1,1))</f>
        <v>211.98817606983374</v>
      </c>
      <c r="BJ85" s="59">
        <f t="shared" si="92"/>
        <v>154.0840647586964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</v>
      </c>
      <c r="BY85" s="12">
        <f>IF('Données projet'!$A$114&gt;35,BY84+BX85-CG84,IF(A85&lt;'Données projet'!$A$114,$BV$205^A85,IF(A85='Données projet'!$A$114,'Données projet'!$B$114,BY84+BX85-CG84)))</f>
        <v>142.99999999999997</v>
      </c>
      <c r="BZ85" s="13">
        <f>BY85*VLOOKUP('Données projet'!$B$12,Paramètres!$A$1:$I$89,3,0)*VLOOKUP('Données projet'!$B$12,Paramètres!$A$1:$I$89,5,0)</f>
        <v>153.92519999999996</v>
      </c>
      <c r="CA85" s="13">
        <f t="shared" si="93"/>
        <v>39.469255934857685</v>
      </c>
      <c r="CB85" s="20">
        <f t="shared" si="64"/>
        <v>336.82867741987707</v>
      </c>
      <c r="CC85" s="59">
        <f t="shared" si="65"/>
        <v>630.16201075321032</v>
      </c>
      <c r="CD85" s="59">
        <f ca="1">AVERAGE(OFFSET($CC$3,0,0,'Données projet'!$E$12+1,1))-AVERAGE(OFFSET($H$3,0,0,'Données projet'!$E$12+1,1))</f>
        <v>231.89176215692947</v>
      </c>
      <c r="CE85" s="59">
        <f t="shared" si="94"/>
        <v>166.97658184507787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2.2737367544323206E-13</v>
      </c>
      <c r="CU85" s="17">
        <f>CT85*VLOOKUP('Données projet'!$B$13,Paramètres!$A$1:$I$89,3,0)*VLOOKUP('Données projet'!$B$13,Paramètres!$A$1:$I$89,5,0)</f>
        <v>1.7735146684572101E-13</v>
      </c>
      <c r="CV85" s="13">
        <f t="shared" si="95"/>
        <v>2.4924271921531257E-12</v>
      </c>
      <c r="CW85" s="20">
        <f t="shared" si="67"/>
        <v>4.6498644977563242E-12</v>
      </c>
      <c r="CX85" s="59">
        <f t="shared" si="68"/>
        <v>293.33333333333798</v>
      </c>
      <c r="CY85" s="59">
        <f ca="1">AVERAGE(OFFSET($CX$3,0,0,'Données projet'!$E$13+1,1))-AVERAGE(OFFSET($H$3,0,0,'Données projet'!$E$13+1,1))</f>
        <v>274.37717856763146</v>
      </c>
      <c r="CZ85" s="59">
        <f t="shared" si="96"/>
        <v>264.17357326498581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3.1747811150183053E-7</v>
      </c>
      <c r="DI85" s="22">
        <f t="shared" si="69"/>
        <v>3.1747811150183053E-7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-1.7053025658242404E-13</v>
      </c>
      <c r="DP85" s="17">
        <f>DO85*VLOOKUP('Données projet'!$B$14,Paramètres!$A$1:$I$89,3,0)*VLOOKUP('Données projet'!$B$14,Paramètres!$A$1:$I$89,5,0)</f>
        <v>-1.383341441396624E-13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304.26232113495314</v>
      </c>
      <c r="DU85" s="59">
        <f t="shared" si="98"/>
        <v>297.47246687305056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101.31319673141688</v>
      </c>
      <c r="EB85" s="21">
        <f>EXP(-LN(2)/25)*EB84+(1-EXP(-LN(2)/25))/(LN(2)/25)*Calculateur!DW85*Calculateur!DY85*VLOOKUP('Données projet'!$B$14,Paramètres!$A$1:$I$89,3,0)*0.475*44/12</f>
        <v>2.735112339101172</v>
      </c>
      <c r="EC85" s="21">
        <f>EXP(-LN(2)/2)*EC84+(1-EXP(-LN(2)/2))/(LN(2)/2)*DW85*DZ85*VLOOKUP('Données projet'!$B$14,Paramètres!$A$1:$I$89,3,0)*0.475*44/12</f>
        <v>21.214529669891839</v>
      </c>
      <c r="ED85" s="22">
        <f t="shared" si="72"/>
        <v>125.2628387404099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232.35264000000029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344.4940855044307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8.0648351926797442E-8</v>
      </c>
      <c r="AC86" s="22">
        <f t="shared" si="57"/>
        <v>8.0648351926797442E-8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239.39999999999984</v>
      </c>
      <c r="AJ86" s="13">
        <f>AI86*VLOOKUP('Données projet'!$B$10,Paramètres!$A$1:$I$89,3,0)*VLOOKUP('Données projet'!$B$10,Paramètres!$A$1:$I$89,5,0)</f>
        <v>160.58951999999988</v>
      </c>
      <c r="AK86" s="13">
        <f t="shared" si="89"/>
        <v>40.975454813908776</v>
      </c>
      <c r="AL86" s="20">
        <f t="shared" si="58"/>
        <v>351.05899780089089</v>
      </c>
      <c r="AM86" s="59">
        <f t="shared" si="59"/>
        <v>644.39233113422415</v>
      </c>
      <c r="AN86" s="59">
        <f ca="1">AVERAGE(OFFSET($AM$3,0,0,'Données projet'!$E$10+1,1))-AVERAGE(OFFSET($H$3,0,0,'Données projet'!$E$10+1,1))</f>
        <v>246.71489737733248</v>
      </c>
      <c r="AO86" s="59">
        <f t="shared" si="90"/>
        <v>185.03615139960783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</v>
      </c>
      <c r="BD86" s="12">
        <f>IF('Données projet'!$A$88&gt;35,BD85+BC86-BL85,IF(A86&lt;'Données projet'!$A$88,$BA$205^A86,IF(A86='Données projet'!$A$88,'Données projet'!$B$88,BD85+BC86-BL85)))</f>
        <v>145.99999999999997</v>
      </c>
      <c r="BE86" s="13">
        <f>BD86*VLOOKUP('Données projet'!$B$11,Paramètres!$A$1:$I$89,3,0)*VLOOKUP('Données projet'!$B$11,Paramètres!$A$1:$I$89,5,0)</f>
        <v>141.21119999999996</v>
      </c>
      <c r="BF86" s="13">
        <f t="shared" si="91"/>
        <v>36.574335145278738</v>
      </c>
      <c r="BG86" s="20">
        <f t="shared" si="61"/>
        <v>309.64314037802706</v>
      </c>
      <c r="BH86" s="59">
        <f t="shared" si="62"/>
        <v>602.97647371136031</v>
      </c>
      <c r="BI86" s="59">
        <f ca="1">AVERAGE(OFFSET($BH$3,0,0,'Données projet'!$E$11+1,1))-AVERAGE(OFFSET($H$3,0,0,'Données projet'!$E$11+1,1))</f>
        <v>211.98817606983374</v>
      </c>
      <c r="BJ86" s="59">
        <f t="shared" si="92"/>
        <v>154.0840647586964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</v>
      </c>
      <c r="BY86" s="12">
        <f>IF('Données projet'!$A$114&gt;35,BY85+BX86-CG85,IF(A86&lt;'Données projet'!$A$114,$BV$205^A86,IF(A86='Données projet'!$A$114,'Données projet'!$B$114,BY85+BX86-CG85)))</f>
        <v>145.99999999999997</v>
      </c>
      <c r="BZ86" s="13">
        <f>BY86*VLOOKUP('Données projet'!$B$12,Paramètres!$A$1:$I$89,3,0)*VLOOKUP('Données projet'!$B$12,Paramètres!$A$1:$I$89,5,0)</f>
        <v>157.15439999999995</v>
      </c>
      <c r="CA86" s="13">
        <f t="shared" si="93"/>
        <v>40.20001359187092</v>
      </c>
      <c r="CB86" s="20">
        <f t="shared" si="64"/>
        <v>343.72560367250838</v>
      </c>
      <c r="CC86" s="59">
        <f t="shared" si="65"/>
        <v>637.0589370058417</v>
      </c>
      <c r="CD86" s="59">
        <f ca="1">AVERAGE(OFFSET($CC$3,0,0,'Données projet'!$E$12+1,1))-AVERAGE(OFFSET($H$3,0,0,'Données projet'!$E$12+1,1))</f>
        <v>231.89176215692947</v>
      </c>
      <c r="CE86" s="59">
        <f t="shared" si="94"/>
        <v>166.97658184507787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2.2737367544323206E-13</v>
      </c>
      <c r="CU86" s="17">
        <f>CT86*VLOOKUP('Données projet'!$B$13,Paramètres!$A$1:$I$89,3,0)*VLOOKUP('Données projet'!$B$13,Paramètres!$A$1:$I$89,5,0)</f>
        <v>1.7735146684572101E-13</v>
      </c>
      <c r="CV86" s="13">
        <f t="shared" si="95"/>
        <v>2.4924271921531257E-12</v>
      </c>
      <c r="CW86" s="20">
        <f t="shared" si="67"/>
        <v>4.6498644977563242E-12</v>
      </c>
      <c r="CX86" s="59">
        <f t="shared" si="68"/>
        <v>293.33333333333798</v>
      </c>
      <c r="CY86" s="59">
        <f ca="1">AVERAGE(OFFSET($CX$3,0,0,'Données projet'!$E$13+1,1))-AVERAGE(OFFSET($H$3,0,0,'Données projet'!$E$13+1,1))</f>
        <v>274.37717856763146</v>
      </c>
      <c r="CZ86" s="59">
        <f t="shared" si="96"/>
        <v>264.17357326498581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2.2449092552124323E-7</v>
      </c>
      <c r="DI86" s="22">
        <f t="shared" si="69"/>
        <v>2.2449092552124323E-7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-1.7053025658242404E-13</v>
      </c>
      <c r="DP86" s="17">
        <f>DO86*VLOOKUP('Données projet'!$B$14,Paramètres!$A$1:$I$89,3,0)*VLOOKUP('Données projet'!$B$14,Paramètres!$A$1:$I$89,5,0)</f>
        <v>-1.383341441396624E-13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304.26232113495314</v>
      </c>
      <c r="DU86" s="59">
        <f t="shared" si="98"/>
        <v>297.47246687305056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99.326506738462058</v>
      </c>
      <c r="EB86" s="21">
        <f>EXP(-LN(2)/25)*EB85+(1-EXP(-LN(2)/25))/(LN(2)/25)*Calculateur!DW86*Calculateur!DY86*VLOOKUP('Données projet'!$B$14,Paramètres!$A$1:$I$89,3,0)*0.475*44/12</f>
        <v>2.6603205483551435</v>
      </c>
      <c r="EC86" s="21">
        <f>EXP(-LN(2)/2)*EC85+(1-EXP(-LN(2)/2))/(LN(2)/2)*DW86*DZ86*VLOOKUP('Données projet'!$B$14,Paramètres!$A$1:$I$89,3,0)*0.475*44/12</f>
        <v>15.00093778926373</v>
      </c>
      <c r="ED86" s="22">
        <f t="shared" si="72"/>
        <v>116.98776507608093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237.41952000000032</v>
      </c>
      <c r="P87" s="13">
        <f t="shared" si="87"/>
        <v>57.883978814320969</v>
      </c>
      <c r="Q87" s="20">
        <f t="shared" si="54"/>
        <v>514.32026043494295</v>
      </c>
      <c r="R87" s="59">
        <f t="shared" si="55"/>
        <v>807.65359376827632</v>
      </c>
      <c r="S87" s="59">
        <f ca="1">AVERAGE(OFFSET($R$3,0,0,'Données projet'!$E$9+1,1))-AVERAGE(OFFSET($H$3,0,0,'Données projet'!$E$9+1,1))</f>
        <v>344.4940855044307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5.7026996538957638E-8</v>
      </c>
      <c r="AC87" s="22">
        <f t="shared" si="57"/>
        <v>5.7026996538957638E-8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245.19999999999985</v>
      </c>
      <c r="AJ87" s="13">
        <f>AI87*VLOOKUP('Données projet'!$B$10,Paramètres!$A$1:$I$89,3,0)*VLOOKUP('Données projet'!$B$10,Paramètres!$A$1:$I$89,5,0)</f>
        <v>164.4801599999999</v>
      </c>
      <c r="AK87" s="13">
        <f t="shared" si="89"/>
        <v>41.851398120035256</v>
      </c>
      <c r="AL87" s="20">
        <f t="shared" si="58"/>
        <v>359.36079705906121</v>
      </c>
      <c r="AM87" s="59">
        <f t="shared" si="59"/>
        <v>652.69413039239453</v>
      </c>
      <c r="AN87" s="59">
        <f ca="1">AVERAGE(OFFSET($AM$3,0,0,'Données projet'!$E$10+1,1))-AVERAGE(OFFSET($H$3,0,0,'Données projet'!$E$10+1,1))</f>
        <v>246.71489737733248</v>
      </c>
      <c r="AO87" s="59">
        <f t="shared" si="90"/>
        <v>185.03615139960783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</v>
      </c>
      <c r="BD87" s="12">
        <f>IF('Données projet'!$A$88&gt;35,BD86+BC87-BL86,IF(A87&lt;'Données projet'!$A$88,$BA$205^A87,IF(A87='Données projet'!$A$88,'Données projet'!$B$88,BD86+BC87-BL86)))</f>
        <v>148.99999999999997</v>
      </c>
      <c r="BE87" s="13">
        <f>BD87*VLOOKUP('Données projet'!$B$11,Paramètres!$A$1:$I$89,3,0)*VLOOKUP('Données projet'!$B$11,Paramètres!$A$1:$I$89,5,0)</f>
        <v>144.11279999999996</v>
      </c>
      <c r="BF87" s="13">
        <f t="shared" si="91"/>
        <v>37.237596662992466</v>
      </c>
      <c r="BG87" s="20">
        <f t="shared" si="61"/>
        <v>315.85194085471181</v>
      </c>
      <c r="BH87" s="59">
        <f t="shared" si="62"/>
        <v>609.18527418804513</v>
      </c>
      <c r="BI87" s="59">
        <f ca="1">AVERAGE(OFFSET($BH$3,0,0,'Données projet'!$E$11+1,1))-AVERAGE(OFFSET($H$3,0,0,'Données projet'!$E$11+1,1))</f>
        <v>211.98817606983374</v>
      </c>
      <c r="BJ87" s="59">
        <f t="shared" si="92"/>
        <v>154.0840647586964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</v>
      </c>
      <c r="BY87" s="12">
        <f>IF('Données projet'!$A$114&gt;35,BY86+BX87-CG86,IF(A87&lt;'Données projet'!$A$114,$BV$205^A87,IF(A87='Données projet'!$A$114,'Données projet'!$B$114,BY86+BX87-CG86)))</f>
        <v>148.99999999999997</v>
      </c>
      <c r="BZ87" s="13">
        <f>BY87*VLOOKUP('Données projet'!$B$12,Paramètres!$A$1:$I$89,3,0)*VLOOKUP('Données projet'!$B$12,Paramètres!$A$1:$I$89,5,0)</f>
        <v>160.38359999999997</v>
      </c>
      <c r="CA87" s="13">
        <f t="shared" si="93"/>
        <v>40.929025395397851</v>
      </c>
      <c r="CB87" s="20">
        <f t="shared" si="64"/>
        <v>350.61948923031787</v>
      </c>
      <c r="CC87" s="59">
        <f t="shared" si="65"/>
        <v>643.95282256365113</v>
      </c>
      <c r="CD87" s="59">
        <f ca="1">AVERAGE(OFFSET($CC$3,0,0,'Données projet'!$E$12+1,1))-AVERAGE(OFFSET($H$3,0,0,'Données projet'!$E$12+1,1))</f>
        <v>231.89176215692947</v>
      </c>
      <c r="CE87" s="59">
        <f t="shared" si="94"/>
        <v>166.97658184507787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2.2737367544323206E-13</v>
      </c>
      <c r="CU87" s="17">
        <f>CT87*VLOOKUP('Données projet'!$B$13,Paramètres!$A$1:$I$89,3,0)*VLOOKUP('Données projet'!$B$13,Paramètres!$A$1:$I$89,5,0)</f>
        <v>1.7735146684572101E-13</v>
      </c>
      <c r="CV87" s="13">
        <f t="shared" si="95"/>
        <v>2.4924271921531257E-12</v>
      </c>
      <c r="CW87" s="20">
        <f t="shared" si="67"/>
        <v>4.6498644977563242E-12</v>
      </c>
      <c r="CX87" s="59">
        <f t="shared" si="68"/>
        <v>293.33333333333798</v>
      </c>
      <c r="CY87" s="59">
        <f ca="1">AVERAGE(OFFSET($CX$3,0,0,'Données projet'!$E$13+1,1))-AVERAGE(OFFSET($H$3,0,0,'Données projet'!$E$13+1,1))</f>
        <v>274.37717856763146</v>
      </c>
      <c r="CZ87" s="59">
        <f t="shared" si="96"/>
        <v>264.17357326498581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1.5873905575091529E-7</v>
      </c>
      <c r="DI87" s="22">
        <f t="shared" si="69"/>
        <v>1.5873905575091529E-7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-1.7053025658242404E-13</v>
      </c>
      <c r="DP87" s="17">
        <f>DO87*VLOOKUP('Données projet'!$B$14,Paramètres!$A$1:$I$89,3,0)*VLOOKUP('Données projet'!$B$14,Paramètres!$A$1:$I$89,5,0)</f>
        <v>-1.383341441396624E-13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304.26232113495314</v>
      </c>
      <c r="DU87" s="59">
        <f t="shared" si="98"/>
        <v>297.47246687305056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97.378774524507833</v>
      </c>
      <c r="EB87" s="21">
        <f>EXP(-LN(2)/25)*EB86+(1-EXP(-LN(2)/25))/(LN(2)/25)*Calculateur!DW87*Calculateur!DY87*VLOOKUP('Données projet'!$B$14,Paramètres!$A$1:$I$89,3,0)*0.475*44/12</f>
        <v>2.5875739430601947</v>
      </c>
      <c r="EC87" s="21">
        <f>EXP(-LN(2)/2)*EC86+(1-EXP(-LN(2)/2))/(LN(2)/2)*DW87*DZ87*VLOOKUP('Données projet'!$B$14,Paramètres!$A$1:$I$89,3,0)*0.475*44/12</f>
        <v>10.607264834945921</v>
      </c>
      <c r="ED87" s="22">
        <f t="shared" si="72"/>
        <v>110.57361330251395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242.48640000000037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344.4940855044307</v>
      </c>
      <c r="T88" s="59">
        <f t="shared" si="88"/>
        <v>231.36959598460686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4.0324175963398721E-8</v>
      </c>
      <c r="AC88" s="22">
        <f t="shared" si="57"/>
        <v>4.0324175963398721E-8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251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250.99999999999986</v>
      </c>
      <c r="AJ88" s="13">
        <f>AI88*VLOOKUP('Données projet'!$B$10,Paramètres!$A$1:$I$89,3,0)*VLOOKUP('Données projet'!$B$10,Paramètres!$A$1:$I$89,5,0)</f>
        <v>168.37079999999992</v>
      </c>
      <c r="AK88" s="13">
        <f t="shared" si="89"/>
        <v>42.724932732512258</v>
      </c>
      <c r="AL88" s="20">
        <f t="shared" si="58"/>
        <v>367.65840117579205</v>
      </c>
      <c r="AM88" s="59">
        <f t="shared" si="59"/>
        <v>660.99173450912531</v>
      </c>
      <c r="AN88" s="59">
        <f ca="1">AVERAGE(OFFSET($AM$3,0,0,'Données projet'!$E$10+1,1))-AVERAGE(OFFSET($H$3,0,0,'Données projet'!$E$10+1,1))</f>
        <v>246.71489737733248</v>
      </c>
      <c r="AO88" s="59">
        <f t="shared" si="90"/>
        <v>185.03615139960783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152</v>
      </c>
      <c r="BB88" s="12">
        <f>VLOOKUP(A88,'Données projet'!$A$87:$I$107,9,0)</f>
        <v>3</v>
      </c>
      <c r="BC88" s="12">
        <f t="array" ref="BC88">INDEX(BB:BB,MIN(IF(ISNUMBER(BB88:BB284),ROW(BB88:BB284),"")))</f>
        <v>3</v>
      </c>
      <c r="BD88" s="12">
        <f>IF('Données projet'!$A$88&gt;35,BD87+BC88-BL87,IF(A88&lt;'Données projet'!$A$88,$BA$205^A88,IF(A88='Données projet'!$A$88,'Données projet'!$B$88,BD87+BC88-BL87)))</f>
        <v>151.99999999999997</v>
      </c>
      <c r="BE88" s="13">
        <f>BD88*VLOOKUP('Données projet'!$B$11,Paramètres!$A$1:$I$89,3,0)*VLOOKUP('Données projet'!$B$11,Paramètres!$A$1:$I$89,5,0)</f>
        <v>147.01439999999997</v>
      </c>
      <c r="BF88" s="13">
        <f t="shared" si="91"/>
        <v>37.899305454176798</v>
      </c>
      <c r="BG88" s="20">
        <f t="shared" si="61"/>
        <v>322.05803699935785</v>
      </c>
      <c r="BH88" s="59">
        <f t="shared" si="62"/>
        <v>615.39137033269117</v>
      </c>
      <c r="BI88" s="59">
        <f ca="1">AVERAGE(OFFSET($BH$3,0,0,'Données projet'!$E$11+1,1))-AVERAGE(OFFSET($H$3,0,0,'Données projet'!$E$11+1,1))</f>
        <v>211.98817606983374</v>
      </c>
      <c r="BJ88" s="59">
        <f t="shared" si="92"/>
        <v>154.0840647586964</v>
      </c>
      <c r="BK88" s="15">
        <f>IF(ISNA(VLOOKUP(A88,'Données projet'!$A$87:$I$107,3,0)),0,VLOOKUP(A88,'Données projet'!$A$87:$I$107,3,0))</f>
        <v>12</v>
      </c>
      <c r="BL88" s="15">
        <f>IF(ISNA(VLOOKUP(A88,'Données projet'!$A$87:$I$107,4,0)),0,VLOOKUP(A88,'Données projet'!$A$87:$I$107,4,0))</f>
        <v>9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152</v>
      </c>
      <c r="BW88" s="12">
        <f>VLOOKUP(A88,'Données projet'!$A$113:$I$133,9,0)</f>
        <v>3</v>
      </c>
      <c r="BX88" s="12">
        <f t="array" ref="BX88">INDEX(BW:BW,MIN(IF(ISNUMBER(BW88:BW284),ROW(BW88:BW284),"")))</f>
        <v>3</v>
      </c>
      <c r="BY88" s="12">
        <f>IF('Données projet'!$A$114&gt;35,BY87+BX88-CG87,IF(A88&lt;'Données projet'!$A$114,$BV$205^A88,IF(A88='Données projet'!$A$114,'Données projet'!$B$114,BY87+BX88-CG87)))</f>
        <v>151.99999999999997</v>
      </c>
      <c r="BZ88" s="13">
        <f>BY88*VLOOKUP('Données projet'!$B$12,Paramètres!$A$1:$I$89,3,0)*VLOOKUP('Données projet'!$B$12,Paramètres!$A$1:$I$89,5,0)</f>
        <v>163.61279999999996</v>
      </c>
      <c r="CA88" s="13">
        <f t="shared" si="93"/>
        <v>41.656330547871804</v>
      </c>
      <c r="CB88" s="20">
        <f t="shared" si="64"/>
        <v>357.51040237087665</v>
      </c>
      <c r="CC88" s="59">
        <f t="shared" si="65"/>
        <v>650.84373570420996</v>
      </c>
      <c r="CD88" s="59">
        <f ca="1">AVERAGE(OFFSET($CC$3,0,0,'Données projet'!$E$12+1,1))-AVERAGE(OFFSET($H$3,0,0,'Données projet'!$E$12+1,1))</f>
        <v>231.89176215692947</v>
      </c>
      <c r="CE88" s="59">
        <f t="shared" si="94"/>
        <v>166.97658184507787</v>
      </c>
      <c r="CF88" s="15">
        <f>IF(ISNA(VLOOKUP(A88,'Données projet'!$A$113:$I$133,3,0)),0,VLOOKUP(A88,'Données projet'!$A$113:$I$133,3,0))</f>
        <v>12</v>
      </c>
      <c r="CG88" s="15">
        <f>IF(ISNA(VLOOKUP(A88,'Données projet'!$A$113:$I$133,4,0)),0,VLOOKUP(A88,'Données projet'!$A$113:$I$133,4,0))</f>
        <v>9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2.2737367544323206E-13</v>
      </c>
      <c r="CU88" s="17">
        <f>CT88*VLOOKUP('Données projet'!$B$13,Paramètres!$A$1:$I$89,3,0)*VLOOKUP('Données projet'!$B$13,Paramètres!$A$1:$I$89,5,0)</f>
        <v>1.7735146684572101E-13</v>
      </c>
      <c r="CV88" s="13">
        <f t="shared" si="95"/>
        <v>2.4924271921531257E-12</v>
      </c>
      <c r="CW88" s="20">
        <f t="shared" si="67"/>
        <v>4.6498644977563242E-12</v>
      </c>
      <c r="CX88" s="59">
        <f t="shared" si="68"/>
        <v>293.33333333333798</v>
      </c>
      <c r="CY88" s="59">
        <f ca="1">AVERAGE(OFFSET($CX$3,0,0,'Données projet'!$E$13+1,1))-AVERAGE(OFFSET($H$3,0,0,'Données projet'!$E$13+1,1))</f>
        <v>274.37717856763146</v>
      </c>
      <c r="CZ88" s="59">
        <f t="shared" si="96"/>
        <v>264.17357326498581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1.1224546276062163E-7</v>
      </c>
      <c r="DI88" s="22">
        <f t="shared" si="69"/>
        <v>1.1224546276062163E-7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-1.7053025658242404E-13</v>
      </c>
      <c r="DP88" s="17">
        <f>DO88*VLOOKUP('Données projet'!$B$14,Paramètres!$A$1:$I$89,3,0)*VLOOKUP('Données projet'!$B$14,Paramètres!$A$1:$I$89,5,0)</f>
        <v>-1.383341441396624E-13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304.26232113495314</v>
      </c>
      <c r="DU88" s="59">
        <f t="shared" si="98"/>
        <v>297.47246687305056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95.469236151269911</v>
      </c>
      <c r="EB88" s="21">
        <f>EXP(-LN(2)/25)*EB87+(1-EXP(-LN(2)/25))/(LN(2)/25)*Calculateur!DW88*Calculateur!DY88*VLOOKUP('Données projet'!$B$14,Paramètres!$A$1:$I$89,3,0)*0.475*44/12</f>
        <v>2.516816597512614</v>
      </c>
      <c r="EC88" s="21">
        <f>EXP(-LN(2)/2)*EC87+(1-EXP(-LN(2)/2))/(LN(2)/2)*DW88*DZ88*VLOOKUP('Données projet'!$B$14,Paramètres!$A$1:$I$89,3,0)*0.475*44/12</f>
        <v>7.5004688946318661</v>
      </c>
      <c r="ED88" s="22">
        <f t="shared" si="72"/>
        <v>105.48652164341439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247.5532800000004</v>
      </c>
      <c r="P89" s="13">
        <f t="shared" si="87"/>
        <v>60.061713068870304</v>
      </c>
      <c r="Q89" s="20">
        <f t="shared" si="54"/>
        <v>535.76277959494985</v>
      </c>
      <c r="R89" s="59">
        <f t="shared" si="55"/>
        <v>829.09611292828322</v>
      </c>
      <c r="S89" s="59">
        <f ca="1">AVERAGE(OFFSET($R$3,0,0,'Données projet'!$E$9+1,1))-AVERAGE(OFFSET($H$3,0,0,'Données projet'!$E$9+1,1))</f>
        <v>344.4940855044307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2.8513498269478819E-8</v>
      </c>
      <c r="AC89" s="22">
        <f t="shared" si="57"/>
        <v>2.8513498269478819E-8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236.59999999999985</v>
      </c>
      <c r="AJ89" s="13">
        <f>AI89*VLOOKUP('Données projet'!$B$10,Paramètres!$A$1:$I$89,3,0)*VLOOKUP('Données projet'!$B$10,Paramètres!$A$1:$I$89,5,0)</f>
        <v>158.7112799999999</v>
      </c>
      <c r="AK89" s="13">
        <f t="shared" si="89"/>
        <v>40.551704343293025</v>
      </c>
      <c r="AL89" s="20">
        <f t="shared" si="58"/>
        <v>347.0496977312352</v>
      </c>
      <c r="AM89" s="59">
        <f t="shared" si="59"/>
        <v>640.38303106456851</v>
      </c>
      <c r="AN89" s="59">
        <f ca="1">AVERAGE(OFFSET($AM$3,0,0,'Données projet'!$E$10+1,1))-AVERAGE(OFFSET($H$3,0,0,'Données projet'!$E$10+1,1))</f>
        <v>246.71489737733248</v>
      </c>
      <c r="AO89" s="59">
        <f t="shared" si="90"/>
        <v>185.03615139960783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3.2</v>
      </c>
      <c r="BD89" s="12">
        <f>IF('Données projet'!$A$88&gt;35,BD88+BC89-BL88,IF(A89&lt;'Données projet'!$A$88,$BA$205^A89,IF(A89='Données projet'!$A$88,'Données projet'!$B$88,BD88+BC89-BL88)))</f>
        <v>146.19999999999996</v>
      </c>
      <c r="BE89" s="13">
        <f>BD89*VLOOKUP('Données projet'!$B$11,Paramètres!$A$1:$I$89,3,0)*VLOOKUP('Données projet'!$B$11,Paramètres!$A$1:$I$89,5,0)</f>
        <v>141.40463999999997</v>
      </c>
      <c r="BF89" s="13">
        <f t="shared" si="91"/>
        <v>36.618601593681802</v>
      </c>
      <c r="BG89" s="20">
        <f t="shared" si="61"/>
        <v>310.05714577566238</v>
      </c>
      <c r="BH89" s="59">
        <f t="shared" si="62"/>
        <v>603.39047910899569</v>
      </c>
      <c r="BI89" s="59">
        <f ca="1">AVERAGE(OFFSET($BH$3,0,0,'Données projet'!$E$11+1,1))-AVERAGE(OFFSET($H$3,0,0,'Données projet'!$E$11+1,1))</f>
        <v>211.98817606983374</v>
      </c>
      <c r="BJ89" s="59">
        <f t="shared" si="92"/>
        <v>154.0840647586964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3.2</v>
      </c>
      <c r="BY89" s="12">
        <f>IF('Données projet'!$A$114&gt;35,BY88+BX89-CG88,IF(A89&lt;'Données projet'!$A$114,$BV$205^A89,IF(A89='Données projet'!$A$114,'Données projet'!$B$114,BY88+BX89-CG88)))</f>
        <v>146.19999999999996</v>
      </c>
      <c r="BZ89" s="13">
        <f>BY89*VLOOKUP('Données projet'!$B$12,Paramètres!$A$1:$I$89,3,0)*VLOOKUP('Données projet'!$B$12,Paramètres!$A$1:$I$89,5,0)</f>
        <v>157.36967999999996</v>
      </c>
      <c r="CA89" s="13">
        <f t="shared" si="93"/>
        <v>40.248668251494934</v>
      </c>
      <c r="CB89" s="20">
        <f t="shared" si="64"/>
        <v>344.18528987135363</v>
      </c>
      <c r="CC89" s="59">
        <f t="shared" si="65"/>
        <v>637.51862320468695</v>
      </c>
      <c r="CD89" s="59">
        <f ca="1">AVERAGE(OFFSET($CC$3,0,0,'Données projet'!$E$12+1,1))-AVERAGE(OFFSET($H$3,0,0,'Données projet'!$E$12+1,1))</f>
        <v>231.89176215692947</v>
      </c>
      <c r="CE89" s="59">
        <f t="shared" si="94"/>
        <v>166.97658184507787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2.2737367544323206E-13</v>
      </c>
      <c r="CU89" s="17">
        <f>CT89*VLOOKUP('Données projet'!$B$13,Paramètres!$A$1:$I$89,3,0)*VLOOKUP('Données projet'!$B$13,Paramètres!$A$1:$I$89,5,0)</f>
        <v>1.7735146684572101E-13</v>
      </c>
      <c r="CV89" s="13">
        <f t="shared" si="95"/>
        <v>2.4924271921531257E-12</v>
      </c>
      <c r="CW89" s="20">
        <f t="shared" si="67"/>
        <v>4.6498644977563242E-12</v>
      </c>
      <c r="CX89" s="59">
        <f t="shared" si="68"/>
        <v>293.33333333333798</v>
      </c>
      <c r="CY89" s="59">
        <f ca="1">AVERAGE(OFFSET($CX$3,0,0,'Données projet'!$E$13+1,1))-AVERAGE(OFFSET($H$3,0,0,'Données projet'!$E$13+1,1))</f>
        <v>274.37717856763146</v>
      </c>
      <c r="CZ89" s="59">
        <f t="shared" si="96"/>
        <v>264.17357326498581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7.9369527875457646E-8</v>
      </c>
      <c r="DI89" s="22">
        <f t="shared" si="69"/>
        <v>7.9369527875457646E-8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-1.7053025658242404E-13</v>
      </c>
      <c r="DP89" s="17">
        <f>DO89*VLOOKUP('Données projet'!$B$14,Paramètres!$A$1:$I$89,3,0)*VLOOKUP('Données projet'!$B$14,Paramètres!$A$1:$I$89,5,0)</f>
        <v>-1.383341441396624E-13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304.26232113495314</v>
      </c>
      <c r="DU89" s="59">
        <f t="shared" si="98"/>
        <v>297.47246687305056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93.597142660827771</v>
      </c>
      <c r="EB89" s="21">
        <f>EXP(-LN(2)/25)*EB88+(1-EXP(-LN(2)/25))/(LN(2)/25)*Calculateur!DW89*Calculateur!DY89*VLOOKUP('Données projet'!$B$14,Paramètres!$A$1:$I$89,3,0)*0.475*44/12</f>
        <v>2.4479941152999989</v>
      </c>
      <c r="EC89" s="21">
        <f>EXP(-LN(2)/2)*EC88+(1-EXP(-LN(2)/2))/(LN(2)/2)*DW89*DZ89*VLOOKUP('Données projet'!$B$14,Paramètres!$A$1:$I$89,3,0)*0.475*44/12</f>
        <v>5.3036324174729614</v>
      </c>
      <c r="ED89" s="22">
        <f t="shared" si="72"/>
        <v>101.34876919360073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252.62016000000037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344.4940855044307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2.0162087981699361E-8</v>
      </c>
      <c r="AC90" s="22">
        <f t="shared" si="57"/>
        <v>2.0162087981699361E-8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242.19999999999985</v>
      </c>
      <c r="AJ90" s="13">
        <f>AI90*VLOOKUP('Données projet'!$B$10,Paramètres!$A$1:$I$89,3,0)*VLOOKUP('Données projet'!$B$10,Paramètres!$A$1:$I$89,5,0)</f>
        <v>162.46775999999988</v>
      </c>
      <c r="AK90" s="13">
        <f t="shared" si="89"/>
        <v>41.398628767762517</v>
      </c>
      <c r="AL90" s="20">
        <f t="shared" si="58"/>
        <v>355.06729377051948</v>
      </c>
      <c r="AM90" s="59">
        <f t="shared" si="59"/>
        <v>648.4006271038528</v>
      </c>
      <c r="AN90" s="59">
        <f ca="1">AVERAGE(OFFSET($AM$3,0,0,'Données projet'!$E$10+1,1))-AVERAGE(OFFSET($H$3,0,0,'Données projet'!$E$10+1,1))</f>
        <v>246.71489737733248</v>
      </c>
      <c r="AO90" s="59">
        <f t="shared" si="90"/>
        <v>185.03615139960783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3.2</v>
      </c>
      <c r="BD90" s="12">
        <f>IF('Données projet'!$A$88&gt;35,BD89+BC90-BL89,IF(A90&lt;'Données projet'!$A$88,$BA$205^A90,IF(A90='Données projet'!$A$88,'Données projet'!$B$88,BD89+BC90-BL89)))</f>
        <v>149.39999999999995</v>
      </c>
      <c r="BE90" s="13">
        <f>BD90*VLOOKUP('Données projet'!$B$11,Paramètres!$A$1:$I$89,3,0)*VLOOKUP('Données projet'!$B$11,Paramètres!$A$1:$I$89,5,0)</f>
        <v>144.49967999999996</v>
      </c>
      <c r="BF90" s="13">
        <f t="shared" si="91"/>
        <v>37.325913454134138</v>
      </c>
      <c r="BG90" s="20">
        <f t="shared" si="61"/>
        <v>316.67957526595018</v>
      </c>
      <c r="BH90" s="59">
        <f t="shared" si="62"/>
        <v>610.01290859928349</v>
      </c>
      <c r="BI90" s="59">
        <f ca="1">AVERAGE(OFFSET($BH$3,0,0,'Données projet'!$E$11+1,1))-AVERAGE(OFFSET($H$3,0,0,'Données projet'!$E$11+1,1))</f>
        <v>211.98817606983374</v>
      </c>
      <c r="BJ90" s="59">
        <f t="shared" si="92"/>
        <v>154.0840647586964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3.2</v>
      </c>
      <c r="BY90" s="12">
        <f>IF('Données projet'!$A$114&gt;35,BY89+BX90-CG89,IF(A90&lt;'Données projet'!$A$114,$BV$205^A90,IF(A90='Données projet'!$A$114,'Données projet'!$B$114,BY89+BX90-CG89)))</f>
        <v>149.39999999999995</v>
      </c>
      <c r="BZ90" s="13">
        <f>BY90*VLOOKUP('Données projet'!$B$12,Paramètres!$A$1:$I$89,3,0)*VLOOKUP('Données projet'!$B$12,Paramètres!$A$1:$I$89,5,0)</f>
        <v>160.81415999999993</v>
      </c>
      <c r="CA90" s="13">
        <f t="shared" si="93"/>
        <v>41.026097186045085</v>
      </c>
      <c r="CB90" s="20">
        <f t="shared" si="64"/>
        <v>351.53844793236175</v>
      </c>
      <c r="CC90" s="59">
        <f t="shared" si="65"/>
        <v>644.87178126569506</v>
      </c>
      <c r="CD90" s="59">
        <f ca="1">AVERAGE(OFFSET($CC$3,0,0,'Données projet'!$E$12+1,1))-AVERAGE(OFFSET($H$3,0,0,'Données projet'!$E$12+1,1))</f>
        <v>231.89176215692947</v>
      </c>
      <c r="CE90" s="59">
        <f t="shared" si="94"/>
        <v>166.97658184507787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2.2737367544323206E-13</v>
      </c>
      <c r="CU90" s="17">
        <f>CT90*VLOOKUP('Données projet'!$B$13,Paramètres!$A$1:$I$89,3,0)*VLOOKUP('Données projet'!$B$13,Paramètres!$A$1:$I$89,5,0)</f>
        <v>1.7735146684572101E-13</v>
      </c>
      <c r="CV90" s="13">
        <f t="shared" si="95"/>
        <v>2.4924271921531257E-12</v>
      </c>
      <c r="CW90" s="20">
        <f t="shared" si="67"/>
        <v>4.6498644977563242E-12</v>
      </c>
      <c r="CX90" s="59">
        <f t="shared" si="68"/>
        <v>293.33333333333798</v>
      </c>
      <c r="CY90" s="59">
        <f ca="1">AVERAGE(OFFSET($CX$3,0,0,'Données projet'!$E$13+1,1))-AVERAGE(OFFSET($H$3,0,0,'Données projet'!$E$13+1,1))</f>
        <v>274.37717856763146</v>
      </c>
      <c r="CZ90" s="59">
        <f t="shared" si="96"/>
        <v>264.17357326498581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5.6122731380310815E-8</v>
      </c>
      <c r="DI90" s="22">
        <f t="shared" si="69"/>
        <v>5.6122731380310815E-8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-1.7053025658242404E-13</v>
      </c>
      <c r="DP90" s="17">
        <f>DO90*VLOOKUP('Données projet'!$B$14,Paramètres!$A$1:$I$89,3,0)*VLOOKUP('Données projet'!$B$14,Paramètres!$A$1:$I$89,5,0)</f>
        <v>-1.383341441396624E-13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304.26232113495314</v>
      </c>
      <c r="DU90" s="59">
        <f t="shared" si="98"/>
        <v>297.47246687305056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91.761759781868932</v>
      </c>
      <c r="EB90" s="21">
        <f>EXP(-LN(2)/25)*EB89+(1-EXP(-LN(2)/25))/(LN(2)/25)*Calculateur!DW90*Calculateur!DY90*VLOOKUP('Données projet'!$B$14,Paramètres!$A$1:$I$89,3,0)*0.475*44/12</f>
        <v>2.3810535874827048</v>
      </c>
      <c r="EC90" s="21">
        <f>EXP(-LN(2)/2)*EC89+(1-EXP(-LN(2)/2))/(LN(2)/2)*DW90*DZ90*VLOOKUP('Données projet'!$B$14,Paramètres!$A$1:$I$89,3,0)*0.475*44/12</f>
        <v>3.7502344473159335</v>
      </c>
      <c r="ED90" s="22">
        <f t="shared" si="72"/>
        <v>97.893047816667575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257.68704000000042</v>
      </c>
      <c r="P91" s="13">
        <f t="shared" si="87"/>
        <v>62.229092239243457</v>
      </c>
      <c r="Q91" s="20">
        <f t="shared" si="54"/>
        <v>557.18726365001646</v>
      </c>
      <c r="R91" s="59">
        <f t="shared" si="55"/>
        <v>850.52059698334983</v>
      </c>
      <c r="S91" s="59">
        <f ca="1">AVERAGE(OFFSET($R$3,0,0,'Données projet'!$E$9+1,1))-AVERAGE(OFFSET($H$3,0,0,'Données projet'!$E$9+1,1))</f>
        <v>344.4940855044307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1.425674913473941E-8</v>
      </c>
      <c r="AC91" s="22">
        <f t="shared" si="57"/>
        <v>1.425674913473941E-8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247.79999999999984</v>
      </c>
      <c r="AJ91" s="13">
        <f>AI91*VLOOKUP('Données projet'!$B$10,Paramètres!$A$1:$I$89,3,0)*VLOOKUP('Données projet'!$B$10,Paramètres!$A$1:$I$89,5,0)</f>
        <v>166.2242399999999</v>
      </c>
      <c r="AK91" s="13">
        <f t="shared" si="89"/>
        <v>42.243276689676094</v>
      </c>
      <c r="AL91" s="20">
        <f t="shared" si="58"/>
        <v>363.08092490118565</v>
      </c>
      <c r="AM91" s="59">
        <f t="shared" si="59"/>
        <v>656.41425823451891</v>
      </c>
      <c r="AN91" s="59">
        <f ca="1">AVERAGE(OFFSET($AM$3,0,0,'Données projet'!$E$10+1,1))-AVERAGE(OFFSET($H$3,0,0,'Données projet'!$E$10+1,1))</f>
        <v>246.71489737733248</v>
      </c>
      <c r="AO91" s="59">
        <f t="shared" si="90"/>
        <v>185.03615139960783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3.2</v>
      </c>
      <c r="BD91" s="12">
        <f>IF('Données projet'!$A$88&gt;35,BD90+BC91-BL90,IF(A91&lt;'Données projet'!$A$88,$BA$205^A91,IF(A91='Données projet'!$A$88,'Données projet'!$B$88,BD90+BC91-BL90)))</f>
        <v>152.59999999999994</v>
      </c>
      <c r="BE91" s="13">
        <f>BD91*VLOOKUP('Données projet'!$B$11,Paramètres!$A$1:$I$89,3,0)*VLOOKUP('Données projet'!$B$11,Paramètres!$A$1:$I$89,5,0)</f>
        <v>147.59471999999994</v>
      </c>
      <c r="BF91" s="13">
        <f t="shared" si="91"/>
        <v>38.031463918082679</v>
      </c>
      <c r="BG91" s="20">
        <f t="shared" si="61"/>
        <v>323.29893699066059</v>
      </c>
      <c r="BH91" s="59">
        <f t="shared" si="62"/>
        <v>616.63227032399391</v>
      </c>
      <c r="BI91" s="59">
        <f ca="1">AVERAGE(OFFSET($BH$3,0,0,'Données projet'!$E$11+1,1))-AVERAGE(OFFSET($H$3,0,0,'Données projet'!$E$11+1,1))</f>
        <v>211.98817606983374</v>
      </c>
      <c r="BJ91" s="59">
        <f t="shared" si="92"/>
        <v>154.0840647586964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3.2</v>
      </c>
      <c r="BY91" s="12">
        <f>IF('Données projet'!$A$114&gt;35,BY90+BX91-CG90,IF(A91&lt;'Données projet'!$A$114,$BV$205^A91,IF(A91='Données projet'!$A$114,'Données projet'!$B$114,BY90+BX91-CG90)))</f>
        <v>152.59999999999994</v>
      </c>
      <c r="BZ91" s="13">
        <f>BY91*VLOOKUP('Données projet'!$B$12,Paramètres!$A$1:$I$89,3,0)*VLOOKUP('Données projet'!$B$12,Paramètres!$A$1:$I$89,5,0)</f>
        <v>164.25863999999993</v>
      </c>
      <c r="CA91" s="13">
        <f t="shared" si="93"/>
        <v>41.80159011374478</v>
      </c>
      <c r="CB91" s="20">
        <f t="shared" si="64"/>
        <v>358.88823411477205</v>
      </c>
      <c r="CC91" s="59">
        <f t="shared" si="65"/>
        <v>652.22156744810536</v>
      </c>
      <c r="CD91" s="59">
        <f ca="1">AVERAGE(OFFSET($CC$3,0,0,'Données projet'!$E$12+1,1))-AVERAGE(OFFSET($H$3,0,0,'Données projet'!$E$12+1,1))</f>
        <v>231.89176215692947</v>
      </c>
      <c r="CE91" s="59">
        <f t="shared" si="94"/>
        <v>166.97658184507787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2.2737367544323206E-13</v>
      </c>
      <c r="CU91" s="17">
        <f>CT91*VLOOKUP('Données projet'!$B$13,Paramètres!$A$1:$I$89,3,0)*VLOOKUP('Données projet'!$B$13,Paramètres!$A$1:$I$89,5,0)</f>
        <v>1.7735146684572101E-13</v>
      </c>
      <c r="CV91" s="13">
        <f t="shared" si="95"/>
        <v>2.4924271921531257E-12</v>
      </c>
      <c r="CW91" s="20">
        <f t="shared" si="67"/>
        <v>4.6498644977563242E-12</v>
      </c>
      <c r="CX91" s="59">
        <f t="shared" si="68"/>
        <v>293.33333333333798</v>
      </c>
      <c r="CY91" s="59">
        <f ca="1">AVERAGE(OFFSET($CX$3,0,0,'Données projet'!$E$13+1,1))-AVERAGE(OFFSET($H$3,0,0,'Données projet'!$E$13+1,1))</f>
        <v>274.37717856763146</v>
      </c>
      <c r="CZ91" s="59">
        <f t="shared" si="96"/>
        <v>264.17357326498581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3.9684763937728823E-8</v>
      </c>
      <c r="DI91" s="22">
        <f t="shared" si="69"/>
        <v>3.9684763937728823E-8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-1.7053025658242404E-13</v>
      </c>
      <c r="DP91" s="17">
        <f>DO91*VLOOKUP('Données projet'!$B$14,Paramètres!$A$1:$I$89,3,0)*VLOOKUP('Données projet'!$B$14,Paramètres!$A$1:$I$89,5,0)</f>
        <v>-1.383341441396624E-13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304.26232113495314</v>
      </c>
      <c r="DU91" s="59">
        <f t="shared" si="98"/>
        <v>297.47246687305056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89.962367641693461</v>
      </c>
      <c r="EB91" s="21">
        <f>EXP(-LN(2)/25)*EB90+(1-EXP(-LN(2)/25))/(LN(2)/25)*Calculateur!DW91*Calculateur!DY91*VLOOKUP('Données projet'!$B$14,Paramètres!$A$1:$I$89,3,0)*0.475*44/12</f>
        <v>2.3159435519188238</v>
      </c>
      <c r="EC91" s="21">
        <f>EXP(-LN(2)/2)*EC90+(1-EXP(-LN(2)/2))/(LN(2)/2)*DW91*DZ91*VLOOKUP('Données projet'!$B$14,Paramètres!$A$1:$I$89,3,0)*0.475*44/12</f>
        <v>2.6518162087364812</v>
      </c>
      <c r="ED91" s="22">
        <f t="shared" si="72"/>
        <v>94.930127402348759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262.75392000000045</v>
      </c>
      <c r="P92" s="13">
        <f t="shared" si="87"/>
        <v>63.309041956360382</v>
      </c>
      <c r="Q92" s="20">
        <f t="shared" si="54"/>
        <v>567.89299207399506</v>
      </c>
      <c r="R92" s="59">
        <f t="shared" si="55"/>
        <v>861.22632540732843</v>
      </c>
      <c r="S92" s="59">
        <f ca="1">AVERAGE(OFFSET($R$3,0,0,'Données projet'!$E$9+1,1))-AVERAGE(OFFSET($H$3,0,0,'Données projet'!$E$9+1,1))</f>
        <v>344.4940855044307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1.008104399084968E-8</v>
      </c>
      <c r="AC92" s="22">
        <f t="shared" si="57"/>
        <v>1.008104399084968E-8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253.39999999999984</v>
      </c>
      <c r="AJ92" s="13">
        <f>AI92*VLOOKUP('Données projet'!$B$10,Paramètres!$A$1:$I$89,3,0)*VLOOKUP('Données projet'!$B$10,Paramètres!$A$1:$I$89,5,0)</f>
        <v>169.98071999999991</v>
      </c>
      <c r="AK92" s="13">
        <f t="shared" si="89"/>
        <v>43.085705478170823</v>
      </c>
      <c r="AL92" s="20">
        <f t="shared" si="58"/>
        <v>371.09069104114741</v>
      </c>
      <c r="AM92" s="59">
        <f t="shared" si="59"/>
        <v>664.42402437448072</v>
      </c>
      <c r="AN92" s="59">
        <f ca="1">AVERAGE(OFFSET($AM$3,0,0,'Données projet'!$E$10+1,1))-AVERAGE(OFFSET($H$3,0,0,'Données projet'!$E$10+1,1))</f>
        <v>246.71489737733248</v>
      </c>
      <c r="AO92" s="59">
        <f t="shared" si="90"/>
        <v>185.03615139960783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3.2</v>
      </c>
      <c r="BD92" s="12">
        <f>IF('Données projet'!$A$88&gt;35,BD91+BC92-BL91,IF(A92&lt;'Données projet'!$A$88,$BA$205^A92,IF(A92='Données projet'!$A$88,'Données projet'!$B$88,BD91+BC92-BL91)))</f>
        <v>155.79999999999993</v>
      </c>
      <c r="BE92" s="13">
        <f>BD92*VLOOKUP('Données projet'!$B$11,Paramètres!$A$1:$I$89,3,0)*VLOOKUP('Données projet'!$B$11,Paramètres!$A$1:$I$89,5,0)</f>
        <v>150.68975999999992</v>
      </c>
      <c r="BF92" s="13">
        <f t="shared" si="91"/>
        <v>38.735294176946169</v>
      </c>
      <c r="BG92" s="20">
        <f t="shared" si="61"/>
        <v>329.91530269151446</v>
      </c>
      <c r="BH92" s="59">
        <f t="shared" si="62"/>
        <v>623.24863602484777</v>
      </c>
      <c r="BI92" s="59">
        <f ca="1">AVERAGE(OFFSET($BH$3,0,0,'Données projet'!$E$11+1,1))-AVERAGE(OFFSET($H$3,0,0,'Données projet'!$E$11+1,1))</f>
        <v>211.98817606983374</v>
      </c>
      <c r="BJ92" s="59">
        <f t="shared" si="92"/>
        <v>154.0840647586964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3.2</v>
      </c>
      <c r="BY92" s="12">
        <f>IF('Données projet'!$A$114&gt;35,BY91+BX92-CG91,IF(A92&lt;'Données projet'!$A$114,$BV$205^A92,IF(A92='Données projet'!$A$114,'Données projet'!$B$114,BY91+BX92-CG91)))</f>
        <v>155.79999999999993</v>
      </c>
      <c r="BZ92" s="13">
        <f>BY92*VLOOKUP('Données projet'!$B$12,Paramètres!$A$1:$I$89,3,0)*VLOOKUP('Données projet'!$B$12,Paramètres!$A$1:$I$89,5,0)</f>
        <v>167.7031199999999</v>
      </c>
      <c r="CA92" s="13">
        <f t="shared" si="93"/>
        <v>42.575192309390843</v>
      </c>
      <c r="CB92" s="20">
        <f t="shared" si="64"/>
        <v>366.23472727218882</v>
      </c>
      <c r="CC92" s="59">
        <f t="shared" si="65"/>
        <v>659.56806060552208</v>
      </c>
      <c r="CD92" s="59">
        <f ca="1">AVERAGE(OFFSET($CC$3,0,0,'Données projet'!$E$12+1,1))-AVERAGE(OFFSET($H$3,0,0,'Données projet'!$E$12+1,1))</f>
        <v>231.89176215692947</v>
      </c>
      <c r="CE92" s="59">
        <f t="shared" si="94"/>
        <v>166.97658184507787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2.2737367544323206E-13</v>
      </c>
      <c r="CU92" s="17">
        <f>CT92*VLOOKUP('Données projet'!$B$13,Paramètres!$A$1:$I$89,3,0)*VLOOKUP('Données projet'!$B$13,Paramètres!$A$1:$I$89,5,0)</f>
        <v>1.7735146684572101E-13</v>
      </c>
      <c r="CV92" s="13">
        <f t="shared" si="95"/>
        <v>2.4924271921531257E-12</v>
      </c>
      <c r="CW92" s="20">
        <f t="shared" si="67"/>
        <v>4.6498644977563242E-12</v>
      </c>
      <c r="CX92" s="59">
        <f t="shared" si="68"/>
        <v>293.33333333333798</v>
      </c>
      <c r="CY92" s="59">
        <f ca="1">AVERAGE(OFFSET($CX$3,0,0,'Données projet'!$E$13+1,1))-AVERAGE(OFFSET($H$3,0,0,'Données projet'!$E$13+1,1))</f>
        <v>274.37717856763146</v>
      </c>
      <c r="CZ92" s="59">
        <f t="shared" si="96"/>
        <v>264.17357326498581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2.8061365690155407E-8</v>
      </c>
      <c r="DI92" s="22">
        <f t="shared" si="69"/>
        <v>2.8061365690155407E-8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-1.7053025658242404E-13</v>
      </c>
      <c r="DP92" s="17">
        <f>DO92*VLOOKUP('Données projet'!$B$14,Paramètres!$A$1:$I$89,3,0)*VLOOKUP('Données projet'!$B$14,Paramètres!$A$1:$I$89,5,0)</f>
        <v>-1.383341441396624E-13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304.26232113495314</v>
      </c>
      <c r="DU92" s="59">
        <f t="shared" si="98"/>
        <v>297.47246687305056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88.198260483865994</v>
      </c>
      <c r="EB92" s="21">
        <f>EXP(-LN(2)/25)*EB91+(1-EXP(-LN(2)/25))/(LN(2)/25)*Calculateur!DW92*Calculateur!DY92*VLOOKUP('Données projet'!$B$14,Paramètres!$A$1:$I$89,3,0)*0.475*44/12</f>
        <v>2.2526139537014256</v>
      </c>
      <c r="EC92" s="21">
        <f>EXP(-LN(2)/2)*EC91+(1-EXP(-LN(2)/2))/(LN(2)/2)*DW92*DZ92*VLOOKUP('Données projet'!$B$14,Paramètres!$A$1:$I$89,3,0)*0.475*44/12</f>
        <v>1.8751172236579672</v>
      </c>
      <c r="ED92" s="22">
        <f t="shared" si="72"/>
        <v>92.325991661225387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267.82080000000047</v>
      </c>
      <c r="P93" s="13">
        <f t="shared" si="87"/>
        <v>64.386570147897487</v>
      </c>
      <c r="Q93" s="20">
        <f t="shared" si="54"/>
        <v>578.59450300758897</v>
      </c>
      <c r="R93" s="59">
        <f t="shared" si="55"/>
        <v>871.92783634092234</v>
      </c>
      <c r="S93" s="59">
        <f ca="1">AVERAGE(OFFSET($R$3,0,0,'Données projet'!$E$9+1,1))-AVERAGE(OFFSET($H$3,0,0,'Données projet'!$E$9+1,1))</f>
        <v>344.4940855044307</v>
      </c>
      <c r="T93" s="59">
        <f t="shared" si="88"/>
        <v>231.36959598460686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7.1283745673697048E-9</v>
      </c>
      <c r="AC93" s="22">
        <f t="shared" si="57"/>
        <v>7.1283745673697048E-9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259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258.99999999999983</v>
      </c>
      <c r="AJ93" s="13">
        <f>AI93*VLOOKUP('Données projet'!$B$10,Paramètres!$A$1:$I$89,3,0)*VLOOKUP('Données projet'!$B$10,Paramètres!$A$1:$I$89,5,0)</f>
        <v>173.73719999999989</v>
      </c>
      <c r="AK93" s="13">
        <f t="shared" si="89"/>
        <v>43.925969821948655</v>
      </c>
      <c r="AL93" s="20">
        <f t="shared" si="58"/>
        <v>379.09668743989369</v>
      </c>
      <c r="AM93" s="59">
        <f t="shared" si="59"/>
        <v>672.43002077322694</v>
      </c>
      <c r="AN93" s="59">
        <f ca="1">AVERAGE(OFFSET($AM$3,0,0,'Données projet'!$E$10+1,1))-AVERAGE(OFFSET($H$3,0,0,'Données projet'!$E$10+1,1))</f>
        <v>246.71489737733248</v>
      </c>
      <c r="AO93" s="59">
        <f t="shared" si="90"/>
        <v>185.03615139960783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159</v>
      </c>
      <c r="BB93" s="12">
        <f>VLOOKUP(A93,'Données projet'!$A$87:$I$107,9,0)</f>
        <v>3.2</v>
      </c>
      <c r="BC93" s="12">
        <f t="array" ref="BC93">INDEX(BB:BB,MIN(IF(ISNUMBER(BB93:BB289),ROW(BB93:BB289),"")))</f>
        <v>3.2</v>
      </c>
      <c r="BD93" s="12">
        <f>IF('Données projet'!$A$88&gt;35,BD92+BC93-BL92,IF(A93&lt;'Données projet'!$A$88,$BA$205^A93,IF(A93='Données projet'!$A$88,'Données projet'!$B$88,BD92+BC93-BL92)))</f>
        <v>158.99999999999991</v>
      </c>
      <c r="BE93" s="13">
        <f>BD93*VLOOKUP('Données projet'!$B$11,Paramètres!$A$1:$I$89,3,0)*VLOOKUP('Données projet'!$B$11,Paramètres!$A$1:$I$89,5,0)</f>
        <v>153.7847999999999</v>
      </c>
      <c r="BF93" s="13">
        <f t="shared" si="91"/>
        <v>39.43744363335226</v>
      </c>
      <c r="BG93" s="20">
        <f t="shared" si="61"/>
        <v>336.52874099475497</v>
      </c>
      <c r="BH93" s="59">
        <f t="shared" si="62"/>
        <v>629.86207432808828</v>
      </c>
      <c r="BI93" s="59">
        <f ca="1">AVERAGE(OFFSET($BH$3,0,0,'Données projet'!$E$11+1,1))-AVERAGE(OFFSET($H$3,0,0,'Données projet'!$E$11+1,1))</f>
        <v>211.98817606983374</v>
      </c>
      <c r="BJ93" s="59">
        <f t="shared" si="92"/>
        <v>154.0840647586964</v>
      </c>
      <c r="BK93" s="15">
        <f>IF(ISNA(VLOOKUP(A93,'Données projet'!$A$87:$I$107,3,0)),0,VLOOKUP(A93,'Données projet'!$A$87:$I$107,3,0))</f>
        <v>13</v>
      </c>
      <c r="BL93" s="15">
        <f>IF(ISNA(VLOOKUP(A93,'Données projet'!$A$87:$I$107,4,0)),0,VLOOKUP(A93,'Données projet'!$A$87:$I$107,4,0))</f>
        <v>9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159</v>
      </c>
      <c r="BW93" s="12">
        <f>VLOOKUP(A93,'Données projet'!$A$113:$I$133,9,0)</f>
        <v>3.2</v>
      </c>
      <c r="BX93" s="12">
        <f t="array" ref="BX93">INDEX(BW:BW,MIN(IF(ISNUMBER(BW93:BW289),ROW(BW93:BW289),"")))</f>
        <v>3.2</v>
      </c>
      <c r="BY93" s="12">
        <f>IF('Données projet'!$A$114&gt;35,BY92+BX93-CG92,IF(A93&lt;'Données projet'!$A$114,$BV$205^A93,IF(A93='Données projet'!$A$114,'Données projet'!$B$114,BY92+BX93-CG92)))</f>
        <v>158.99999999999991</v>
      </c>
      <c r="BZ93" s="13">
        <f>BY93*VLOOKUP('Données projet'!$B$12,Paramètres!$A$1:$I$89,3,0)*VLOOKUP('Données projet'!$B$12,Paramètres!$A$1:$I$89,5,0)</f>
        <v>171.1475999999999</v>
      </c>
      <c r="CA93" s="13">
        <f t="shared" si="93"/>
        <v>43.346947081663025</v>
      </c>
      <c r="CB93" s="20">
        <f t="shared" si="64"/>
        <v>373.57800283389628</v>
      </c>
      <c r="CC93" s="59">
        <f t="shared" si="65"/>
        <v>666.91133616722959</v>
      </c>
      <c r="CD93" s="59">
        <f ca="1">AVERAGE(OFFSET($CC$3,0,0,'Données projet'!$E$12+1,1))-AVERAGE(OFFSET($H$3,0,0,'Données projet'!$E$12+1,1))</f>
        <v>231.89176215692947</v>
      </c>
      <c r="CE93" s="59">
        <f t="shared" si="94"/>
        <v>166.97658184507787</v>
      </c>
      <c r="CF93" s="15">
        <f>IF(ISNA(VLOOKUP(A93,'Données projet'!$A$113:$I$133,3,0)),0,VLOOKUP(A93,'Données projet'!$A$113:$I$133,3,0))</f>
        <v>13</v>
      </c>
      <c r="CG93" s="15">
        <f>IF(ISNA(VLOOKUP(A93,'Données projet'!$A$113:$I$133,4,0)),0,VLOOKUP(A93,'Données projet'!$A$113:$I$133,4,0))</f>
        <v>9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2.2737367544323206E-13</v>
      </c>
      <c r="CU93" s="17">
        <f>CT93*VLOOKUP('Données projet'!$B$13,Paramètres!$A$1:$I$89,3,0)*VLOOKUP('Données projet'!$B$13,Paramètres!$A$1:$I$89,5,0)</f>
        <v>1.7735146684572101E-13</v>
      </c>
      <c r="CV93" s="13">
        <f t="shared" si="95"/>
        <v>2.4924271921531257E-12</v>
      </c>
      <c r="CW93" s="20">
        <f t="shared" si="67"/>
        <v>4.6498644977563242E-12</v>
      </c>
      <c r="CX93" s="59">
        <f t="shared" si="68"/>
        <v>293.33333333333798</v>
      </c>
      <c r="CY93" s="59">
        <f ca="1">AVERAGE(OFFSET($CX$3,0,0,'Données projet'!$E$13+1,1))-AVERAGE(OFFSET($H$3,0,0,'Données projet'!$E$13+1,1))</f>
        <v>274.37717856763146</v>
      </c>
      <c r="CZ93" s="59">
        <f t="shared" si="96"/>
        <v>264.17357326498581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1.9842381968864411E-8</v>
      </c>
      <c r="DI93" s="22">
        <f t="shared" si="69"/>
        <v>1.9842381968864411E-8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-1.7053025658242404E-13</v>
      </c>
      <c r="DP93" s="17">
        <f>DO93*VLOOKUP('Données projet'!$B$14,Paramètres!$A$1:$I$89,3,0)*VLOOKUP('Données projet'!$B$14,Paramètres!$A$1:$I$89,5,0)</f>
        <v>-1.383341441396624E-13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304.26232113495314</v>
      </c>
      <c r="DU93" s="59">
        <f t="shared" si="98"/>
        <v>297.47246687305056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86.468746391404395</v>
      </c>
      <c r="EB93" s="21">
        <f>EXP(-LN(2)/25)*EB92+(1-EXP(-LN(2)/25))/(LN(2)/25)*Calculateur!DW93*Calculateur!DY93*VLOOKUP('Données projet'!$B$14,Paramètres!$A$1:$I$89,3,0)*0.475*44/12</f>
        <v>2.1910161066776408</v>
      </c>
      <c r="EC93" s="21">
        <f>EXP(-LN(2)/2)*EC92+(1-EXP(-LN(2)/2))/(LN(2)/2)*DW93*DZ93*VLOOKUP('Données projet'!$B$14,Paramètres!$A$1:$I$89,3,0)*0.475*44/12</f>
        <v>1.3259081043682408</v>
      </c>
      <c r="ED93" s="22">
        <f t="shared" si="72"/>
        <v>89.98567060245027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234.25272000000041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344.4940855044307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5.0405219954248401E-9</v>
      </c>
      <c r="AC94" s="22">
        <f t="shared" si="57"/>
        <v>5.0405219954248401E-9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5.4</v>
      </c>
      <c r="AI94" s="13">
        <f>IF('Données projet'!$A$62&gt;35,AI93+AH94-AQ93,IF(A94&lt;'Données projet'!$A$62,$AF$205^A94,IF(A94='Données projet'!$A$62,'Données projet'!$B$62,AI93+AH94-AQ93)))</f>
        <v>244.39999999999981</v>
      </c>
      <c r="AJ94" s="13">
        <f>AI94*VLOOKUP('Données projet'!$B$10,Paramètres!$A$1:$I$89,3,0)*VLOOKUP('Données projet'!$B$10,Paramètres!$A$1:$I$89,5,0)</f>
        <v>163.94351999999986</v>
      </c>
      <c r="AK94" s="13">
        <f t="shared" si="89"/>
        <v>41.730722994826309</v>
      </c>
      <c r="AL94" s="20">
        <f t="shared" si="58"/>
        <v>358.21597321598887</v>
      </c>
      <c r="AM94" s="59">
        <f t="shared" si="59"/>
        <v>651.54930654932218</v>
      </c>
      <c r="AN94" s="59">
        <f ca="1">AVERAGE(OFFSET($AM$3,0,0,'Données projet'!$E$10+1,1))-AVERAGE(OFFSET($H$3,0,0,'Données projet'!$E$10+1,1))</f>
        <v>246.71489737733248</v>
      </c>
      <c r="AO94" s="59">
        <f t="shared" si="90"/>
        <v>185.03615139960783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2.8</v>
      </c>
      <c r="BD94" s="12">
        <f>IF('Données projet'!$A$88&gt;35,BD93+BC94-BL93,IF(A94&lt;'Données projet'!$A$88,$BA$205^A94,IF(A94='Données projet'!$A$88,'Données projet'!$B$88,BD93+BC94-BL93)))</f>
        <v>152.79999999999993</v>
      </c>
      <c r="BE94" s="13">
        <f>BD94*VLOOKUP('Données projet'!$B$11,Paramètres!$A$1:$I$89,3,0)*VLOOKUP('Données projet'!$B$11,Paramètres!$A$1:$I$89,5,0)</f>
        <v>147.78815999999992</v>
      </c>
      <c r="BF94" s="13">
        <f t="shared" si="91"/>
        <v>38.075503288306173</v>
      </c>
      <c r="BG94" s="20">
        <f t="shared" si="61"/>
        <v>323.71254689379975</v>
      </c>
      <c r="BH94" s="59">
        <f t="shared" si="62"/>
        <v>617.04588022713301</v>
      </c>
      <c r="BI94" s="59">
        <f ca="1">AVERAGE(OFFSET($BH$3,0,0,'Données projet'!$E$11+1,1))-AVERAGE(OFFSET($H$3,0,0,'Données projet'!$E$11+1,1))</f>
        <v>211.98817606983374</v>
      </c>
      <c r="BJ94" s="59">
        <f t="shared" si="92"/>
        <v>154.0840647586964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152.79999999999993</v>
      </c>
      <c r="BZ94" s="13">
        <f>BY94*VLOOKUP('Données projet'!$B$12,Paramètres!$A$1:$I$89,3,0)*VLOOKUP('Données projet'!$B$12,Paramètres!$A$1:$I$89,5,0)</f>
        <v>164.47391999999991</v>
      </c>
      <c r="CA94" s="13">
        <f t="shared" si="93"/>
        <v>41.84999518452819</v>
      </c>
      <c r="CB94" s="20">
        <f t="shared" si="64"/>
        <v>359.3474856130531</v>
      </c>
      <c r="CC94" s="59">
        <f t="shared" si="65"/>
        <v>652.68081894638635</v>
      </c>
      <c r="CD94" s="59">
        <f ca="1">AVERAGE(OFFSET($CC$3,0,0,'Données projet'!$E$12+1,1))-AVERAGE(OFFSET($H$3,0,0,'Données projet'!$E$12+1,1))</f>
        <v>231.89176215692947</v>
      </c>
      <c r="CE94" s="59">
        <f t="shared" si="94"/>
        <v>166.97658184507787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2.2737367544323206E-13</v>
      </c>
      <c r="CU94" s="17">
        <f>CT94*VLOOKUP('Données projet'!$B$13,Paramètres!$A$1:$I$89,3,0)*VLOOKUP('Données projet'!$B$13,Paramètres!$A$1:$I$89,5,0)</f>
        <v>1.7735146684572101E-13</v>
      </c>
      <c r="CV94" s="13">
        <f t="shared" si="95"/>
        <v>2.4924271921531257E-12</v>
      </c>
      <c r="CW94" s="20">
        <f t="shared" si="67"/>
        <v>4.6498644977563242E-12</v>
      </c>
      <c r="CX94" s="59">
        <f t="shared" si="68"/>
        <v>293.33333333333798</v>
      </c>
      <c r="CY94" s="59">
        <f ca="1">AVERAGE(OFFSET($CX$3,0,0,'Données projet'!$E$13+1,1))-AVERAGE(OFFSET($H$3,0,0,'Données projet'!$E$13+1,1))</f>
        <v>274.37717856763146</v>
      </c>
      <c r="CZ94" s="59">
        <f t="shared" si="96"/>
        <v>264.17357326498581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1.4030682845077704E-8</v>
      </c>
      <c r="DI94" s="22">
        <f t="shared" si="69"/>
        <v>1.4030682845077704E-8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-1.7053025658242404E-13</v>
      </c>
      <c r="DP94" s="17">
        <f>DO94*VLOOKUP('Données projet'!$B$14,Paramètres!$A$1:$I$89,3,0)*VLOOKUP('Données projet'!$B$14,Paramètres!$A$1:$I$89,5,0)</f>
        <v>-1.383341441396624E-13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304.26232113495314</v>
      </c>
      <c r="DU94" s="59">
        <f t="shared" si="98"/>
        <v>297.47246687305056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84.773147015396532</v>
      </c>
      <c r="EB94" s="21">
        <f>EXP(-LN(2)/25)*EB93+(1-EXP(-LN(2)/25))/(LN(2)/25)*Calculateur!DW94*Calculateur!DY94*VLOOKUP('Données projet'!$B$14,Paramètres!$A$1:$I$89,3,0)*0.475*44/12</f>
        <v>2.1311026560200115</v>
      </c>
      <c r="EC94" s="21">
        <f>EXP(-LN(2)/2)*EC93+(1-EXP(-LN(2)/2))/(LN(2)/2)*DW94*DZ94*VLOOKUP('Données projet'!$B$14,Paramètres!$A$1:$I$89,3,0)*0.475*44/12</f>
        <v>0.9375586118289837</v>
      </c>
      <c r="ED94" s="22">
        <f t="shared" si="72"/>
        <v>87.841808283245527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238.6862400000004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344.4940855044307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3.5641872836848524E-9</v>
      </c>
      <c r="AC95" s="22">
        <f t="shared" si="57"/>
        <v>3.5641872836848524E-9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5.4</v>
      </c>
      <c r="AI95" s="13">
        <f>IF('Données projet'!$A$62&gt;35,AI94+AH95-AQ94,IF(A95&lt;'Données projet'!$A$62,$AF$205^A95,IF(A95='Données projet'!$A$62,'Données projet'!$B$62,AI94+AH95-AQ94)))</f>
        <v>249.79999999999981</v>
      </c>
      <c r="AJ95" s="13">
        <f>AI95*VLOOKUP('Données projet'!$B$10,Paramètres!$A$1:$I$89,3,0)*VLOOKUP('Données projet'!$B$10,Paramètres!$A$1:$I$89,5,0)</f>
        <v>167.56583999999987</v>
      </c>
      <c r="AK95" s="13">
        <f t="shared" si="89"/>
        <v>42.54439596624875</v>
      </c>
      <c r="AL95" s="20">
        <f t="shared" si="58"/>
        <v>365.94199430788302</v>
      </c>
      <c r="AM95" s="59">
        <f t="shared" si="59"/>
        <v>659.27532764121634</v>
      </c>
      <c r="AN95" s="59">
        <f ca="1">AVERAGE(OFFSET($AM$3,0,0,'Données projet'!$E$10+1,1))-AVERAGE(OFFSET($H$3,0,0,'Données projet'!$E$10+1,1))</f>
        <v>246.71489737733248</v>
      </c>
      <c r="AO95" s="59">
        <f t="shared" si="90"/>
        <v>185.03615139960783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2.8</v>
      </c>
      <c r="BD95" s="12">
        <f>IF('Données projet'!$A$88&gt;35,BD94+BC95-BL94,IF(A95&lt;'Données projet'!$A$88,$BA$205^A95,IF(A95='Données projet'!$A$88,'Données projet'!$B$88,BD94+BC95-BL94)))</f>
        <v>155.59999999999994</v>
      </c>
      <c r="BE95" s="13">
        <f>BD95*VLOOKUP('Données projet'!$B$11,Paramètres!$A$1:$I$89,3,0)*VLOOKUP('Données projet'!$B$11,Paramètres!$A$1:$I$89,5,0)</f>
        <v>150.49631999999994</v>
      </c>
      <c r="BF95" s="13">
        <f t="shared" si="91"/>
        <v>38.691354428217871</v>
      </c>
      <c r="BG95" s="20">
        <f t="shared" si="61"/>
        <v>329.5018662958127</v>
      </c>
      <c r="BH95" s="59">
        <f t="shared" si="62"/>
        <v>622.83519962914602</v>
      </c>
      <c r="BI95" s="59">
        <f ca="1">AVERAGE(OFFSET($BH$3,0,0,'Données projet'!$E$11+1,1))-AVERAGE(OFFSET($H$3,0,0,'Données projet'!$E$11+1,1))</f>
        <v>211.98817606983374</v>
      </c>
      <c r="BJ95" s="59">
        <f t="shared" si="92"/>
        <v>154.0840647586964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155.59999999999994</v>
      </c>
      <c r="BZ95" s="13">
        <f>BY95*VLOOKUP('Données projet'!$B$12,Paramètres!$A$1:$I$89,3,0)*VLOOKUP('Données projet'!$B$12,Paramètres!$A$1:$I$89,5,0)</f>
        <v>167.48783999999992</v>
      </c>
      <c r="CA95" s="13">
        <f t="shared" si="93"/>
        <v>42.526896735757454</v>
      </c>
      <c r="CB95" s="20">
        <f t="shared" si="64"/>
        <v>365.77566648144403</v>
      </c>
      <c r="CC95" s="59">
        <f t="shared" si="65"/>
        <v>659.10899981477735</v>
      </c>
      <c r="CD95" s="59">
        <f ca="1">AVERAGE(OFFSET($CC$3,0,0,'Données projet'!$E$12+1,1))-AVERAGE(OFFSET($H$3,0,0,'Données projet'!$E$12+1,1))</f>
        <v>231.89176215692947</v>
      </c>
      <c r="CE95" s="59">
        <f t="shared" si="94"/>
        <v>166.97658184507787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2.2737367544323206E-13</v>
      </c>
      <c r="CU95" s="17">
        <f>CT95*VLOOKUP('Données projet'!$B$13,Paramètres!$A$1:$I$89,3,0)*VLOOKUP('Données projet'!$B$13,Paramètres!$A$1:$I$89,5,0)</f>
        <v>1.7735146684572101E-13</v>
      </c>
      <c r="CV95" s="13">
        <f t="shared" si="95"/>
        <v>2.4924271921531257E-12</v>
      </c>
      <c r="CW95" s="20">
        <f t="shared" si="67"/>
        <v>4.6498644977563242E-12</v>
      </c>
      <c r="CX95" s="59">
        <f t="shared" si="68"/>
        <v>293.33333333333798</v>
      </c>
      <c r="CY95" s="59">
        <f ca="1">AVERAGE(OFFSET($CX$3,0,0,'Données projet'!$E$13+1,1))-AVERAGE(OFFSET($H$3,0,0,'Données projet'!$E$13+1,1))</f>
        <v>274.37717856763146</v>
      </c>
      <c r="CZ95" s="59">
        <f t="shared" si="96"/>
        <v>264.17357326498581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9.9211909844322057E-9</v>
      </c>
      <c r="DI95" s="22">
        <f t="shared" si="69"/>
        <v>9.9211909844322057E-9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-1.7053025658242404E-13</v>
      </c>
      <c r="DP95" s="17">
        <f>DO95*VLOOKUP('Données projet'!$B$14,Paramètres!$A$1:$I$89,3,0)*VLOOKUP('Données projet'!$B$14,Paramètres!$A$1:$I$89,5,0)</f>
        <v>-1.383341441396624E-13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304.26232113495314</v>
      </c>
      <c r="DU95" s="59">
        <f t="shared" si="98"/>
        <v>297.47246687305056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83.110797308938686</v>
      </c>
      <c r="EB95" s="21">
        <f>EXP(-LN(2)/25)*EB94+(1-EXP(-LN(2)/25))/(LN(2)/25)*Calculateur!DW95*Calculateur!DY95*VLOOKUP('Données projet'!$B$14,Paramètres!$A$1:$I$89,3,0)*0.475*44/12</f>
        <v>2.0728275418213262</v>
      </c>
      <c r="EC95" s="21">
        <f>EXP(-LN(2)/2)*EC94+(1-EXP(-LN(2)/2))/(LN(2)/2)*DW95*DZ95*VLOOKUP('Données projet'!$B$14,Paramètres!$A$1:$I$89,3,0)*0.475*44/12</f>
        <v>0.66295405218412051</v>
      </c>
      <c r="ED95" s="22">
        <f t="shared" si="72"/>
        <v>85.846578902944131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243.11976000000041</v>
      </c>
      <c r="P96" s="13">
        <f t="shared" si="87"/>
        <v>59.110256668778582</v>
      </c>
      <c r="Q96" s="20">
        <f t="shared" si="54"/>
        <v>526.3839456981234</v>
      </c>
      <c r="R96" s="59">
        <f t="shared" si="55"/>
        <v>819.71727903145666</v>
      </c>
      <c r="S96" s="59">
        <f ca="1">AVERAGE(OFFSET($R$3,0,0,'Données projet'!$E$9+1,1))-AVERAGE(OFFSET($H$3,0,0,'Données projet'!$E$9+1,1))</f>
        <v>344.4940855044307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2.5202609977124201E-9</v>
      </c>
      <c r="AC96" s="22">
        <f t="shared" si="57"/>
        <v>2.5202609977124201E-9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5.4</v>
      </c>
      <c r="AI96" s="13">
        <f>IF('Données projet'!$A$62&gt;35,AI95+AH96-AQ95,IF(A96&lt;'Données projet'!$A$62,$AF$205^A96,IF(A96='Données projet'!$A$62,'Données projet'!$B$62,AI95+AH96-AQ95)))</f>
        <v>255.19999999999982</v>
      </c>
      <c r="AJ96" s="13">
        <f>AI96*VLOOKUP('Données projet'!$B$10,Paramètres!$A$1:$I$89,3,0)*VLOOKUP('Données projet'!$B$10,Paramètres!$A$1:$I$89,5,0)</f>
        <v>171.18815999999987</v>
      </c>
      <c r="AK96" s="13">
        <f t="shared" si="89"/>
        <v>43.356023936000817</v>
      </c>
      <c r="AL96" s="20">
        <f t="shared" si="58"/>
        <v>373.66445368853448</v>
      </c>
      <c r="AM96" s="59">
        <f t="shared" si="59"/>
        <v>666.99778702186779</v>
      </c>
      <c r="AN96" s="59">
        <f ca="1">AVERAGE(OFFSET($AM$3,0,0,'Données projet'!$E$10+1,1))-AVERAGE(OFFSET($H$3,0,0,'Données projet'!$E$10+1,1))</f>
        <v>246.71489737733248</v>
      </c>
      <c r="AO96" s="59">
        <f t="shared" si="90"/>
        <v>185.03615139960783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2.8</v>
      </c>
      <c r="BD96" s="12">
        <f>IF('Données projet'!$A$88&gt;35,BD95+BC96-BL95,IF(A96&lt;'Données projet'!$A$88,$BA$205^A96,IF(A96='Données projet'!$A$88,'Données projet'!$B$88,BD95+BC96-BL95)))</f>
        <v>158.39999999999995</v>
      </c>
      <c r="BE96" s="13">
        <f>BD96*VLOOKUP('Données projet'!$B$11,Paramètres!$A$1:$I$89,3,0)*VLOOKUP('Données projet'!$B$11,Paramètres!$A$1:$I$89,5,0)</f>
        <v>153.20447999999996</v>
      </c>
      <c r="BF96" s="13">
        <f t="shared" si="91"/>
        <v>39.305916881892401</v>
      </c>
      <c r="BG96" s="20">
        <f t="shared" si="61"/>
        <v>335.28894123596245</v>
      </c>
      <c r="BH96" s="59">
        <f t="shared" si="62"/>
        <v>628.62227456929577</v>
      </c>
      <c r="BI96" s="59">
        <f ca="1">AVERAGE(OFFSET($BH$3,0,0,'Données projet'!$E$11+1,1))-AVERAGE(OFFSET($H$3,0,0,'Données projet'!$E$11+1,1))</f>
        <v>211.98817606983374</v>
      </c>
      <c r="BJ96" s="59">
        <f t="shared" si="92"/>
        <v>154.0840647586964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158.39999999999995</v>
      </c>
      <c r="BZ96" s="13">
        <f>BY96*VLOOKUP('Données projet'!$B$12,Paramètres!$A$1:$I$89,3,0)*VLOOKUP('Données projet'!$B$12,Paramètres!$A$1:$I$89,5,0)</f>
        <v>170.50175999999993</v>
      </c>
      <c r="CA96" s="13">
        <f t="shared" si="93"/>
        <v>43.202381851006599</v>
      </c>
      <c r="CB96" s="20">
        <f t="shared" si="64"/>
        <v>372.20138039050306</v>
      </c>
      <c r="CC96" s="59">
        <f t="shared" si="65"/>
        <v>665.53471372383638</v>
      </c>
      <c r="CD96" s="59">
        <f ca="1">AVERAGE(OFFSET($CC$3,0,0,'Données projet'!$E$12+1,1))-AVERAGE(OFFSET($H$3,0,0,'Données projet'!$E$12+1,1))</f>
        <v>231.89176215692947</v>
      </c>
      <c r="CE96" s="59">
        <f t="shared" si="94"/>
        <v>166.97658184507787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2.2737367544323206E-13</v>
      </c>
      <c r="CU96" s="17">
        <f>CT96*VLOOKUP('Données projet'!$B$13,Paramètres!$A$1:$I$89,3,0)*VLOOKUP('Données projet'!$B$13,Paramètres!$A$1:$I$89,5,0)</f>
        <v>1.7735146684572101E-13</v>
      </c>
      <c r="CV96" s="13">
        <f t="shared" si="95"/>
        <v>2.4924271921531257E-12</v>
      </c>
      <c r="CW96" s="20">
        <f t="shared" si="67"/>
        <v>4.6498644977563242E-12</v>
      </c>
      <c r="CX96" s="59">
        <f t="shared" si="68"/>
        <v>293.33333333333798</v>
      </c>
      <c r="CY96" s="59">
        <f ca="1">AVERAGE(OFFSET($CX$3,0,0,'Données projet'!$E$13+1,1))-AVERAGE(OFFSET($H$3,0,0,'Données projet'!$E$13+1,1))</f>
        <v>274.37717856763146</v>
      </c>
      <c r="CZ96" s="59">
        <f t="shared" si="96"/>
        <v>264.17357326498581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7.0153414225388518E-9</v>
      </c>
      <c r="DI96" s="22">
        <f t="shared" si="69"/>
        <v>7.0153414225388518E-9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-1.7053025658242404E-13</v>
      </c>
      <c r="DP96" s="17">
        <f>DO96*VLOOKUP('Données projet'!$B$14,Paramètres!$A$1:$I$89,3,0)*VLOOKUP('Données projet'!$B$14,Paramètres!$A$1:$I$89,5,0)</f>
        <v>-1.383341441396624E-13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304.26232113495314</v>
      </c>
      <c r="DU96" s="59">
        <f t="shared" si="98"/>
        <v>297.47246687305056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81.481045266291275</v>
      </c>
      <c r="EB96" s="21">
        <f>EXP(-LN(2)/25)*EB95+(1-EXP(-LN(2)/25))/(LN(2)/25)*Calculateur!DW96*Calculateur!DY96*VLOOKUP('Données projet'!$B$14,Paramètres!$A$1:$I$89,3,0)*0.475*44/12</f>
        <v>2.0161459636849592</v>
      </c>
      <c r="EC96" s="21">
        <f>EXP(-LN(2)/2)*EC95+(1-EXP(-LN(2)/2))/(LN(2)/2)*DW96*DZ96*VLOOKUP('Données projet'!$B$14,Paramètres!$A$1:$I$89,3,0)*0.475*44/12</f>
        <v>0.46877930591449196</v>
      </c>
      <c r="ED96" s="22">
        <f t="shared" si="72"/>
        <v>83.965970535890733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247.5532800000004</v>
      </c>
      <c r="P97" s="13">
        <f t="shared" si="87"/>
        <v>60.061713068870304</v>
      </c>
      <c r="Q97" s="20">
        <f t="shared" si="54"/>
        <v>535.76277959494985</v>
      </c>
      <c r="R97" s="59">
        <f t="shared" si="55"/>
        <v>829.09611292828322</v>
      </c>
      <c r="S97" s="59">
        <f ca="1">AVERAGE(OFFSET($R$3,0,0,'Données projet'!$E$9+1,1))-AVERAGE(OFFSET($H$3,0,0,'Données projet'!$E$9+1,1))</f>
        <v>344.4940855044307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1.7820936418424262E-9</v>
      </c>
      <c r="AC97" s="22">
        <f t="shared" si="57"/>
        <v>1.7820936418424262E-9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5.4</v>
      </c>
      <c r="AI97" s="13">
        <f>IF('Données projet'!$A$62&gt;35,AI96+AH97-AQ96,IF(A97&lt;'Données projet'!$A$62,$AF$205^A97,IF(A97='Données projet'!$A$62,'Données projet'!$B$62,AI96+AH97-AQ96)))</f>
        <v>260.5999999999998</v>
      </c>
      <c r="AJ97" s="13">
        <f>AI97*VLOOKUP('Données projet'!$B$10,Paramètres!$A$1:$I$89,3,0)*VLOOKUP('Données projet'!$B$10,Paramètres!$A$1:$I$89,5,0)</f>
        <v>174.81047999999987</v>
      </c>
      <c r="AK97" s="13">
        <f t="shared" si="89"/>
        <v>44.165655160747875</v>
      </c>
      <c r="AL97" s="20">
        <f t="shared" si="58"/>
        <v>381.38343540496891</v>
      </c>
      <c r="AM97" s="59">
        <f t="shared" si="59"/>
        <v>674.71676873830222</v>
      </c>
      <c r="AN97" s="59">
        <f ca="1">AVERAGE(OFFSET($AM$3,0,0,'Données projet'!$E$10+1,1))-AVERAGE(OFFSET($H$3,0,0,'Données projet'!$E$10+1,1))</f>
        <v>246.71489737733248</v>
      </c>
      <c r="AO97" s="59">
        <f t="shared" si="90"/>
        <v>185.03615139960783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2.8</v>
      </c>
      <c r="BD97" s="12">
        <f>IF('Données projet'!$A$88&gt;35,BD96+BC97-BL96,IF(A97&lt;'Données projet'!$A$88,$BA$205^A97,IF(A97='Données projet'!$A$88,'Données projet'!$B$88,BD96+BC97-BL96)))</f>
        <v>161.19999999999996</v>
      </c>
      <c r="BE97" s="13">
        <f>BD97*VLOOKUP('Données projet'!$B$11,Paramètres!$A$1:$I$89,3,0)*VLOOKUP('Données projet'!$B$11,Paramètres!$A$1:$I$89,5,0)</f>
        <v>155.91263999999995</v>
      </c>
      <c r="BF97" s="13">
        <f t="shared" si="91"/>
        <v>39.919216057228653</v>
      </c>
      <c r="BG97" s="20">
        <f t="shared" si="61"/>
        <v>341.07381596633985</v>
      </c>
      <c r="BH97" s="59">
        <f t="shared" si="62"/>
        <v>634.40714929967316</v>
      </c>
      <c r="BI97" s="59">
        <f ca="1">AVERAGE(OFFSET($BH$3,0,0,'Données projet'!$E$11+1,1))-AVERAGE(OFFSET($H$3,0,0,'Données projet'!$E$11+1,1))</f>
        <v>211.98817606983374</v>
      </c>
      <c r="BJ97" s="59">
        <f t="shared" si="92"/>
        <v>154.0840647586964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161.19999999999996</v>
      </c>
      <c r="BZ97" s="13">
        <f>BY97*VLOOKUP('Données projet'!$B$12,Paramètres!$A$1:$I$89,3,0)*VLOOKUP('Données projet'!$B$12,Paramètres!$A$1:$I$89,5,0)</f>
        <v>173.51567999999995</v>
      </c>
      <c r="CA97" s="13">
        <f t="shared" si="93"/>
        <v>43.876478456904387</v>
      </c>
      <c r="CB97" s="20">
        <f t="shared" si="64"/>
        <v>378.62467597910836</v>
      </c>
      <c r="CC97" s="59">
        <f t="shared" si="65"/>
        <v>671.95800931244162</v>
      </c>
      <c r="CD97" s="59">
        <f ca="1">AVERAGE(OFFSET($CC$3,0,0,'Données projet'!$E$12+1,1))-AVERAGE(OFFSET($H$3,0,0,'Données projet'!$E$12+1,1))</f>
        <v>231.89176215692947</v>
      </c>
      <c r="CE97" s="59">
        <f t="shared" si="94"/>
        <v>166.97658184507787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2.2737367544323206E-13</v>
      </c>
      <c r="CU97" s="17">
        <f>CT97*VLOOKUP('Données projet'!$B$13,Paramètres!$A$1:$I$89,3,0)*VLOOKUP('Données projet'!$B$13,Paramètres!$A$1:$I$89,5,0)</f>
        <v>1.7735146684572101E-13</v>
      </c>
      <c r="CV97" s="13">
        <f t="shared" si="95"/>
        <v>2.4924271921531257E-12</v>
      </c>
      <c r="CW97" s="20">
        <f t="shared" si="67"/>
        <v>4.6498644977563242E-12</v>
      </c>
      <c r="CX97" s="59">
        <f t="shared" si="68"/>
        <v>293.33333333333798</v>
      </c>
      <c r="CY97" s="59">
        <f ca="1">AVERAGE(OFFSET($CX$3,0,0,'Données projet'!$E$13+1,1))-AVERAGE(OFFSET($H$3,0,0,'Données projet'!$E$13+1,1))</f>
        <v>274.37717856763146</v>
      </c>
      <c r="CZ97" s="59">
        <f t="shared" si="96"/>
        <v>264.17357326498581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4.9605954922161029E-9</v>
      </c>
      <c r="DI97" s="22">
        <f t="shared" si="69"/>
        <v>4.9605954922161029E-9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-1.7053025658242404E-13</v>
      </c>
      <c r="DP97" s="17">
        <f>DO97*VLOOKUP('Données projet'!$B$14,Paramètres!$A$1:$I$89,3,0)*VLOOKUP('Données projet'!$B$14,Paramètres!$A$1:$I$89,5,0)</f>
        <v>-1.383341441396624E-13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304.26232113495314</v>
      </c>
      <c r="DU97" s="59">
        <f t="shared" si="98"/>
        <v>297.47246687305056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79.883251667149594</v>
      </c>
      <c r="EB97" s="21">
        <f>EXP(-LN(2)/25)*EB96+(1-EXP(-LN(2)/25))/(LN(2)/25)*Calculateur!DW97*Calculateur!DY97*VLOOKUP('Données projet'!$B$14,Paramètres!$A$1:$I$89,3,0)*0.475*44/12</f>
        <v>1.9610143462834857</v>
      </c>
      <c r="EC97" s="21">
        <f>EXP(-LN(2)/2)*EC96+(1-EXP(-LN(2)/2))/(LN(2)/2)*DW97*DZ97*VLOOKUP('Données projet'!$B$14,Paramètres!$A$1:$I$89,3,0)*0.475*44/12</f>
        <v>0.33147702609206031</v>
      </c>
      <c r="ED97" s="22">
        <f t="shared" si="72"/>
        <v>82.175743039525145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251.98680000000036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344.4940855044307</v>
      </c>
      <c r="T98" s="59">
        <f t="shared" si="88"/>
        <v>231.36959598460686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1.26013049885621E-9</v>
      </c>
      <c r="AC98" s="22">
        <f t="shared" si="57"/>
        <v>1.26013049885621E-9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266</v>
      </c>
      <c r="AG98" s="12">
        <f>VLOOKUP(A98,'Données projet'!$A$61:$I$81,9,0)</f>
        <v>5.4</v>
      </c>
      <c r="AH98" s="12">
        <f t="array" ref="AH98">INDEX(AG:AG,MIN(IF(ISNUMBER(AG98:AG294),ROW(AG98:AG294),"")))</f>
        <v>5.4</v>
      </c>
      <c r="AI98" s="13">
        <f>IF('Données projet'!$A$62&gt;35,AI97+AH98-AQ97,IF(A98&lt;'Données projet'!$A$62,$AF$205^A98,IF(A98='Données projet'!$A$62,'Données projet'!$B$62,AI97+AH98-AQ97)))</f>
        <v>265.99999999999977</v>
      </c>
      <c r="AJ98" s="13">
        <f>AI98*VLOOKUP('Données projet'!$B$10,Paramètres!$A$1:$I$89,3,0)*VLOOKUP('Données projet'!$B$10,Paramètres!$A$1:$I$89,5,0)</f>
        <v>178.43279999999984</v>
      </c>
      <c r="AK98" s="13">
        <f t="shared" si="89"/>
        <v>44.973335782965044</v>
      </c>
      <c r="AL98" s="20">
        <f t="shared" si="58"/>
        <v>389.09901982199722</v>
      </c>
      <c r="AM98" s="59">
        <f t="shared" si="59"/>
        <v>682.43235315533047</v>
      </c>
      <c r="AN98" s="59">
        <f ca="1">AVERAGE(OFFSET($AM$3,0,0,'Données projet'!$E$10+1,1))-AVERAGE(OFFSET($H$3,0,0,'Données projet'!$E$10+1,1))</f>
        <v>246.71489737733248</v>
      </c>
      <c r="AO98" s="59">
        <f t="shared" si="90"/>
        <v>185.03615139960783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19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164</v>
      </c>
      <c r="BB98" s="12">
        <f>VLOOKUP(A98,'Données projet'!$A$87:$I$107,9,0)</f>
        <v>2.8</v>
      </c>
      <c r="BC98" s="12">
        <f t="array" ref="BC98">INDEX(BB:BB,MIN(IF(ISNUMBER(BB98:BB294),ROW(BB98:BB294),"")))</f>
        <v>2.8</v>
      </c>
      <c r="BD98" s="12">
        <f>IF('Données projet'!$A$88&gt;35,BD97+BC98-BL97,IF(A98&lt;'Données projet'!$A$88,$BA$205^A98,IF(A98='Données projet'!$A$88,'Données projet'!$B$88,BD97+BC98-BL97)))</f>
        <v>163.99999999999997</v>
      </c>
      <c r="BE98" s="13">
        <f>BD98*VLOOKUP('Données projet'!$B$11,Paramètres!$A$1:$I$89,3,0)*VLOOKUP('Données projet'!$B$11,Paramètres!$A$1:$I$89,5,0)</f>
        <v>158.62079999999997</v>
      </c>
      <c r="BF98" s="13">
        <f t="shared" si="91"/>
        <v>40.531276428901542</v>
      </c>
      <c r="BG98" s="20">
        <f t="shared" si="61"/>
        <v>346.85653311367014</v>
      </c>
      <c r="BH98" s="59">
        <f t="shared" si="62"/>
        <v>640.1898664470034</v>
      </c>
      <c r="BI98" s="59">
        <f ca="1">AVERAGE(OFFSET($BH$3,0,0,'Données projet'!$E$11+1,1))-AVERAGE(OFFSET($H$3,0,0,'Données projet'!$E$11+1,1))</f>
        <v>211.98817606983374</v>
      </c>
      <c r="BJ98" s="59">
        <f t="shared" si="92"/>
        <v>154.0840647586964</v>
      </c>
      <c r="BK98" s="15">
        <f>IF(ISNA(VLOOKUP(A98,'Données projet'!$A$87:$I$107,3,0)),0,VLOOKUP(A98,'Données projet'!$A$87:$I$107,3,0))</f>
        <v>14</v>
      </c>
      <c r="BL98" s="15">
        <f>IF(ISNA(VLOOKUP(A98,'Données projet'!$A$87:$I$107,4,0)),0,VLOOKUP(A98,'Données projet'!$A$87:$I$107,4,0))</f>
        <v>9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164</v>
      </c>
      <c r="BW98" s="12">
        <f>VLOOKUP(A98,'Données projet'!$A$113:$I$133,9,0)</f>
        <v>2.8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163.99999999999997</v>
      </c>
      <c r="BZ98" s="13">
        <f>BY98*VLOOKUP('Données projet'!$B$12,Paramètres!$A$1:$I$89,3,0)*VLOOKUP('Données projet'!$B$12,Paramètres!$A$1:$I$89,5,0)</f>
        <v>176.52959999999996</v>
      </c>
      <c r="CA98" s="13">
        <f t="shared" si="93"/>
        <v>44.549213454343487</v>
      </c>
      <c r="CB98" s="20">
        <f t="shared" si="64"/>
        <v>385.0456000996482</v>
      </c>
      <c r="CC98" s="59">
        <f t="shared" si="65"/>
        <v>678.37893343298151</v>
      </c>
      <c r="CD98" s="59">
        <f ca="1">AVERAGE(OFFSET($CC$3,0,0,'Données projet'!$E$12+1,1))-AVERAGE(OFFSET($H$3,0,0,'Données projet'!$E$12+1,1))</f>
        <v>231.89176215692947</v>
      </c>
      <c r="CE98" s="59">
        <f t="shared" si="94"/>
        <v>166.97658184507787</v>
      </c>
      <c r="CF98" s="15">
        <f>IF(ISNA(VLOOKUP(A98,'Données projet'!$A$113:$I$133,3,0)),0,VLOOKUP(A98,'Données projet'!$A$113:$I$133,3,0))</f>
        <v>14</v>
      </c>
      <c r="CG98" s="15">
        <f>IF(ISNA(VLOOKUP(A98,'Données projet'!$A$113:$I$133,4,0)),0,VLOOKUP(A98,'Données projet'!$A$113:$I$133,4,0))</f>
        <v>9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2.2737367544323206E-13</v>
      </c>
      <c r="CU98" s="17">
        <f>CT98*VLOOKUP('Données projet'!$B$13,Paramètres!$A$1:$I$89,3,0)*VLOOKUP('Données projet'!$B$13,Paramètres!$A$1:$I$89,5,0)</f>
        <v>1.7735146684572101E-13</v>
      </c>
      <c r="CV98" s="13">
        <f t="shared" si="95"/>
        <v>2.4924271921531257E-12</v>
      </c>
      <c r="CW98" s="20">
        <f t="shared" si="67"/>
        <v>4.6498644977563242E-12</v>
      </c>
      <c r="CX98" s="59">
        <f t="shared" si="68"/>
        <v>293.33333333333798</v>
      </c>
      <c r="CY98" s="59">
        <f ca="1">AVERAGE(OFFSET($CX$3,0,0,'Données projet'!$E$13+1,1))-AVERAGE(OFFSET($H$3,0,0,'Données projet'!$E$13+1,1))</f>
        <v>274.37717856763146</v>
      </c>
      <c r="CZ98" s="59">
        <f t="shared" si="96"/>
        <v>264.17357326498581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3.5076707112694259E-9</v>
      </c>
      <c r="DI98" s="22">
        <f t="shared" si="69"/>
        <v>3.5076707112694259E-9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-1.7053025658242404E-13</v>
      </c>
      <c r="DP98" s="17">
        <f>DO98*VLOOKUP('Données projet'!$B$14,Paramètres!$A$1:$I$89,3,0)*VLOOKUP('Données projet'!$B$14,Paramètres!$A$1:$I$89,5,0)</f>
        <v>-1.383341441396624E-13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304.26232113495314</v>
      </c>
      <c r="DU98" s="59">
        <f t="shared" si="98"/>
        <v>297.47246687305056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78.31678982592922</v>
      </c>
      <c r="EB98" s="21">
        <f>EXP(-LN(2)/25)*EB97+(1-EXP(-LN(2)/25))/(LN(2)/25)*Calculateur!DW98*Calculateur!DY98*VLOOKUP('Données projet'!$B$14,Paramètres!$A$1:$I$89,3,0)*0.475*44/12</f>
        <v>1.9073903058591013</v>
      </c>
      <c r="EC98" s="21">
        <f>EXP(-LN(2)/2)*EC97+(1-EXP(-LN(2)/2))/(LN(2)/2)*DW98*DZ98*VLOOKUP('Données projet'!$B$14,Paramètres!$A$1:$I$89,3,0)*0.475*44/12</f>
        <v>0.23438965295724601</v>
      </c>
      <c r="ED98" s="22">
        <f t="shared" si="72"/>
        <v>80.458569784745563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256.42032000000034</v>
      </c>
      <c r="P99" s="13">
        <f t="shared" si="87"/>
        <v>61.958720258017024</v>
      </c>
      <c r="Q99" s="20">
        <f t="shared" ref="Q99:Q130" si="107">(O99+P99)*0.475*44/12</f>
        <v>554.51016178271357</v>
      </c>
      <c r="R99" s="59">
        <f t="shared" si="55"/>
        <v>847.84349511604682</v>
      </c>
      <c r="S99" s="59">
        <f ca="1">AVERAGE(OFFSET($R$3,0,0,'Données projet'!$E$9+1,1))-AVERAGE(OFFSET($H$3,0,0,'Données projet'!$E$9+1,1))</f>
        <v>344.4940855044307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8.910468209212131E-10</v>
      </c>
      <c r="AC99" s="22">
        <f t="shared" si="57"/>
        <v>8.910468209212131E-10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251.79999999999978</v>
      </c>
      <c r="AJ99" s="13">
        <f>AI99*VLOOKUP('Données projet'!$B$10,Paramètres!$A$1:$I$89,3,0)*VLOOKUP('Données projet'!$B$10,Paramètres!$A$1:$I$89,5,0)</f>
        <v>168.90743999999987</v>
      </c>
      <c r="AK99" s="13">
        <f t="shared" si="89"/>
        <v>42.845234743603676</v>
      </c>
      <c r="AL99" s="20">
        <f t="shared" si="58"/>
        <v>368.80257517844279</v>
      </c>
      <c r="AM99" s="59">
        <f t="shared" si="59"/>
        <v>662.13590851177605</v>
      </c>
      <c r="AN99" s="59">
        <f ca="1">AVERAGE(OFFSET($AM$3,0,0,'Données projet'!$E$10+1,1))-AVERAGE(OFFSET($H$3,0,0,'Données projet'!$E$10+1,1))</f>
        <v>246.71489737733248</v>
      </c>
      <c r="AO99" s="59">
        <f t="shared" si="90"/>
        <v>185.03615139960783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157.99999999999997</v>
      </c>
      <c r="BE99" s="13">
        <f>BD99*VLOOKUP('Données projet'!$B$11,Paramètres!$A$1:$I$89,3,0)*VLOOKUP('Données projet'!$B$11,Paramètres!$A$1:$I$89,5,0)</f>
        <v>152.81759999999997</v>
      </c>
      <c r="BF99" s="13">
        <f t="shared" si="91"/>
        <v>39.218200171484192</v>
      </c>
      <c r="BG99" s="20">
        <f t="shared" si="61"/>
        <v>334.4623519653349</v>
      </c>
      <c r="BH99" s="59">
        <f t="shared" si="62"/>
        <v>627.79568529866822</v>
      </c>
      <c r="BI99" s="59">
        <f ca="1">AVERAGE(OFFSET($BH$3,0,0,'Données projet'!$E$11+1,1))-AVERAGE(OFFSET($H$3,0,0,'Données projet'!$E$11+1,1))</f>
        <v>211.98817606983374</v>
      </c>
      <c r="BJ99" s="59">
        <f t="shared" si="92"/>
        <v>154.0840647586964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157.99999999999997</v>
      </c>
      <c r="BZ99" s="13">
        <f>BY99*VLOOKUP('Données projet'!$B$12,Paramètres!$A$1:$I$89,3,0)*VLOOKUP('Données projet'!$B$12,Paramètres!$A$1:$I$89,5,0)</f>
        <v>170.07119999999995</v>
      </c>
      <c r="CA99" s="13">
        <f t="shared" si="93"/>
        <v>43.105969628155904</v>
      </c>
      <c r="CB99" s="20">
        <f t="shared" si="64"/>
        <v>371.2835704357048</v>
      </c>
      <c r="CC99" s="59">
        <f t="shared" si="65"/>
        <v>664.61690376903812</v>
      </c>
      <c r="CD99" s="59">
        <f ca="1">AVERAGE(OFFSET($CC$3,0,0,'Données projet'!$E$12+1,1))-AVERAGE(OFFSET($H$3,0,0,'Données projet'!$E$12+1,1))</f>
        <v>231.89176215692947</v>
      </c>
      <c r="CE99" s="59">
        <f t="shared" si="94"/>
        <v>166.97658184507787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2.2737367544323206E-13</v>
      </c>
      <c r="CU99" s="17">
        <f>CT99*VLOOKUP('Données projet'!$B$13,Paramètres!$A$1:$I$89,3,0)*VLOOKUP('Données projet'!$B$13,Paramètres!$A$1:$I$89,5,0)</f>
        <v>1.7735146684572101E-13</v>
      </c>
      <c r="CV99" s="13">
        <f t="shared" si="95"/>
        <v>2.4924271921531257E-12</v>
      </c>
      <c r="CW99" s="20">
        <f t="shared" si="67"/>
        <v>4.6498644977563242E-12</v>
      </c>
      <c r="CX99" s="59">
        <f t="shared" si="68"/>
        <v>293.33333333333798</v>
      </c>
      <c r="CY99" s="59">
        <f ca="1">AVERAGE(OFFSET($CX$3,0,0,'Données projet'!$E$13+1,1))-AVERAGE(OFFSET($H$3,0,0,'Données projet'!$E$13+1,1))</f>
        <v>274.37717856763146</v>
      </c>
      <c r="CZ99" s="59">
        <f t="shared" si="96"/>
        <v>264.17357326498581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2.4802977461080514E-9</v>
      </c>
      <c r="DI99" s="22">
        <f t="shared" si="69"/>
        <v>2.4802977461080514E-9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-1.7053025658242404E-13</v>
      </c>
      <c r="DP99" s="17">
        <f>DO99*VLOOKUP('Données projet'!$B$14,Paramètres!$A$1:$I$89,3,0)*VLOOKUP('Données projet'!$B$14,Paramètres!$A$1:$I$89,5,0)</f>
        <v>-1.383341441396624E-13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304.26232113495314</v>
      </c>
      <c r="DU99" s="59">
        <f t="shared" si="98"/>
        <v>297.47246687305056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76.781045345967797</v>
      </c>
      <c r="EB99" s="21">
        <f>EXP(-LN(2)/25)*EB98+(1-EXP(-LN(2)/25))/(LN(2)/25)*Calculateur!DW99*Calculateur!DY99*VLOOKUP('Données projet'!$B$14,Paramètres!$A$1:$I$89,3,0)*0.475*44/12</f>
        <v>1.8552326176400873</v>
      </c>
      <c r="EC99" s="21">
        <f>EXP(-LN(2)/2)*EC98+(1-EXP(-LN(2)/2))/(LN(2)/2)*DW99*DZ99*VLOOKUP('Données projet'!$B$14,Paramètres!$A$1:$I$89,3,0)*0.475*44/12</f>
        <v>0.16573851304603018</v>
      </c>
      <c r="ED99" s="22">
        <f t="shared" si="72"/>
        <v>78.802016476653918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260.85384000000033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344.4940855044307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6.3006524942810502E-10</v>
      </c>
      <c r="AC100" s="22">
        <f t="shared" si="57"/>
        <v>6.3006524942810502E-10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256.5999999999998</v>
      </c>
      <c r="AJ100" s="13">
        <f>AI100*VLOOKUP('Données projet'!$B$10,Paramètres!$A$1:$I$89,3,0)*VLOOKUP('Données projet'!$B$10,Paramètres!$A$1:$I$89,5,0)</f>
        <v>172.12727999999987</v>
      </c>
      <c r="AK100" s="13">
        <f t="shared" si="89"/>
        <v>43.566118163168099</v>
      </c>
      <c r="AL100" s="20">
        <f t="shared" si="58"/>
        <v>375.66600180085084</v>
      </c>
      <c r="AM100" s="59">
        <f t="shared" si="59"/>
        <v>668.99933513418409</v>
      </c>
      <c r="AN100" s="59">
        <f ca="1">AVERAGE(OFFSET($AM$3,0,0,'Données projet'!$E$10+1,1))-AVERAGE(OFFSET($H$3,0,0,'Données projet'!$E$10+1,1))</f>
        <v>246.71489737733248</v>
      </c>
      <c r="AO100" s="59">
        <f t="shared" si="90"/>
        <v>185.03615139960783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160.99999999999997</v>
      </c>
      <c r="BE100" s="13">
        <f>BD100*VLOOKUP('Données projet'!$B$11,Paramètres!$A$1:$I$89,3,0)*VLOOKUP('Données projet'!$B$11,Paramètres!$A$1:$I$89,5,0)</f>
        <v>155.71919999999997</v>
      </c>
      <c r="BF100" s="13">
        <f t="shared" si="91"/>
        <v>39.875450340770094</v>
      </c>
      <c r="BG100" s="20">
        <f t="shared" si="61"/>
        <v>340.66068267684119</v>
      </c>
      <c r="BH100" s="59">
        <f t="shared" si="62"/>
        <v>633.99401601017451</v>
      </c>
      <c r="BI100" s="59">
        <f ca="1">AVERAGE(OFFSET($BH$3,0,0,'Données projet'!$E$11+1,1))-AVERAGE(OFFSET($H$3,0,0,'Données projet'!$E$11+1,1))</f>
        <v>211.98817606983374</v>
      </c>
      <c r="BJ100" s="59">
        <f t="shared" si="92"/>
        <v>154.0840647586964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160.99999999999997</v>
      </c>
      <c r="BZ100" s="13">
        <f>BY100*VLOOKUP('Données projet'!$B$12,Paramètres!$A$1:$I$89,3,0)*VLOOKUP('Données projet'!$B$12,Paramètres!$A$1:$I$89,5,0)</f>
        <v>173.30039999999997</v>
      </c>
      <c r="CA100" s="13">
        <f t="shared" si="93"/>
        <v>43.82837416766705</v>
      </c>
      <c r="CB100" s="20">
        <f t="shared" si="64"/>
        <v>378.16594834202004</v>
      </c>
      <c r="CC100" s="59">
        <f t="shared" si="65"/>
        <v>671.49928167535336</v>
      </c>
      <c r="CD100" s="59">
        <f ca="1">AVERAGE(OFFSET($CC$3,0,0,'Données projet'!$E$12+1,1))-AVERAGE(OFFSET($H$3,0,0,'Données projet'!$E$12+1,1))</f>
        <v>231.89176215692947</v>
      </c>
      <c r="CE100" s="59">
        <f t="shared" si="94"/>
        <v>166.97658184507787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2.2737367544323206E-13</v>
      </c>
      <c r="CU100" s="17">
        <f>CT100*VLOOKUP('Données projet'!$B$13,Paramètres!$A$1:$I$89,3,0)*VLOOKUP('Données projet'!$B$13,Paramètres!$A$1:$I$89,5,0)</f>
        <v>1.7735146684572101E-13</v>
      </c>
      <c r="CV100" s="13">
        <f t="shared" si="95"/>
        <v>2.4924271921531257E-12</v>
      </c>
      <c r="CW100" s="20">
        <f t="shared" si="67"/>
        <v>4.6498644977563242E-12</v>
      </c>
      <c r="CX100" s="59">
        <f t="shared" si="68"/>
        <v>293.33333333333798</v>
      </c>
      <c r="CY100" s="59">
        <f ca="1">AVERAGE(OFFSET($CX$3,0,0,'Données projet'!$E$13+1,1))-AVERAGE(OFFSET($H$3,0,0,'Données projet'!$E$13+1,1))</f>
        <v>274.37717856763146</v>
      </c>
      <c r="CZ100" s="59">
        <f t="shared" si="96"/>
        <v>264.17357326498581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1.753835355634713E-9</v>
      </c>
      <c r="DI100" s="22">
        <f t="shared" si="69"/>
        <v>1.753835355634713E-9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-1.7053025658242404E-13</v>
      </c>
      <c r="DP100" s="17">
        <f>DO100*VLOOKUP('Données projet'!$B$14,Paramètres!$A$1:$I$89,3,0)*VLOOKUP('Données projet'!$B$14,Paramètres!$A$1:$I$89,5,0)</f>
        <v>-1.383341441396624E-13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304.26232113495314</v>
      </c>
      <c r="DU100" s="59">
        <f t="shared" si="98"/>
        <v>297.47246687305056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75.275415878546767</v>
      </c>
      <c r="EB100" s="21">
        <f>EXP(-LN(2)/25)*EB99+(1-EXP(-LN(2)/25))/(LN(2)/25)*Calculateur!DW100*Calculateur!DY100*VLOOKUP('Données projet'!$B$14,Paramètres!$A$1:$I$89,3,0)*0.475*44/12</f>
        <v>1.8045011841482759</v>
      </c>
      <c r="EC100" s="21">
        <f>EXP(-LN(2)/2)*EC99+(1-EXP(-LN(2)/2))/(LN(2)/2)*DW100*DZ100*VLOOKUP('Données projet'!$B$14,Paramètres!$A$1:$I$89,3,0)*0.475*44/12</f>
        <v>0.11719482647862303</v>
      </c>
      <c r="ED100" s="22">
        <f t="shared" si="72"/>
        <v>77.197111889173669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265.28736000000032</v>
      </c>
      <c r="P101" s="13">
        <f t="shared" si="87"/>
        <v>63.848105500970064</v>
      </c>
      <c r="Q101" s="20">
        <f t="shared" si="107"/>
        <v>573.24426908085672</v>
      </c>
      <c r="R101" s="59">
        <f t="shared" si="55"/>
        <v>866.5776024141901</v>
      </c>
      <c r="S101" s="59">
        <f ca="1">AVERAGE(OFFSET($R$3,0,0,'Données projet'!$E$9+1,1))-AVERAGE(OFFSET($H$3,0,0,'Données projet'!$E$9+1,1))</f>
        <v>344.4940855044307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4.4552341046060655E-10</v>
      </c>
      <c r="AC101" s="22">
        <f t="shared" si="57"/>
        <v>4.4552341046060655E-10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261.39999999999981</v>
      </c>
      <c r="AJ101" s="13">
        <f>AI101*VLOOKUP('Données projet'!$B$10,Paramètres!$A$1:$I$89,3,0)*VLOOKUP('Données projet'!$B$10,Paramètres!$A$1:$I$89,5,0)</f>
        <v>175.34711999999988</v>
      </c>
      <c r="AK101" s="13">
        <f t="shared" si="89"/>
        <v>44.285433544496243</v>
      </c>
      <c r="AL101" s="20">
        <f t="shared" si="58"/>
        <v>382.52669742333069</v>
      </c>
      <c r="AM101" s="59">
        <f t="shared" si="59"/>
        <v>675.86003075666395</v>
      </c>
      <c r="AN101" s="59">
        <f ca="1">AVERAGE(OFFSET($AM$3,0,0,'Données projet'!$E$10+1,1))-AVERAGE(OFFSET($H$3,0,0,'Données projet'!$E$10+1,1))</f>
        <v>246.71489737733248</v>
      </c>
      <c r="AO101" s="59">
        <f t="shared" si="90"/>
        <v>185.03615139960783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163.99999999999997</v>
      </c>
      <c r="BE101" s="13">
        <f>BD101*VLOOKUP('Données projet'!$B$11,Paramètres!$A$1:$I$89,3,0)*VLOOKUP('Données projet'!$B$11,Paramètres!$A$1:$I$89,5,0)</f>
        <v>158.62079999999997</v>
      </c>
      <c r="BF101" s="13">
        <f t="shared" si="91"/>
        <v>40.531276428901542</v>
      </c>
      <c r="BG101" s="20">
        <f t="shared" si="61"/>
        <v>346.85653311367014</v>
      </c>
      <c r="BH101" s="59">
        <f t="shared" si="62"/>
        <v>640.1898664470034</v>
      </c>
      <c r="BI101" s="59">
        <f ca="1">AVERAGE(OFFSET($BH$3,0,0,'Données projet'!$E$11+1,1))-AVERAGE(OFFSET($H$3,0,0,'Données projet'!$E$11+1,1))</f>
        <v>211.98817606983374</v>
      </c>
      <c r="BJ101" s="59">
        <f t="shared" si="92"/>
        <v>154.0840647586964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163.99999999999997</v>
      </c>
      <c r="BZ101" s="13">
        <f>BY101*VLOOKUP('Données projet'!$B$12,Paramètres!$A$1:$I$89,3,0)*VLOOKUP('Données projet'!$B$12,Paramètres!$A$1:$I$89,5,0)</f>
        <v>176.52959999999996</v>
      </c>
      <c r="CA101" s="13">
        <f t="shared" si="93"/>
        <v>44.549213454343487</v>
      </c>
      <c r="CB101" s="20">
        <f t="shared" si="64"/>
        <v>385.0456000996482</v>
      </c>
      <c r="CC101" s="59">
        <f t="shared" si="65"/>
        <v>678.37893343298151</v>
      </c>
      <c r="CD101" s="59">
        <f ca="1">AVERAGE(OFFSET($CC$3,0,0,'Données projet'!$E$12+1,1))-AVERAGE(OFFSET($H$3,0,0,'Données projet'!$E$12+1,1))</f>
        <v>231.89176215692947</v>
      </c>
      <c r="CE101" s="59">
        <f t="shared" si="94"/>
        <v>166.97658184507787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2.2737367544323206E-13</v>
      </c>
      <c r="CU101" s="17">
        <f>CT101*VLOOKUP('Données projet'!$B$13,Paramètres!$A$1:$I$89,3,0)*VLOOKUP('Données projet'!$B$13,Paramètres!$A$1:$I$89,5,0)</f>
        <v>1.7735146684572101E-13</v>
      </c>
      <c r="CV101" s="13">
        <f t="shared" si="95"/>
        <v>2.4924271921531257E-12</v>
      </c>
      <c r="CW101" s="20">
        <f t="shared" si="67"/>
        <v>4.6498644977563242E-12</v>
      </c>
      <c r="CX101" s="59">
        <f t="shared" si="68"/>
        <v>293.33333333333798</v>
      </c>
      <c r="CY101" s="59">
        <f ca="1">AVERAGE(OFFSET($CX$3,0,0,'Données projet'!$E$13+1,1))-AVERAGE(OFFSET($H$3,0,0,'Données projet'!$E$13+1,1))</f>
        <v>274.37717856763146</v>
      </c>
      <c r="CZ101" s="59">
        <f t="shared" si="96"/>
        <v>264.17357326498581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1.2401488730540257E-9</v>
      </c>
      <c r="DI101" s="22">
        <f t="shared" si="69"/>
        <v>1.2401488730540257E-9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-1.7053025658242404E-13</v>
      </c>
      <c r="DP101" s="17">
        <f>DO101*VLOOKUP('Données projet'!$B$14,Paramètres!$A$1:$I$89,3,0)*VLOOKUP('Données projet'!$B$14,Paramètres!$A$1:$I$89,5,0)</f>
        <v>-1.383341441396624E-13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304.26232113495314</v>
      </c>
      <c r="DU101" s="59">
        <f t="shared" si="98"/>
        <v>297.47246687305056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73.799310886638565</v>
      </c>
      <c r="EB101" s="21">
        <f>EXP(-LN(2)/25)*EB100+(1-EXP(-LN(2)/25))/(LN(2)/25)*Calculateur!DW101*Calculateur!DY101*VLOOKUP('Données projet'!$B$14,Paramètres!$A$1:$I$89,3,0)*0.475*44/12</f>
        <v>1.7551570043731481</v>
      </c>
      <c r="EC101" s="21">
        <f>EXP(-LN(2)/2)*EC100+(1-EXP(-LN(2)/2))/(LN(2)/2)*DW101*DZ101*VLOOKUP('Données projet'!$B$14,Paramètres!$A$1:$I$89,3,0)*0.475*44/12</f>
        <v>8.2869256523015106E-2</v>
      </c>
      <c r="ED101" s="22">
        <f t="shared" si="72"/>
        <v>75.637337147534723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344.4940855044307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3.1503262471405251E-10</v>
      </c>
      <c r="AC102" s="22">
        <f t="shared" si="57"/>
        <v>3.1503262471405251E-10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266.19999999999982</v>
      </c>
      <c r="AJ102" s="13">
        <f>AI102*VLOOKUP('Données projet'!$B$10,Paramètres!$A$1:$I$89,3,0)*VLOOKUP('Données projet'!$B$10,Paramètres!$A$1:$I$89,5,0)</f>
        <v>178.56695999999988</v>
      </c>
      <c r="AK102" s="13">
        <f t="shared" si="89"/>
        <v>45.003213001802607</v>
      </c>
      <c r="AL102" s="20">
        <f t="shared" si="58"/>
        <v>389.38471797813935</v>
      </c>
      <c r="AM102" s="59">
        <f t="shared" si="59"/>
        <v>682.71805131147266</v>
      </c>
      <c r="AN102" s="59">
        <f ca="1">AVERAGE(OFFSET($AM$3,0,0,'Données projet'!$E$10+1,1))-AVERAGE(OFFSET($H$3,0,0,'Données projet'!$E$10+1,1))</f>
        <v>246.71489737733248</v>
      </c>
      <c r="AO102" s="59">
        <f t="shared" si="90"/>
        <v>185.03615139960783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166.99999999999997</v>
      </c>
      <c r="BE102" s="13">
        <f>BD102*VLOOKUP('Données projet'!$B$11,Paramètres!$A$1:$I$89,3,0)*VLOOKUP('Données projet'!$B$11,Paramètres!$A$1:$I$89,5,0)</f>
        <v>161.52239999999998</v>
      </c>
      <c r="BF102" s="13">
        <f t="shared" si="91"/>
        <v>41.185707490721896</v>
      </c>
      <c r="BG102" s="20">
        <f t="shared" si="61"/>
        <v>353.04995387967392</v>
      </c>
      <c r="BH102" s="59">
        <f t="shared" si="62"/>
        <v>646.38328721300718</v>
      </c>
      <c r="BI102" s="59">
        <f ca="1">AVERAGE(OFFSET($BH$3,0,0,'Données projet'!$E$11+1,1))-AVERAGE(OFFSET($H$3,0,0,'Données projet'!$E$11+1,1))</f>
        <v>211.98817606983374</v>
      </c>
      <c r="BJ102" s="59">
        <f t="shared" si="92"/>
        <v>154.0840647586964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166.99999999999997</v>
      </c>
      <c r="BZ102" s="13">
        <f>BY102*VLOOKUP('Données projet'!$B$12,Paramètres!$A$1:$I$89,3,0)*VLOOKUP('Données projet'!$B$12,Paramètres!$A$1:$I$89,5,0)</f>
        <v>179.75879999999998</v>
      </c>
      <c r="CA102" s="13">
        <f t="shared" si="93"/>
        <v>45.268519423286527</v>
      </c>
      <c r="CB102" s="20">
        <f t="shared" si="64"/>
        <v>391.92258132889066</v>
      </c>
      <c r="CC102" s="59">
        <f t="shared" si="65"/>
        <v>685.25591466222397</v>
      </c>
      <c r="CD102" s="59">
        <f ca="1">AVERAGE(OFFSET($CC$3,0,0,'Données projet'!$E$12+1,1))-AVERAGE(OFFSET($H$3,0,0,'Données projet'!$E$12+1,1))</f>
        <v>231.89176215692947</v>
      </c>
      <c r="CE102" s="59">
        <f t="shared" si="94"/>
        <v>166.97658184507787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2.2737367544323206E-13</v>
      </c>
      <c r="CU102" s="17">
        <f>CT102*VLOOKUP('Données projet'!$B$13,Paramètres!$A$1:$I$89,3,0)*VLOOKUP('Données projet'!$B$13,Paramètres!$A$1:$I$89,5,0)</f>
        <v>1.7735146684572101E-13</v>
      </c>
      <c r="CV102" s="13">
        <f t="shared" si="95"/>
        <v>2.4924271921531257E-12</v>
      </c>
      <c r="CW102" s="20">
        <f t="shared" si="67"/>
        <v>4.6498644977563242E-12</v>
      </c>
      <c r="CX102" s="59">
        <f t="shared" si="68"/>
        <v>293.33333333333798</v>
      </c>
      <c r="CY102" s="59">
        <f ca="1">AVERAGE(OFFSET($CX$3,0,0,'Données projet'!$E$13+1,1))-AVERAGE(OFFSET($H$3,0,0,'Données projet'!$E$13+1,1))</f>
        <v>274.37717856763146</v>
      </c>
      <c r="CZ102" s="59">
        <f t="shared" si="96"/>
        <v>264.17357326498581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8.7691767781735648E-10</v>
      </c>
      <c r="DI102" s="22">
        <f t="shared" si="69"/>
        <v>8.7691767781735648E-10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-1.7053025658242404E-13</v>
      </c>
      <c r="DP102" s="17">
        <f>DO102*VLOOKUP('Données projet'!$B$14,Paramètres!$A$1:$I$89,3,0)*VLOOKUP('Données projet'!$B$14,Paramètres!$A$1:$I$89,5,0)</f>
        <v>-1.383341441396624E-13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304.26232113495314</v>
      </c>
      <c r="DU102" s="59">
        <f t="shared" si="98"/>
        <v>297.47246687305056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72.352151413286549</v>
      </c>
      <c r="EB102" s="21">
        <f>EXP(-LN(2)/25)*EB101+(1-EXP(-LN(2)/25))/(LN(2)/25)*Calculateur!DW102*Calculateur!DY102*VLOOKUP('Données projet'!$B$14,Paramètres!$A$1:$I$89,3,0)*0.475*44/12</f>
        <v>1.7071621437888691</v>
      </c>
      <c r="EC102" s="21">
        <f>EXP(-LN(2)/2)*EC101+(1-EXP(-LN(2)/2))/(LN(2)/2)*DW102*DZ102*VLOOKUP('Données projet'!$B$14,Paramètres!$A$1:$I$89,3,0)*0.475*44/12</f>
        <v>5.8597413239311523E-2</v>
      </c>
      <c r="ED102" s="22">
        <f t="shared" si="72"/>
        <v>74.117910970314725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274.15440000000024</v>
      </c>
      <c r="P103" s="13">
        <f t="shared" si="87"/>
        <v>65.730152764515893</v>
      </c>
      <c r="Q103" s="20">
        <f t="shared" si="107"/>
        <v>591.96559606486551</v>
      </c>
      <c r="R103" s="59">
        <f t="shared" si="55"/>
        <v>885.29892939819888</v>
      </c>
      <c r="S103" s="59">
        <f ca="1">AVERAGE(OFFSET($R$3,0,0,'Données projet'!$E$9+1,1))-AVERAGE(OFFSET($H$3,0,0,'Données projet'!$E$9+1,1))</f>
        <v>344.4940855044307</v>
      </c>
      <c r="T103" s="59">
        <f t="shared" si="88"/>
        <v>231.36959598460686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2.2276170523030327E-10</v>
      </c>
      <c r="AC103" s="22">
        <f t="shared" si="57"/>
        <v>2.2276170523030327E-10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271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270.99999999999983</v>
      </c>
      <c r="AJ103" s="13">
        <f>AI103*VLOOKUP('Données projet'!$B$10,Paramètres!$A$1:$I$89,3,0)*VLOOKUP('Données projet'!$B$10,Paramètres!$A$1:$I$89,5,0)</f>
        <v>181.78679999999989</v>
      </c>
      <c r="AK103" s="13">
        <f t="shared" si="89"/>
        <v>45.719487424846136</v>
      </c>
      <c r="AL103" s="20">
        <f t="shared" si="58"/>
        <v>396.24011726494012</v>
      </c>
      <c r="AM103" s="59">
        <f t="shared" si="59"/>
        <v>689.57345059827344</v>
      </c>
      <c r="AN103" s="59">
        <f ca="1">AVERAGE(OFFSET($AM$3,0,0,'Données projet'!$E$10+1,1))-AVERAGE(OFFSET($H$3,0,0,'Données projet'!$E$10+1,1))</f>
        <v>246.71489737733248</v>
      </c>
      <c r="AO103" s="59">
        <f t="shared" si="90"/>
        <v>185.03615139960783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271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170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169.99999999999997</v>
      </c>
      <c r="BE103" s="13">
        <f>BD103*VLOOKUP('Données projet'!$B$11,Paramètres!$A$1:$I$89,3,0)*VLOOKUP('Données projet'!$B$11,Paramètres!$A$1:$I$89,5,0)</f>
        <v>164.42399999999998</v>
      </c>
      <c r="BF103" s="13">
        <f t="shared" si="91"/>
        <v>41.838771477410191</v>
      </c>
      <c r="BG103" s="20">
        <f t="shared" si="61"/>
        <v>359.24099365648937</v>
      </c>
      <c r="BH103" s="59">
        <f t="shared" si="62"/>
        <v>652.57432698982268</v>
      </c>
      <c r="BI103" s="59">
        <f ca="1">AVERAGE(OFFSET($BH$3,0,0,'Données projet'!$E$11+1,1))-AVERAGE(OFFSET($H$3,0,0,'Données projet'!$E$11+1,1))</f>
        <v>211.98817606983374</v>
      </c>
      <c r="BJ103" s="59">
        <f t="shared" si="92"/>
        <v>154.0840647586964</v>
      </c>
      <c r="BK103" s="15" t="str">
        <f>IF(ISNA(VLOOKUP(A103,'Données projet'!$A$87:$I$107,3,0)),0,VLOOKUP(A103,'Données projet'!$A$87:$I$107,3,0))</f>
        <v>CR</v>
      </c>
      <c r="BL103" s="15">
        <f>IF(ISNA(VLOOKUP(A103,'Données projet'!$A$87:$I$107,4,0)),0,VLOOKUP(A103,'Données projet'!$A$87:$I$107,4,0))</f>
        <v>170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170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169.99999999999997</v>
      </c>
      <c r="BZ103" s="13">
        <f>BY103*VLOOKUP('Données projet'!$B$12,Paramètres!$A$1:$I$89,3,0)*VLOOKUP('Données projet'!$B$12,Paramètres!$A$1:$I$89,5,0)</f>
        <v>182.98799999999997</v>
      </c>
      <c r="CA103" s="13">
        <f t="shared" si="93"/>
        <v>45.986322796524831</v>
      </c>
      <c r="CB103" s="20">
        <f t="shared" si="64"/>
        <v>398.79694553728069</v>
      </c>
      <c r="CC103" s="59">
        <f t="shared" si="65"/>
        <v>692.13027887061401</v>
      </c>
      <c r="CD103" s="59">
        <f ca="1">AVERAGE(OFFSET($CC$3,0,0,'Données projet'!$E$12+1,1))-AVERAGE(OFFSET($H$3,0,0,'Données projet'!$E$12+1,1))</f>
        <v>231.89176215692947</v>
      </c>
      <c r="CE103" s="59">
        <f t="shared" si="94"/>
        <v>166.97658184507787</v>
      </c>
      <c r="CF103" s="15" t="str">
        <f>IF(ISNA(VLOOKUP(A103,'Données projet'!$A$113:$I$133,3,0)),0,VLOOKUP(A103,'Données projet'!$A$113:$I$133,3,0))</f>
        <v>CR</v>
      </c>
      <c r="CG103" s="15">
        <f>IF(ISNA(VLOOKUP(A103,'Données projet'!$A$113:$I$133,4,0)),0,VLOOKUP(A103,'Données projet'!$A$113:$I$133,4,0))</f>
        <v>170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2.2737367544323206E-13</v>
      </c>
      <c r="CU103" s="17">
        <f>CT103*VLOOKUP('Données projet'!$B$13,Paramètres!$A$1:$I$89,3,0)*VLOOKUP('Données projet'!$B$13,Paramètres!$A$1:$I$89,5,0)</f>
        <v>1.7735146684572101E-13</v>
      </c>
      <c r="CV103" s="13">
        <f t="shared" si="95"/>
        <v>2.4924271921531257E-12</v>
      </c>
      <c r="CW103" s="20">
        <f t="shared" si="67"/>
        <v>4.6498644977563242E-12</v>
      </c>
      <c r="CX103" s="59">
        <f t="shared" si="68"/>
        <v>293.33333333333798</v>
      </c>
      <c r="CY103" s="59">
        <f ca="1">AVERAGE(OFFSET($CX$3,0,0,'Données projet'!$E$13+1,1))-AVERAGE(OFFSET($H$3,0,0,'Données projet'!$E$13+1,1))</f>
        <v>274.37717856763146</v>
      </c>
      <c r="CZ103" s="59">
        <f t="shared" si="96"/>
        <v>264.17357326498581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6.2007443652701286E-10</v>
      </c>
      <c r="DI103" s="22">
        <f t="shared" si="69"/>
        <v>6.2007443652701286E-10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-1.7053025658242404E-13</v>
      </c>
      <c r="DP103" s="17">
        <f>DO103*VLOOKUP('Données projet'!$B$14,Paramètres!$A$1:$I$89,3,0)*VLOOKUP('Données projet'!$B$14,Paramètres!$A$1:$I$89,5,0)</f>
        <v>-1.383341441396624E-13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304.26232113495314</v>
      </c>
      <c r="DU103" s="59">
        <f t="shared" si="98"/>
        <v>297.47246687305056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70.933369854526845</v>
      </c>
      <c r="EB103" s="21">
        <f>EXP(-LN(2)/25)*EB102+(1-EXP(-LN(2)/25))/(LN(2)/25)*Calculateur!DW103*Calculateur!DY103*VLOOKUP('Données projet'!$B$14,Paramètres!$A$1:$I$89,3,0)*0.475*44/12</f>
        <v>1.660479705191207</v>
      </c>
      <c r="EC103" s="21">
        <f>EXP(-LN(2)/2)*EC102+(1-EXP(-LN(2)/2))/(LN(2)/2)*DW103*DZ103*VLOOKUP('Données projet'!$B$14,Paramètres!$A$1:$I$89,3,0)*0.475*44/12</f>
        <v>4.143462826150756E-2</v>
      </c>
      <c r="ED103" s="22">
        <f t="shared" si="72"/>
        <v>72.635284187979565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2.5715962692629546E-13</v>
      </c>
      <c r="P104" s="13">
        <f t="shared" si="87"/>
        <v>3.4610450122128953E-12</v>
      </c>
      <c r="Q104" s="20">
        <f t="shared" si="107"/>
        <v>6.4758730798340893E-12</v>
      </c>
      <c r="R104" s="59">
        <f t="shared" si="55"/>
        <v>293.33333333333979</v>
      </c>
      <c r="S104" s="59">
        <f ca="1">AVERAGE(OFFSET($R$3,0,0,'Données projet'!$E$9+1,1))-AVERAGE(OFFSET($H$3,0,0,'Données projet'!$E$9+1,1))</f>
        <v>344.4940855044307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1.5751631235702625E-10</v>
      </c>
      <c r="AC104" s="22">
        <f t="shared" si="57"/>
        <v>1.5751631235702625E-10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-1.1439169611549005E-13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246.71489737733248</v>
      </c>
      <c r="AO104" s="59">
        <f t="shared" si="90"/>
        <v>185.03615139960783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-2.7489477361086758E-14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211.98817606983374</v>
      </c>
      <c r="BJ104" s="59">
        <f t="shared" si="92"/>
        <v>154.0840647586964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-2.8421709430404007E-14</v>
      </c>
      <c r="BZ104" s="13">
        <f>BY104*VLOOKUP('Données projet'!$B$12,Paramètres!$A$1:$I$89,3,0)*VLOOKUP('Données projet'!$B$12,Paramètres!$A$1:$I$89,5,0)</f>
        <v>-3.0593128030886874E-14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231.89176215692947</v>
      </c>
      <c r="CE104" s="59">
        <f t="shared" si="94"/>
        <v>166.97658184507787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2.2737367544323206E-13</v>
      </c>
      <c r="CU104" s="17">
        <f>CT104*VLOOKUP('Données projet'!$B$13,Paramètres!$A$1:$I$89,3,0)*VLOOKUP('Données projet'!$B$13,Paramètres!$A$1:$I$89,5,0)</f>
        <v>1.7735146684572101E-13</v>
      </c>
      <c r="CV104" s="13">
        <f t="shared" si="95"/>
        <v>2.4924271921531257E-12</v>
      </c>
      <c r="CW104" s="20">
        <f t="shared" si="67"/>
        <v>4.6498644977563242E-12</v>
      </c>
      <c r="CX104" s="59">
        <f t="shared" si="68"/>
        <v>293.33333333333798</v>
      </c>
      <c r="CY104" s="59">
        <f ca="1">AVERAGE(OFFSET($CX$3,0,0,'Données projet'!$E$13+1,1))-AVERAGE(OFFSET($H$3,0,0,'Données projet'!$E$13+1,1))</f>
        <v>274.37717856763146</v>
      </c>
      <c r="CZ104" s="59">
        <f t="shared" si="96"/>
        <v>264.17357326498581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4.3845883890867824E-10</v>
      </c>
      <c r="DI104" s="22">
        <f t="shared" si="69"/>
        <v>4.3845883890867824E-10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-1.7053025658242404E-13</v>
      </c>
      <c r="DP104" s="17">
        <f>DO104*VLOOKUP('Données projet'!$B$14,Paramètres!$A$1:$I$89,3,0)*VLOOKUP('Données projet'!$B$14,Paramètres!$A$1:$I$89,5,0)</f>
        <v>-1.383341441396624E-13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304.26232113495314</v>
      </c>
      <c r="DU104" s="59">
        <f t="shared" si="98"/>
        <v>297.47246687305056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69.542409736763119</v>
      </c>
      <c r="EB104" s="21">
        <f>EXP(-LN(2)/25)*EB103+(1-EXP(-LN(2)/25))/(LN(2)/25)*Calculateur!DW104*Calculateur!DY104*VLOOKUP('Données projet'!$B$14,Paramètres!$A$1:$I$89,3,0)*0.475*44/12</f>
        <v>1.6150738003319209</v>
      </c>
      <c r="EC104" s="21">
        <f>EXP(-LN(2)/2)*EC103+(1-EXP(-LN(2)/2))/(LN(2)/2)*DW104*DZ104*VLOOKUP('Données projet'!$B$14,Paramètres!$A$1:$I$89,3,0)*0.475*44/12</f>
        <v>2.9298706619655765E-2</v>
      </c>
      <c r="ED104" s="22">
        <f t="shared" si="72"/>
        <v>71.186782243714703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2.5715962692629546E-13</v>
      </c>
      <c r="P105" s="13">
        <f t="shared" si="87"/>
        <v>3.4610450122128953E-12</v>
      </c>
      <c r="Q105" s="20">
        <f t="shared" si="107"/>
        <v>6.4758730798340893E-12</v>
      </c>
      <c r="R105" s="59">
        <f t="shared" si="55"/>
        <v>293.33333333333979</v>
      </c>
      <c r="S105" s="59">
        <f ca="1">AVERAGE(OFFSET($R$3,0,0,'Données projet'!$E$9+1,1))-AVERAGE(OFFSET($H$3,0,0,'Données projet'!$E$9+1,1))</f>
        <v>344.4940855044307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1.1138085261515164E-10</v>
      </c>
      <c r="AC105" s="22">
        <f t="shared" si="57"/>
        <v>1.1138085261515164E-10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-1.1439169611549005E-13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246.71489737733248</v>
      </c>
      <c r="AO105" s="59">
        <f t="shared" si="90"/>
        <v>185.03615139960783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-2.7489477361086758E-14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211.98817606983374</v>
      </c>
      <c r="BJ105" s="59">
        <f t="shared" si="92"/>
        <v>154.0840647586964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-2.8421709430404007E-14</v>
      </c>
      <c r="BZ105" s="13">
        <f>BY105*VLOOKUP('Données projet'!$B$12,Paramètres!$A$1:$I$89,3,0)*VLOOKUP('Données projet'!$B$12,Paramètres!$A$1:$I$89,5,0)</f>
        <v>-3.0593128030886874E-14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231.89176215692947</v>
      </c>
      <c r="CE105" s="59">
        <f t="shared" si="94"/>
        <v>166.97658184507787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2.2737367544323206E-13</v>
      </c>
      <c r="CU105" s="17">
        <f>CT105*VLOOKUP('Données projet'!$B$13,Paramètres!$A$1:$I$89,3,0)*VLOOKUP('Données projet'!$B$13,Paramètres!$A$1:$I$89,5,0)</f>
        <v>1.7735146684572101E-13</v>
      </c>
      <c r="CV105" s="13">
        <f t="shared" si="95"/>
        <v>2.4924271921531257E-12</v>
      </c>
      <c r="CW105" s="20">
        <f t="shared" si="67"/>
        <v>4.6498644977563242E-12</v>
      </c>
      <c r="CX105" s="59">
        <f t="shared" si="68"/>
        <v>293.33333333333798</v>
      </c>
      <c r="CY105" s="59">
        <f ca="1">AVERAGE(OFFSET($CX$3,0,0,'Données projet'!$E$13+1,1))-AVERAGE(OFFSET($H$3,0,0,'Données projet'!$E$13+1,1))</f>
        <v>274.37717856763146</v>
      </c>
      <c r="CZ105" s="59">
        <f t="shared" si="96"/>
        <v>264.17357326498581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3.1003721826350643E-10</v>
      </c>
      <c r="DI105" s="22">
        <f t="shared" si="69"/>
        <v>3.1003721826350643E-10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-1.7053025658242404E-13</v>
      </c>
      <c r="DP105" s="17">
        <f>DO105*VLOOKUP('Données projet'!$B$14,Paramètres!$A$1:$I$89,3,0)*VLOOKUP('Données projet'!$B$14,Paramètres!$A$1:$I$89,5,0)</f>
        <v>-1.383341441396624E-13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304.26232113495314</v>
      </c>
      <c r="DU105" s="59">
        <f t="shared" si="98"/>
        <v>297.47246687305056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68.178725498506836</v>
      </c>
      <c r="EB105" s="21">
        <f>EXP(-LN(2)/25)*EB104+(1-EXP(-LN(2)/25))/(LN(2)/25)*Calculateur!DW105*Calculateur!DY105*VLOOKUP('Données projet'!$B$14,Paramètres!$A$1:$I$89,3,0)*0.475*44/12</f>
        <v>1.5709095223288048</v>
      </c>
      <c r="EC105" s="21">
        <f>EXP(-LN(2)/2)*EC104+(1-EXP(-LN(2)/2))/(LN(2)/2)*DW105*DZ105*VLOOKUP('Données projet'!$B$14,Paramètres!$A$1:$I$89,3,0)*0.475*44/12</f>
        <v>2.0717314130753783E-2</v>
      </c>
      <c r="ED105" s="22">
        <f t="shared" si="72"/>
        <v>69.77035233496639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2.5715962692629546E-13</v>
      </c>
      <c r="P106" s="13">
        <f t="shared" si="87"/>
        <v>3.4610450122128953E-12</v>
      </c>
      <c r="Q106" s="20">
        <f t="shared" si="107"/>
        <v>6.4758730798340893E-12</v>
      </c>
      <c r="R106" s="59">
        <f t="shared" si="55"/>
        <v>293.33333333333979</v>
      </c>
      <c r="S106" s="59">
        <f ca="1">AVERAGE(OFFSET($R$3,0,0,'Données projet'!$E$9+1,1))-AVERAGE(OFFSET($H$3,0,0,'Données projet'!$E$9+1,1))</f>
        <v>344.4940855044307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7.8758156178513127E-11</v>
      </c>
      <c r="AC106" s="22">
        <f t="shared" si="57"/>
        <v>7.8758156178513127E-11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-1.1439169611549005E-13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246.71489737733248</v>
      </c>
      <c r="AO106" s="59">
        <f t="shared" si="90"/>
        <v>185.03615139960783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-2.7489477361086758E-14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211.98817606983374</v>
      </c>
      <c r="BJ106" s="59">
        <f t="shared" si="92"/>
        <v>154.0840647586964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-2.8421709430404007E-14</v>
      </c>
      <c r="BZ106" s="13">
        <f>BY106*VLOOKUP('Données projet'!$B$12,Paramètres!$A$1:$I$89,3,0)*VLOOKUP('Données projet'!$B$12,Paramètres!$A$1:$I$89,5,0)</f>
        <v>-3.0593128030886874E-14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231.89176215692947</v>
      </c>
      <c r="CE106" s="59">
        <f t="shared" si="94"/>
        <v>166.97658184507787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2.2737367544323206E-13</v>
      </c>
      <c r="CU106" s="17">
        <f>CT106*VLOOKUP('Données projet'!$B$13,Paramètres!$A$1:$I$89,3,0)*VLOOKUP('Données projet'!$B$13,Paramètres!$A$1:$I$89,5,0)</f>
        <v>1.7735146684572101E-13</v>
      </c>
      <c r="CV106" s="13">
        <f t="shared" si="95"/>
        <v>2.4924271921531257E-12</v>
      </c>
      <c r="CW106" s="20">
        <f t="shared" si="67"/>
        <v>4.6498644977563242E-12</v>
      </c>
      <c r="CX106" s="59">
        <f t="shared" si="68"/>
        <v>293.33333333333798</v>
      </c>
      <c r="CY106" s="59">
        <f ca="1">AVERAGE(OFFSET($CX$3,0,0,'Données projet'!$E$13+1,1))-AVERAGE(OFFSET($H$3,0,0,'Données projet'!$E$13+1,1))</f>
        <v>274.37717856763146</v>
      </c>
      <c r="CZ106" s="59">
        <f t="shared" si="96"/>
        <v>264.17357326498581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2.1922941945433912E-10</v>
      </c>
      <c r="DI106" s="22">
        <f t="shared" si="69"/>
        <v>2.1922941945433912E-10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-1.7053025658242404E-13</v>
      </c>
      <c r="DP106" s="17">
        <f>DO106*VLOOKUP('Données projet'!$B$14,Paramètres!$A$1:$I$89,3,0)*VLOOKUP('Données projet'!$B$14,Paramètres!$A$1:$I$89,5,0)</f>
        <v>-1.383341441396624E-13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304.26232113495314</v>
      </c>
      <c r="DU106" s="59">
        <f t="shared" si="98"/>
        <v>297.47246687305056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66.841782276397495</v>
      </c>
      <c r="EB106" s="21">
        <f>EXP(-LN(2)/25)*EB105+(1-EXP(-LN(2)/25))/(LN(2)/25)*Calculateur!DW106*Calculateur!DY106*VLOOKUP('Données projet'!$B$14,Paramètres!$A$1:$I$89,3,0)*0.475*44/12</f>
        <v>1.5279529188301821</v>
      </c>
      <c r="EC106" s="21">
        <f>EXP(-LN(2)/2)*EC105+(1-EXP(-LN(2)/2))/(LN(2)/2)*DW106*DZ106*VLOOKUP('Données projet'!$B$14,Paramètres!$A$1:$I$89,3,0)*0.475*44/12</f>
        <v>1.4649353309827886E-2</v>
      </c>
      <c r="ED106" s="22">
        <f t="shared" si="72"/>
        <v>68.384384548537497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2.5715962692629546E-13</v>
      </c>
      <c r="P107" s="13">
        <f t="shared" si="87"/>
        <v>3.4610450122128953E-12</v>
      </c>
      <c r="Q107" s="20">
        <f t="shared" si="107"/>
        <v>6.4758730798340893E-12</v>
      </c>
      <c r="R107" s="59">
        <f t="shared" si="55"/>
        <v>293.33333333333979</v>
      </c>
      <c r="S107" s="59">
        <f ca="1">AVERAGE(OFFSET($R$3,0,0,'Données projet'!$E$9+1,1))-AVERAGE(OFFSET($H$3,0,0,'Données projet'!$E$9+1,1))</f>
        <v>344.4940855044307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5.5690426307575819E-11</v>
      </c>
      <c r="AC107" s="22">
        <f t="shared" si="57"/>
        <v>5.5690426307575819E-11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-1.1439169611549005E-13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246.71489737733248</v>
      </c>
      <c r="AO107" s="59">
        <f t="shared" si="90"/>
        <v>185.03615139960783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-2.7489477361086758E-14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211.98817606983374</v>
      </c>
      <c r="BJ107" s="59">
        <f t="shared" si="92"/>
        <v>154.0840647586964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-2.8421709430404007E-14</v>
      </c>
      <c r="BZ107" s="13">
        <f>BY107*VLOOKUP('Données projet'!$B$12,Paramètres!$A$1:$I$89,3,0)*VLOOKUP('Données projet'!$B$12,Paramètres!$A$1:$I$89,5,0)</f>
        <v>-3.0593128030886874E-14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231.89176215692947</v>
      </c>
      <c r="CE107" s="59">
        <f t="shared" si="94"/>
        <v>166.97658184507787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2.2737367544323206E-13</v>
      </c>
      <c r="CU107" s="17">
        <f>CT107*VLOOKUP('Données projet'!$B$13,Paramètres!$A$1:$I$89,3,0)*VLOOKUP('Données projet'!$B$13,Paramètres!$A$1:$I$89,5,0)</f>
        <v>1.7735146684572101E-13</v>
      </c>
      <c r="CV107" s="13">
        <f t="shared" si="95"/>
        <v>2.4924271921531257E-12</v>
      </c>
      <c r="CW107" s="20">
        <f t="shared" si="67"/>
        <v>4.6498644977563242E-12</v>
      </c>
      <c r="CX107" s="59">
        <f t="shared" si="68"/>
        <v>293.33333333333798</v>
      </c>
      <c r="CY107" s="59">
        <f ca="1">AVERAGE(OFFSET($CX$3,0,0,'Données projet'!$E$13+1,1))-AVERAGE(OFFSET($H$3,0,0,'Données projet'!$E$13+1,1))</f>
        <v>274.37717856763146</v>
      </c>
      <c r="CZ107" s="59">
        <f t="shared" si="96"/>
        <v>264.17357326498581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1.5501860913175321E-10</v>
      </c>
      <c r="DI107" s="22">
        <f t="shared" si="69"/>
        <v>1.5501860913175321E-10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-1.7053025658242404E-13</v>
      </c>
      <c r="DP107" s="17">
        <f>DO107*VLOOKUP('Données projet'!$B$14,Paramètres!$A$1:$I$89,3,0)*VLOOKUP('Données projet'!$B$14,Paramètres!$A$1:$I$89,5,0)</f>
        <v>-1.383341441396624E-13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304.26232113495314</v>
      </c>
      <c r="DU107" s="59">
        <f t="shared" si="98"/>
        <v>297.47246687305056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65.531055695418885</v>
      </c>
      <c r="EB107" s="21">
        <f>EXP(-LN(2)/25)*EB106+(1-EXP(-LN(2)/25))/(LN(2)/25)*Calculateur!DW107*Calculateur!DY107*VLOOKUP('Données projet'!$B$14,Paramètres!$A$1:$I$89,3,0)*0.475*44/12</f>
        <v>1.486170965913219</v>
      </c>
      <c r="EC107" s="21">
        <f>EXP(-LN(2)/2)*EC106+(1-EXP(-LN(2)/2))/(LN(2)/2)*DW107*DZ107*VLOOKUP('Données projet'!$B$14,Paramètres!$A$1:$I$89,3,0)*0.475*44/12</f>
        <v>1.0358657065376893E-2</v>
      </c>
      <c r="ED107" s="22">
        <f t="shared" si="72"/>
        <v>67.027585318397485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2.5715962692629546E-13</v>
      </c>
      <c r="P108" s="13">
        <f t="shared" si="87"/>
        <v>3.4610450122128953E-12</v>
      </c>
      <c r="Q108" s="20">
        <f t="shared" si="107"/>
        <v>6.4758730798340893E-12</v>
      </c>
      <c r="R108" s="59">
        <f t="shared" si="55"/>
        <v>293.33333333333979</v>
      </c>
      <c r="S108" s="59">
        <f ca="1">AVERAGE(OFFSET($R$3,0,0,'Données projet'!$E$9+1,1))-AVERAGE(OFFSET($H$3,0,0,'Données projet'!$E$9+1,1))</f>
        <v>344.4940855044307</v>
      </c>
      <c r="T108" s="59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3.9379078089256564E-11</v>
      </c>
      <c r="AC108" s="22">
        <f t="shared" si="57"/>
        <v>3.9379078089256564E-11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-1.1439169611549005E-13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246.71489737733248</v>
      </c>
      <c r="AO108" s="59">
        <f t="shared" si="90"/>
        <v>185.03615139960783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-2.7489477361086758E-14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211.98817606983374</v>
      </c>
      <c r="BJ108" s="59">
        <f t="shared" si="92"/>
        <v>154.0840647586964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-2.8421709430404007E-14</v>
      </c>
      <c r="BZ108" s="13">
        <f>BY108*VLOOKUP('Données projet'!$B$12,Paramètres!$A$1:$I$89,3,0)*VLOOKUP('Données projet'!$B$12,Paramètres!$A$1:$I$89,5,0)</f>
        <v>-3.0593128030886874E-14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231.89176215692947</v>
      </c>
      <c r="CE108" s="59">
        <f t="shared" si="94"/>
        <v>166.97658184507787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2.2737367544323206E-13</v>
      </c>
      <c r="CU108" s="17">
        <f>CT108*VLOOKUP('Données projet'!$B$13,Paramètres!$A$1:$I$89,3,0)*VLOOKUP('Données projet'!$B$13,Paramètres!$A$1:$I$89,5,0)</f>
        <v>1.7735146684572101E-13</v>
      </c>
      <c r="CV108" s="13">
        <f t="shared" si="95"/>
        <v>2.4924271921531257E-12</v>
      </c>
      <c r="CW108" s="20">
        <f t="shared" si="67"/>
        <v>4.6498644977563242E-12</v>
      </c>
      <c r="CX108" s="59">
        <f t="shared" si="68"/>
        <v>293.33333333333798</v>
      </c>
      <c r="CY108" s="59">
        <f ca="1">AVERAGE(OFFSET($CX$3,0,0,'Données projet'!$E$13+1,1))-AVERAGE(OFFSET($H$3,0,0,'Données projet'!$E$13+1,1))</f>
        <v>274.37717856763146</v>
      </c>
      <c r="CZ108" s="59">
        <f t="shared" si="96"/>
        <v>264.17357326498581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1.0961470972716956E-10</v>
      </c>
      <c r="DI108" s="22">
        <f t="shared" si="69"/>
        <v>1.0961470972716956E-10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-1.7053025658242404E-13</v>
      </c>
      <c r="DP108" s="17">
        <f>DO108*VLOOKUP('Données projet'!$B$14,Paramètres!$A$1:$I$89,3,0)*VLOOKUP('Données projet'!$B$14,Paramètres!$A$1:$I$89,5,0)</f>
        <v>-1.383341441396624E-13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304.26232113495314</v>
      </c>
      <c r="DU108" s="59">
        <f t="shared" si="98"/>
        <v>297.47246687305056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64.24603166322899</v>
      </c>
      <c r="EB108" s="21">
        <f>EXP(-LN(2)/25)*EB107+(1-EXP(-LN(2)/25))/(LN(2)/25)*Calculateur!DW108*Calculateur!DY108*VLOOKUP('Données projet'!$B$14,Paramètres!$A$1:$I$89,3,0)*0.475*44/12</f>
        <v>1.4455315426959876</v>
      </c>
      <c r="EC108" s="21">
        <f>EXP(-LN(2)/2)*EC107+(1-EXP(-LN(2)/2))/(LN(2)/2)*DW108*DZ108*VLOOKUP('Données projet'!$B$14,Paramètres!$A$1:$I$89,3,0)*0.475*44/12</f>
        <v>7.3246766549139438E-3</v>
      </c>
      <c r="ED108" s="22">
        <f t="shared" si="72"/>
        <v>65.698887882579896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2.5715962692629546E-13</v>
      </c>
      <c r="P109" s="13">
        <f t="shared" si="87"/>
        <v>3.4610450122128953E-12</v>
      </c>
      <c r="Q109" s="20">
        <f t="shared" si="107"/>
        <v>6.4758730798340893E-12</v>
      </c>
      <c r="R109" s="59">
        <f t="shared" si="55"/>
        <v>293.33333333333979</v>
      </c>
      <c r="S109" s="59">
        <f ca="1">AVERAGE(OFFSET($R$3,0,0,'Données projet'!$E$9+1,1))-AVERAGE(OFFSET($H$3,0,0,'Données projet'!$E$9+1,1))</f>
        <v>344.4940855044307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2.7845213153787909E-11</v>
      </c>
      <c r="AC109" s="22">
        <f t="shared" si="57"/>
        <v>2.7845213153787909E-11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-1.1439169611549005E-13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246.71489737733248</v>
      </c>
      <c r="AO109" s="59">
        <f t="shared" si="90"/>
        <v>185.03615139960783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-2.7489477361086758E-14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211.98817606983374</v>
      </c>
      <c r="BJ109" s="59">
        <f t="shared" si="92"/>
        <v>154.0840647586964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-2.8421709430404007E-14</v>
      </c>
      <c r="BZ109" s="13">
        <f>BY109*VLOOKUP('Données projet'!$B$12,Paramètres!$A$1:$I$89,3,0)*VLOOKUP('Données projet'!$B$12,Paramètres!$A$1:$I$89,5,0)</f>
        <v>-3.0593128030886874E-14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231.89176215692947</v>
      </c>
      <c r="CE109" s="59">
        <f t="shared" si="94"/>
        <v>166.97658184507787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2.2737367544323206E-13</v>
      </c>
      <c r="CU109" s="17">
        <f>CT109*VLOOKUP('Données projet'!$B$13,Paramètres!$A$1:$I$89,3,0)*VLOOKUP('Données projet'!$B$13,Paramètres!$A$1:$I$89,5,0)</f>
        <v>1.7735146684572101E-13</v>
      </c>
      <c r="CV109" s="13">
        <f t="shared" si="95"/>
        <v>2.4924271921531257E-12</v>
      </c>
      <c r="CW109" s="20">
        <f t="shared" si="67"/>
        <v>4.6498644977563242E-12</v>
      </c>
      <c r="CX109" s="59">
        <f t="shared" si="68"/>
        <v>293.33333333333798</v>
      </c>
      <c r="CY109" s="59">
        <f ca="1">AVERAGE(OFFSET($CX$3,0,0,'Données projet'!$E$13+1,1))-AVERAGE(OFFSET($H$3,0,0,'Données projet'!$E$13+1,1))</f>
        <v>274.37717856763146</v>
      </c>
      <c r="CZ109" s="59">
        <f t="shared" si="96"/>
        <v>264.17357326498581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7.7509304565876607E-11</v>
      </c>
      <c r="DI109" s="22">
        <f t="shared" si="69"/>
        <v>7.7509304565876607E-11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-1.7053025658242404E-13</v>
      </c>
      <c r="DP109" s="17">
        <f>DO109*VLOOKUP('Données projet'!$B$14,Paramètres!$A$1:$I$89,3,0)*VLOOKUP('Données projet'!$B$14,Paramètres!$A$1:$I$89,5,0)</f>
        <v>-1.383341441396624E-13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304.26232113495314</v>
      </c>
      <c r="DU109" s="59">
        <f t="shared" si="98"/>
        <v>297.47246687305056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62.986206168523069</v>
      </c>
      <c r="EB109" s="21">
        <f>EXP(-LN(2)/25)*EB108+(1-EXP(-LN(2)/25))/(LN(2)/25)*Calculateur!DW109*Calculateur!DY109*VLOOKUP('Données projet'!$B$14,Paramètres!$A$1:$I$89,3,0)*0.475*44/12</f>
        <v>1.4060034066437659</v>
      </c>
      <c r="EC109" s="21">
        <f>EXP(-LN(2)/2)*EC108+(1-EXP(-LN(2)/2))/(LN(2)/2)*DW109*DZ109*VLOOKUP('Données projet'!$B$14,Paramètres!$A$1:$I$89,3,0)*0.475*44/12</f>
        <v>5.1793285326884476E-3</v>
      </c>
      <c r="ED109" s="22">
        <f t="shared" si="72"/>
        <v>64.397388903699522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2.5715962692629546E-13</v>
      </c>
      <c r="P110" s="13">
        <f t="shared" si="87"/>
        <v>3.4610450122128953E-12</v>
      </c>
      <c r="Q110" s="20">
        <f t="shared" si="107"/>
        <v>6.4758730798340893E-12</v>
      </c>
      <c r="R110" s="59">
        <f t="shared" si="55"/>
        <v>293.33333333333979</v>
      </c>
      <c r="S110" s="59">
        <f ca="1">AVERAGE(OFFSET($R$3,0,0,'Données projet'!$E$9+1,1))-AVERAGE(OFFSET($H$3,0,0,'Données projet'!$E$9+1,1))</f>
        <v>344.4940855044307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1.9689539044628282E-11</v>
      </c>
      <c r="AC110" s="22">
        <f t="shared" si="57"/>
        <v>1.9689539044628282E-11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-1.1439169611549005E-13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246.71489737733248</v>
      </c>
      <c r="AO110" s="59">
        <f t="shared" si="90"/>
        <v>185.03615139960783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-2.7489477361086758E-14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211.98817606983374</v>
      </c>
      <c r="BJ110" s="59">
        <f t="shared" si="92"/>
        <v>154.0840647586964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-2.8421709430404007E-14</v>
      </c>
      <c r="BZ110" s="13">
        <f>BY110*VLOOKUP('Données projet'!$B$12,Paramètres!$A$1:$I$89,3,0)*VLOOKUP('Données projet'!$B$12,Paramètres!$A$1:$I$89,5,0)</f>
        <v>-3.0593128030886874E-14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231.89176215692947</v>
      </c>
      <c r="CE110" s="59">
        <f t="shared" si="94"/>
        <v>166.97658184507787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2.2737367544323206E-13</v>
      </c>
      <c r="CU110" s="17">
        <f>CT110*VLOOKUP('Données projet'!$B$13,Paramètres!$A$1:$I$89,3,0)*VLOOKUP('Données projet'!$B$13,Paramètres!$A$1:$I$89,5,0)</f>
        <v>1.7735146684572101E-13</v>
      </c>
      <c r="CV110" s="13">
        <f t="shared" si="95"/>
        <v>2.4924271921531257E-12</v>
      </c>
      <c r="CW110" s="20">
        <f t="shared" si="67"/>
        <v>4.6498644977563242E-12</v>
      </c>
      <c r="CX110" s="59">
        <f t="shared" si="68"/>
        <v>293.33333333333798</v>
      </c>
      <c r="CY110" s="59">
        <f ca="1">AVERAGE(OFFSET($CX$3,0,0,'Données projet'!$E$13+1,1))-AVERAGE(OFFSET($H$3,0,0,'Données projet'!$E$13+1,1))</f>
        <v>274.37717856763146</v>
      </c>
      <c r="CZ110" s="59">
        <f t="shared" si="96"/>
        <v>264.17357326498581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5.480735486358478E-11</v>
      </c>
      <c r="DI110" s="22">
        <f t="shared" si="69"/>
        <v>5.480735486358478E-11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-1.7053025658242404E-13</v>
      </c>
      <c r="DP110" s="17">
        <f>DO110*VLOOKUP('Données projet'!$B$14,Paramètres!$A$1:$I$89,3,0)*VLOOKUP('Données projet'!$B$14,Paramètres!$A$1:$I$89,5,0)</f>
        <v>-1.383341441396624E-13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304.26232113495314</v>
      </c>
      <c r="DU110" s="59">
        <f t="shared" si="98"/>
        <v>297.47246687305056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61.751085083350652</v>
      </c>
      <c r="EB110" s="21">
        <f>EXP(-LN(2)/25)*EB109+(1-EXP(-LN(2)/25))/(LN(2)/25)*Calculateur!DW110*Calculateur!DY110*VLOOKUP('Données projet'!$B$14,Paramètres!$A$1:$I$89,3,0)*0.475*44/12</f>
        <v>1.3675561695505865</v>
      </c>
      <c r="EC110" s="21">
        <f>EXP(-LN(2)/2)*EC109+(1-EXP(-LN(2)/2))/(LN(2)/2)*DW110*DZ110*VLOOKUP('Données projet'!$B$14,Paramètres!$A$1:$I$89,3,0)*0.475*44/12</f>
        <v>3.6623383274569728E-3</v>
      </c>
      <c r="ED110" s="22">
        <f t="shared" si="72"/>
        <v>63.1223035912287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2.5715962692629546E-13</v>
      </c>
      <c r="P111" s="13">
        <f t="shared" si="87"/>
        <v>3.4610450122128953E-12</v>
      </c>
      <c r="Q111" s="20">
        <f t="shared" si="107"/>
        <v>6.4758730798340893E-12</v>
      </c>
      <c r="R111" s="59">
        <f t="shared" si="55"/>
        <v>293.33333333333979</v>
      </c>
      <c r="S111" s="59">
        <f ca="1">AVERAGE(OFFSET($R$3,0,0,'Données projet'!$E$9+1,1))-AVERAGE(OFFSET($H$3,0,0,'Données projet'!$E$9+1,1))</f>
        <v>344.4940855044307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1.3922606576893955E-11</v>
      </c>
      <c r="AC111" s="22">
        <f t="shared" si="57"/>
        <v>1.3922606576893955E-11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-1.1439169611549005E-13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246.71489737733248</v>
      </c>
      <c r="AO111" s="59">
        <f t="shared" si="90"/>
        <v>185.03615139960783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-2.7489477361086758E-14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211.98817606983374</v>
      </c>
      <c r="BJ111" s="59">
        <f t="shared" si="92"/>
        <v>154.0840647586964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-2.8421709430404007E-14</v>
      </c>
      <c r="BZ111" s="13">
        <f>BY111*VLOOKUP('Données projet'!$B$12,Paramètres!$A$1:$I$89,3,0)*VLOOKUP('Données projet'!$B$12,Paramètres!$A$1:$I$89,5,0)</f>
        <v>-3.0593128030886874E-14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231.89176215692947</v>
      </c>
      <c r="CE111" s="59">
        <f t="shared" si="94"/>
        <v>166.97658184507787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2.2737367544323206E-13</v>
      </c>
      <c r="CU111" s="17">
        <f>CT111*VLOOKUP('Données projet'!$B$13,Paramètres!$A$1:$I$89,3,0)*VLOOKUP('Données projet'!$B$13,Paramètres!$A$1:$I$89,5,0)</f>
        <v>1.7735146684572101E-13</v>
      </c>
      <c r="CV111" s="13">
        <f t="shared" si="95"/>
        <v>2.4924271921531257E-12</v>
      </c>
      <c r="CW111" s="20">
        <f t="shared" si="67"/>
        <v>4.6498644977563242E-12</v>
      </c>
      <c r="CX111" s="59">
        <f t="shared" si="68"/>
        <v>293.33333333333798</v>
      </c>
      <c r="CY111" s="59">
        <f ca="1">AVERAGE(OFFSET($CX$3,0,0,'Données projet'!$E$13+1,1))-AVERAGE(OFFSET($H$3,0,0,'Données projet'!$E$13+1,1))</f>
        <v>274.37717856763146</v>
      </c>
      <c r="CZ111" s="59">
        <f t="shared" si="96"/>
        <v>264.17357326498581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3.8754652282938304E-11</v>
      </c>
      <c r="DI111" s="22">
        <f t="shared" si="69"/>
        <v>3.8754652282938304E-11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-1.7053025658242404E-13</v>
      </c>
      <c r="DP111" s="17">
        <f>DO111*VLOOKUP('Données projet'!$B$14,Paramètres!$A$1:$I$89,3,0)*VLOOKUP('Données projet'!$B$14,Paramètres!$A$1:$I$89,5,0)</f>
        <v>-1.383341441396624E-13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304.26232113495314</v>
      </c>
      <c r="DU111" s="59">
        <f t="shared" si="98"/>
        <v>297.47246687305056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60.540183969308991</v>
      </c>
      <c r="EB111" s="21">
        <f>EXP(-LN(2)/25)*EB110+(1-EXP(-LN(2)/25))/(LN(2)/25)*Calculateur!DW111*Calculateur!DY111*VLOOKUP('Données projet'!$B$14,Paramètres!$A$1:$I$89,3,0)*0.475*44/12</f>
        <v>1.3301602741775722</v>
      </c>
      <c r="EC111" s="21">
        <f>EXP(-LN(2)/2)*EC110+(1-EXP(-LN(2)/2))/(LN(2)/2)*DW111*DZ111*VLOOKUP('Données projet'!$B$14,Paramètres!$A$1:$I$89,3,0)*0.475*44/12</f>
        <v>2.5896642663442242E-3</v>
      </c>
      <c r="ED111" s="22">
        <f t="shared" si="72"/>
        <v>61.872933907752909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2.5715962692629546E-13</v>
      </c>
      <c r="P112" s="13">
        <f t="shared" si="87"/>
        <v>3.4610450122128953E-12</v>
      </c>
      <c r="Q112" s="20">
        <f t="shared" si="107"/>
        <v>6.4758730798340893E-12</v>
      </c>
      <c r="R112" s="59">
        <f t="shared" si="55"/>
        <v>293.33333333333979</v>
      </c>
      <c r="S112" s="59">
        <f ca="1">AVERAGE(OFFSET($R$3,0,0,'Données projet'!$E$9+1,1))-AVERAGE(OFFSET($H$3,0,0,'Données projet'!$E$9+1,1))</f>
        <v>344.4940855044307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9.8447695223141409E-12</v>
      </c>
      <c r="AC112" s="22">
        <f t="shared" si="57"/>
        <v>9.8447695223141409E-12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-1.1439169611549005E-13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246.71489737733248</v>
      </c>
      <c r="AO112" s="59">
        <f t="shared" si="90"/>
        <v>185.03615139960783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-2.7489477361086758E-14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211.98817606983374</v>
      </c>
      <c r="BJ112" s="59">
        <f t="shared" si="92"/>
        <v>154.0840647586964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-2.8421709430404007E-14</v>
      </c>
      <c r="BZ112" s="13">
        <f>BY112*VLOOKUP('Données projet'!$B$12,Paramètres!$A$1:$I$89,3,0)*VLOOKUP('Données projet'!$B$12,Paramètres!$A$1:$I$89,5,0)</f>
        <v>-3.0593128030886874E-14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231.89176215692947</v>
      </c>
      <c r="CE112" s="59">
        <f t="shared" si="94"/>
        <v>166.97658184507787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2.2737367544323206E-13</v>
      </c>
      <c r="CU112" s="17">
        <f>CT112*VLOOKUP('Données projet'!$B$13,Paramètres!$A$1:$I$89,3,0)*VLOOKUP('Données projet'!$B$13,Paramètres!$A$1:$I$89,5,0)</f>
        <v>1.7735146684572101E-13</v>
      </c>
      <c r="CV112" s="13">
        <f t="shared" si="95"/>
        <v>2.4924271921531257E-12</v>
      </c>
      <c r="CW112" s="20">
        <f t="shared" si="67"/>
        <v>4.6498644977563242E-12</v>
      </c>
      <c r="CX112" s="59">
        <f t="shared" si="68"/>
        <v>293.33333333333798</v>
      </c>
      <c r="CY112" s="59">
        <f ca="1">AVERAGE(OFFSET($CX$3,0,0,'Données projet'!$E$13+1,1))-AVERAGE(OFFSET($H$3,0,0,'Données projet'!$E$13+1,1))</f>
        <v>274.37717856763146</v>
      </c>
      <c r="CZ112" s="59">
        <f t="shared" si="96"/>
        <v>264.17357326498581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2.740367743179239E-11</v>
      </c>
      <c r="DI112" s="22">
        <f t="shared" si="69"/>
        <v>2.740367743179239E-11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-1.7053025658242404E-13</v>
      </c>
      <c r="DP112" s="17">
        <f>DO112*VLOOKUP('Données projet'!$B$14,Paramètres!$A$1:$I$89,3,0)*VLOOKUP('Données projet'!$B$14,Paramètres!$A$1:$I$89,5,0)</f>
        <v>-1.383341441396624E-13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304.26232113495314</v>
      </c>
      <c r="DU112" s="59">
        <f t="shared" si="98"/>
        <v>297.47246687305056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59.353027887536939</v>
      </c>
      <c r="EB112" s="21">
        <f>EXP(-LN(2)/25)*EB111+(1-EXP(-LN(2)/25))/(LN(2)/25)*Calculateur!DW112*Calculateur!DY112*VLOOKUP('Données projet'!$B$14,Paramètres!$A$1:$I$89,3,0)*0.475*44/12</f>
        <v>1.2937869715300978</v>
      </c>
      <c r="EC112" s="21">
        <f>EXP(-LN(2)/2)*EC111+(1-EXP(-LN(2)/2))/(LN(2)/2)*DW112*DZ112*VLOOKUP('Données projet'!$B$14,Paramètres!$A$1:$I$89,3,0)*0.475*44/12</f>
        <v>1.8311691637284866E-3</v>
      </c>
      <c r="ED112" s="22">
        <f t="shared" si="72"/>
        <v>60.648646028230765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2.5715962692629546E-13</v>
      </c>
      <c r="P113" s="13">
        <f t="shared" si="87"/>
        <v>3.4610450122128953E-12</v>
      </c>
      <c r="Q113" s="20">
        <f t="shared" si="107"/>
        <v>6.4758730798340893E-12</v>
      </c>
      <c r="R113" s="59">
        <f t="shared" si="55"/>
        <v>293.33333333333979</v>
      </c>
      <c r="S113" s="59">
        <f ca="1">AVERAGE(OFFSET($R$3,0,0,'Données projet'!$E$9+1,1))-AVERAGE(OFFSET($H$3,0,0,'Données projet'!$E$9+1,1))</f>
        <v>344.4940855044307</v>
      </c>
      <c r="T113" s="59">
        <f t="shared" si="88"/>
        <v>231.36959598460686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6.9613032884469773E-12</v>
      </c>
      <c r="AC113" s="22">
        <f t="shared" si="57"/>
        <v>6.9613032884469773E-12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-1.1439169611549005E-13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246.71489737733248</v>
      </c>
      <c r="AO113" s="59">
        <f t="shared" si="90"/>
        <v>185.03615139960783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-2.7489477361086758E-14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211.98817606983374</v>
      </c>
      <c r="BJ113" s="59">
        <f t="shared" si="92"/>
        <v>154.0840647586964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-2.8421709430404007E-14</v>
      </c>
      <c r="BZ113" s="13">
        <f>BY113*VLOOKUP('Données projet'!$B$12,Paramètres!$A$1:$I$89,3,0)*VLOOKUP('Données projet'!$B$12,Paramètres!$A$1:$I$89,5,0)</f>
        <v>-3.0593128030886874E-14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231.89176215692947</v>
      </c>
      <c r="CE113" s="59">
        <f t="shared" si="94"/>
        <v>166.97658184507787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2.2737367544323206E-13</v>
      </c>
      <c r="CU113" s="17">
        <f>CT113*VLOOKUP('Données projet'!$B$13,Paramètres!$A$1:$I$89,3,0)*VLOOKUP('Données projet'!$B$13,Paramètres!$A$1:$I$89,5,0)</f>
        <v>1.7735146684572101E-13</v>
      </c>
      <c r="CV113" s="13">
        <f t="shared" si="95"/>
        <v>2.4924271921531257E-12</v>
      </c>
      <c r="CW113" s="20">
        <f t="shared" si="67"/>
        <v>4.6498644977563242E-12</v>
      </c>
      <c r="CX113" s="59">
        <f t="shared" si="68"/>
        <v>293.33333333333798</v>
      </c>
      <c r="CY113" s="59">
        <f ca="1">AVERAGE(OFFSET($CX$3,0,0,'Données projet'!$E$13+1,1))-AVERAGE(OFFSET($H$3,0,0,'Données projet'!$E$13+1,1))</f>
        <v>274.37717856763146</v>
      </c>
      <c r="CZ113" s="59">
        <f t="shared" si="96"/>
        <v>264.17357326498581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1.9377326141469152E-11</v>
      </c>
      <c r="DI113" s="22">
        <f t="shared" si="69"/>
        <v>1.9377326141469152E-11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-1.7053025658242404E-13</v>
      </c>
      <c r="DP113" s="17">
        <f>DO113*VLOOKUP('Données projet'!$B$14,Paramètres!$A$1:$I$89,3,0)*VLOOKUP('Données projet'!$B$14,Paramètres!$A$1:$I$89,5,0)</f>
        <v>-1.383341441396624E-13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304.26232113495314</v>
      </c>
      <c r="DU113" s="59">
        <f t="shared" si="98"/>
        <v>297.47246687305056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58.189151212434723</v>
      </c>
      <c r="EB113" s="21">
        <f>EXP(-LN(2)/25)*EB112+(1-EXP(-LN(2)/25))/(LN(2)/25)*Calculateur!DW113*Calculateur!DY113*VLOOKUP('Données projet'!$B$14,Paramètres!$A$1:$I$89,3,0)*0.475*44/12</f>
        <v>1.2584082987563074</v>
      </c>
      <c r="EC113" s="21">
        <f>EXP(-LN(2)/2)*EC112+(1-EXP(-LN(2)/2))/(LN(2)/2)*DW113*DZ113*VLOOKUP('Données projet'!$B$14,Paramètres!$A$1:$I$89,3,0)*0.475*44/12</f>
        <v>1.2948321331721123E-3</v>
      </c>
      <c r="ED113" s="22">
        <f t="shared" si="72"/>
        <v>59.4488543433242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2.5715962692629546E-13</v>
      </c>
      <c r="P114" s="13">
        <f t="shared" si="87"/>
        <v>3.4610450122128953E-12</v>
      </c>
      <c r="Q114" s="20">
        <f t="shared" si="107"/>
        <v>6.4758730798340893E-12</v>
      </c>
      <c r="R114" s="59">
        <f t="shared" si="55"/>
        <v>293.33333333333979</v>
      </c>
      <c r="S114" s="59">
        <f ca="1">AVERAGE(OFFSET($R$3,0,0,'Données projet'!$E$9+1,1))-AVERAGE(OFFSET($H$3,0,0,'Données projet'!$E$9+1,1))</f>
        <v>344.4940855044307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4.9223847611570705E-12</v>
      </c>
      <c r="AC114" s="22">
        <f t="shared" si="57"/>
        <v>4.9223847611570705E-12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-1.1439169611549005E-13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246.71489737733248</v>
      </c>
      <c r="AO114" s="59">
        <f t="shared" si="90"/>
        <v>185.03615139960783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-2.7489477361086758E-14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211.98817606983374</v>
      </c>
      <c r="BJ114" s="59">
        <f t="shared" si="92"/>
        <v>154.0840647586964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-2.8421709430404007E-14</v>
      </c>
      <c r="BZ114" s="13">
        <f>BY114*VLOOKUP('Données projet'!$B$12,Paramètres!$A$1:$I$89,3,0)*VLOOKUP('Données projet'!$B$12,Paramètres!$A$1:$I$89,5,0)</f>
        <v>-3.0593128030886874E-14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231.89176215692947</v>
      </c>
      <c r="CE114" s="59">
        <f t="shared" si="94"/>
        <v>166.97658184507787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2.2737367544323206E-13</v>
      </c>
      <c r="CU114" s="17">
        <f>CT114*VLOOKUP('Données projet'!$B$13,Paramètres!$A$1:$I$89,3,0)*VLOOKUP('Données projet'!$B$13,Paramètres!$A$1:$I$89,5,0)</f>
        <v>1.7735146684572101E-13</v>
      </c>
      <c r="CV114" s="13">
        <f t="shared" si="95"/>
        <v>2.4924271921531257E-12</v>
      </c>
      <c r="CW114" s="20">
        <f t="shared" si="67"/>
        <v>4.6498644977563242E-12</v>
      </c>
      <c r="CX114" s="59">
        <f t="shared" si="68"/>
        <v>293.33333333333798</v>
      </c>
      <c r="CY114" s="59">
        <f ca="1">AVERAGE(OFFSET($CX$3,0,0,'Données projet'!$E$13+1,1))-AVERAGE(OFFSET($H$3,0,0,'Données projet'!$E$13+1,1))</f>
        <v>274.37717856763146</v>
      </c>
      <c r="CZ114" s="59">
        <f t="shared" si="96"/>
        <v>264.17357326498581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1.3701838715896195E-11</v>
      </c>
      <c r="DI114" s="22">
        <f t="shared" si="69"/>
        <v>1.3701838715896195E-11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-1.7053025658242404E-13</v>
      </c>
      <c r="DP114" s="17">
        <f>DO114*VLOOKUP('Données projet'!$B$14,Paramètres!$A$1:$I$89,3,0)*VLOOKUP('Données projet'!$B$14,Paramètres!$A$1:$I$89,5,0)</f>
        <v>-1.383341441396624E-13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304.26232113495314</v>
      </c>
      <c r="DU114" s="59">
        <f t="shared" si="98"/>
        <v>297.47246687305056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57.048097449036582</v>
      </c>
      <c r="EB114" s="21">
        <f>EXP(-LN(2)/25)*EB113+(1-EXP(-LN(2)/25))/(LN(2)/25)*Calculateur!DW114*Calculateur!DY114*VLOOKUP('Données projet'!$B$14,Paramètres!$A$1:$I$89,3,0)*0.475*44/12</f>
        <v>1.2239970576499999</v>
      </c>
      <c r="EC114" s="21">
        <f>EXP(-LN(2)/2)*EC113+(1-EXP(-LN(2)/2))/(LN(2)/2)*DW114*DZ114*VLOOKUP('Données projet'!$B$14,Paramètres!$A$1:$I$89,3,0)*0.475*44/12</f>
        <v>9.1558458186424341E-4</v>
      </c>
      <c r="ED114" s="22">
        <f t="shared" si="72"/>
        <v>58.273010091268446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2.5715962692629546E-13</v>
      </c>
      <c r="P115" s="13">
        <f t="shared" si="87"/>
        <v>3.4610450122128953E-12</v>
      </c>
      <c r="Q115" s="20">
        <f t="shared" si="107"/>
        <v>6.4758730798340893E-12</v>
      </c>
      <c r="R115" s="59">
        <f t="shared" si="55"/>
        <v>293.33333333333979</v>
      </c>
      <c r="S115" s="59">
        <f ca="1">AVERAGE(OFFSET($R$3,0,0,'Données projet'!$E$9+1,1))-AVERAGE(OFFSET($H$3,0,0,'Données projet'!$E$9+1,1))</f>
        <v>344.4940855044307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3.4806516442234887E-12</v>
      </c>
      <c r="AC115" s="22">
        <f t="shared" si="57"/>
        <v>3.4806516442234887E-12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-1.1439169611549005E-13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246.71489737733248</v>
      </c>
      <c r="AO115" s="59">
        <f t="shared" si="90"/>
        <v>185.03615139960783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-2.7489477361086758E-14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211.98817606983374</v>
      </c>
      <c r="BJ115" s="59">
        <f t="shared" si="92"/>
        <v>154.0840647586964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-2.8421709430404007E-14</v>
      </c>
      <c r="BZ115" s="13">
        <f>BY115*VLOOKUP('Données projet'!$B$12,Paramètres!$A$1:$I$89,3,0)*VLOOKUP('Données projet'!$B$12,Paramètres!$A$1:$I$89,5,0)</f>
        <v>-3.0593128030886874E-14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231.89176215692947</v>
      </c>
      <c r="CE115" s="59">
        <f t="shared" si="94"/>
        <v>166.97658184507787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2.2737367544323206E-13</v>
      </c>
      <c r="CU115" s="17">
        <f>CT115*VLOOKUP('Données projet'!$B$13,Paramètres!$A$1:$I$89,3,0)*VLOOKUP('Données projet'!$B$13,Paramètres!$A$1:$I$89,5,0)</f>
        <v>1.7735146684572101E-13</v>
      </c>
      <c r="CV115" s="13">
        <f t="shared" si="95"/>
        <v>2.4924271921531257E-12</v>
      </c>
      <c r="CW115" s="20">
        <f t="shared" si="67"/>
        <v>4.6498644977563242E-12</v>
      </c>
      <c r="CX115" s="59">
        <f t="shared" si="68"/>
        <v>293.33333333333798</v>
      </c>
      <c r="CY115" s="59">
        <f ca="1">AVERAGE(OFFSET($CX$3,0,0,'Données projet'!$E$13+1,1))-AVERAGE(OFFSET($H$3,0,0,'Données projet'!$E$13+1,1))</f>
        <v>274.37717856763146</v>
      </c>
      <c r="CZ115" s="59">
        <f t="shared" si="96"/>
        <v>264.17357326498581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9.6886630707345759E-12</v>
      </c>
      <c r="DI115" s="22">
        <f t="shared" si="69"/>
        <v>9.6886630707345759E-12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-1.7053025658242404E-13</v>
      </c>
      <c r="DP115" s="17">
        <f>DO115*VLOOKUP('Données projet'!$B$14,Paramètres!$A$1:$I$89,3,0)*VLOOKUP('Données projet'!$B$14,Paramètres!$A$1:$I$89,5,0)</f>
        <v>-1.383341441396624E-13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304.26232113495314</v>
      </c>
      <c r="DU115" s="59">
        <f t="shared" si="98"/>
        <v>297.47246687305056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55.929419053964608</v>
      </c>
      <c r="EB115" s="21">
        <f>EXP(-LN(2)/25)*EB114+(1-EXP(-LN(2)/25))/(LN(2)/25)*Calculateur!DW115*Calculateur!DY115*VLOOKUP('Données projet'!$B$14,Paramètres!$A$1:$I$89,3,0)*0.475*44/12</f>
        <v>1.1905267937413528</v>
      </c>
      <c r="EC115" s="21">
        <f>EXP(-LN(2)/2)*EC114+(1-EXP(-LN(2)/2))/(LN(2)/2)*DW115*DZ115*VLOOKUP('Données projet'!$B$14,Paramètres!$A$1:$I$89,3,0)*0.475*44/12</f>
        <v>6.4741606658605627E-4</v>
      </c>
      <c r="ED115" s="22">
        <f t="shared" si="72"/>
        <v>57.120593263772548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2.5715962692629546E-13</v>
      </c>
      <c r="P116" s="13">
        <f t="shared" si="87"/>
        <v>3.4610450122128953E-12</v>
      </c>
      <c r="Q116" s="20">
        <f t="shared" si="107"/>
        <v>6.4758730798340893E-12</v>
      </c>
      <c r="R116" s="59">
        <f t="shared" si="55"/>
        <v>293.33333333333979</v>
      </c>
      <c r="S116" s="59">
        <f ca="1">AVERAGE(OFFSET($R$3,0,0,'Données projet'!$E$9+1,1))-AVERAGE(OFFSET($H$3,0,0,'Données projet'!$E$9+1,1))</f>
        <v>344.4940855044307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2.4611923805785352E-12</v>
      </c>
      <c r="AC116" s="22">
        <f t="shared" si="57"/>
        <v>2.4611923805785352E-12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-1.1439169611549005E-13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246.71489737733248</v>
      </c>
      <c r="AO116" s="59">
        <f t="shared" si="90"/>
        <v>185.03615139960783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-2.7489477361086758E-14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211.98817606983374</v>
      </c>
      <c r="BJ116" s="59">
        <f t="shared" si="92"/>
        <v>154.0840647586964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-2.8421709430404007E-14</v>
      </c>
      <c r="BZ116" s="13">
        <f>BY116*VLOOKUP('Données projet'!$B$12,Paramètres!$A$1:$I$89,3,0)*VLOOKUP('Données projet'!$B$12,Paramètres!$A$1:$I$89,5,0)</f>
        <v>-3.0593128030886874E-14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231.89176215692947</v>
      </c>
      <c r="CE116" s="59">
        <f t="shared" si="94"/>
        <v>166.97658184507787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2.2737367544323206E-13</v>
      </c>
      <c r="CU116" s="17">
        <f>CT116*VLOOKUP('Données projet'!$B$13,Paramètres!$A$1:$I$89,3,0)*VLOOKUP('Données projet'!$B$13,Paramètres!$A$1:$I$89,5,0)</f>
        <v>1.7735146684572101E-13</v>
      </c>
      <c r="CV116" s="13">
        <f t="shared" si="95"/>
        <v>2.4924271921531257E-12</v>
      </c>
      <c r="CW116" s="20">
        <f t="shared" si="67"/>
        <v>4.6498644977563242E-12</v>
      </c>
      <c r="CX116" s="59">
        <f t="shared" si="68"/>
        <v>293.33333333333798</v>
      </c>
      <c r="CY116" s="59">
        <f ca="1">AVERAGE(OFFSET($CX$3,0,0,'Données projet'!$E$13+1,1))-AVERAGE(OFFSET($H$3,0,0,'Données projet'!$E$13+1,1))</f>
        <v>274.37717856763146</v>
      </c>
      <c r="CZ116" s="59">
        <f t="shared" si="96"/>
        <v>264.17357326498581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6.8509193579480975E-12</v>
      </c>
      <c r="DI116" s="22">
        <f t="shared" si="69"/>
        <v>6.8509193579480975E-12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-1.7053025658242404E-13</v>
      </c>
      <c r="DP116" s="17">
        <f>DO116*VLOOKUP('Données projet'!$B$14,Paramètres!$A$1:$I$89,3,0)*VLOOKUP('Données projet'!$B$14,Paramètres!$A$1:$I$89,5,0)</f>
        <v>-1.383341441396624E-13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304.26232113495314</v>
      </c>
      <c r="DU116" s="59">
        <f t="shared" si="98"/>
        <v>297.47246687305056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54.832677259893551</v>
      </c>
      <c r="EB116" s="21">
        <f>EXP(-LN(2)/25)*EB115+(1-EXP(-LN(2)/25))/(LN(2)/25)*Calculateur!DW116*Calculateur!DY116*VLOOKUP('Données projet'!$B$14,Paramètres!$A$1:$I$89,3,0)*0.475*44/12</f>
        <v>1.1579717759594124</v>
      </c>
      <c r="EC116" s="21">
        <f>EXP(-LN(2)/2)*EC115+(1-EXP(-LN(2)/2))/(LN(2)/2)*DW116*DZ116*VLOOKUP('Données projet'!$B$14,Paramètres!$A$1:$I$89,3,0)*0.475*44/12</f>
        <v>4.5779229093212182E-4</v>
      </c>
      <c r="ED116" s="22">
        <f t="shared" si="72"/>
        <v>55.991106828143892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2.5715962692629546E-13</v>
      </c>
      <c r="P117" s="13">
        <f t="shared" si="87"/>
        <v>3.4610450122128953E-12</v>
      </c>
      <c r="Q117" s="20">
        <f t="shared" si="107"/>
        <v>6.4758730798340893E-12</v>
      </c>
      <c r="R117" s="59">
        <f t="shared" si="55"/>
        <v>293.33333333333979</v>
      </c>
      <c r="S117" s="59">
        <f ca="1">AVERAGE(OFFSET($R$3,0,0,'Données projet'!$E$9+1,1))-AVERAGE(OFFSET($H$3,0,0,'Données projet'!$E$9+1,1))</f>
        <v>344.4940855044307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1.7403258221117443E-12</v>
      </c>
      <c r="AC117" s="22">
        <f t="shared" si="57"/>
        <v>1.7403258221117443E-12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-1.1439169611549005E-13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246.71489737733248</v>
      </c>
      <c r="AO117" s="59">
        <f t="shared" si="90"/>
        <v>185.03615139960783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-2.7489477361086758E-14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211.98817606983374</v>
      </c>
      <c r="BJ117" s="59">
        <f t="shared" si="92"/>
        <v>154.0840647586964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-2.8421709430404007E-14</v>
      </c>
      <c r="BZ117" s="13">
        <f>BY117*VLOOKUP('Données projet'!$B$12,Paramètres!$A$1:$I$89,3,0)*VLOOKUP('Données projet'!$B$12,Paramètres!$A$1:$I$89,5,0)</f>
        <v>-3.0593128030886874E-14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231.89176215692947</v>
      </c>
      <c r="CE117" s="59">
        <f t="shared" si="94"/>
        <v>166.97658184507787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2.2737367544323206E-13</v>
      </c>
      <c r="CU117" s="17">
        <f>CT117*VLOOKUP('Données projet'!$B$13,Paramètres!$A$1:$I$89,3,0)*VLOOKUP('Données projet'!$B$13,Paramètres!$A$1:$I$89,5,0)</f>
        <v>1.7735146684572101E-13</v>
      </c>
      <c r="CV117" s="13">
        <f t="shared" si="95"/>
        <v>2.4924271921531257E-12</v>
      </c>
      <c r="CW117" s="20">
        <f t="shared" si="67"/>
        <v>4.6498644977563242E-12</v>
      </c>
      <c r="CX117" s="59">
        <f t="shared" si="68"/>
        <v>293.33333333333798</v>
      </c>
      <c r="CY117" s="59">
        <f ca="1">AVERAGE(OFFSET($CX$3,0,0,'Données projet'!$E$13+1,1))-AVERAGE(OFFSET($H$3,0,0,'Données projet'!$E$13+1,1))</f>
        <v>274.37717856763146</v>
      </c>
      <c r="CZ117" s="59">
        <f t="shared" si="96"/>
        <v>264.17357326498581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4.844331535367288E-12</v>
      </c>
      <c r="DI117" s="22">
        <f t="shared" si="69"/>
        <v>4.844331535367288E-12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-1.7053025658242404E-13</v>
      </c>
      <c r="DP117" s="17">
        <f>DO117*VLOOKUP('Données projet'!$B$14,Paramètres!$A$1:$I$89,3,0)*VLOOKUP('Données projet'!$B$14,Paramètres!$A$1:$I$89,5,0)</f>
        <v>-1.383341441396624E-13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304.26232113495314</v>
      </c>
      <c r="DU117" s="59">
        <f t="shared" si="98"/>
        <v>297.47246687305056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53.757441903457782</v>
      </c>
      <c r="EB117" s="21">
        <f>EXP(-LN(2)/25)*EB116+(1-EXP(-LN(2)/25))/(LN(2)/25)*Calculateur!DW117*Calculateur!DY117*VLOOKUP('Données projet'!$B$14,Paramètres!$A$1:$I$89,3,0)*0.475*44/12</f>
        <v>1.126306976850713</v>
      </c>
      <c r="EC117" s="21">
        <f>EXP(-LN(2)/2)*EC116+(1-EXP(-LN(2)/2))/(LN(2)/2)*DW117*DZ117*VLOOKUP('Données projet'!$B$14,Paramètres!$A$1:$I$89,3,0)*0.475*44/12</f>
        <v>3.2370803329302819E-4</v>
      </c>
      <c r="ED117" s="22">
        <f t="shared" si="72"/>
        <v>54.884072588341787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2.5715962692629546E-13</v>
      </c>
      <c r="P118" s="13">
        <f t="shared" si="87"/>
        <v>3.4610450122128953E-12</v>
      </c>
      <c r="Q118" s="20">
        <f t="shared" si="107"/>
        <v>6.4758730798340893E-12</v>
      </c>
      <c r="R118" s="59">
        <f t="shared" si="55"/>
        <v>293.33333333333979</v>
      </c>
      <c r="S118" s="59">
        <f ca="1">AVERAGE(OFFSET($R$3,0,0,'Données projet'!$E$9+1,1))-AVERAGE(OFFSET($H$3,0,0,'Données projet'!$E$9+1,1))</f>
        <v>344.4940855044307</v>
      </c>
      <c r="T118" s="59">
        <f t="shared" si="88"/>
        <v>231.36959598460686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1.2305961902892676E-12</v>
      </c>
      <c r="AC118" s="22">
        <f t="shared" si="57"/>
        <v>1.2305961902892676E-12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-1.1439169611549005E-13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246.71489737733248</v>
      </c>
      <c r="AO118" s="59">
        <f t="shared" si="90"/>
        <v>185.03615139960783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-2.7489477361086758E-14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211.98817606983374</v>
      </c>
      <c r="BJ118" s="59">
        <f t="shared" si="92"/>
        <v>154.0840647586964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-2.8421709430404007E-14</v>
      </c>
      <c r="BZ118" s="13">
        <f>BY118*VLOOKUP('Données projet'!$B$12,Paramètres!$A$1:$I$89,3,0)*VLOOKUP('Données projet'!$B$12,Paramètres!$A$1:$I$89,5,0)</f>
        <v>-3.0593128030886874E-14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231.89176215692947</v>
      </c>
      <c r="CE118" s="59">
        <f t="shared" si="94"/>
        <v>166.97658184507787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2.2737367544323206E-13</v>
      </c>
      <c r="CU118" s="17">
        <f>CT118*VLOOKUP('Données projet'!$B$13,Paramètres!$A$1:$I$89,3,0)*VLOOKUP('Données projet'!$B$13,Paramètres!$A$1:$I$89,5,0)</f>
        <v>1.7735146684572101E-13</v>
      </c>
      <c r="CV118" s="13">
        <f t="shared" si="95"/>
        <v>2.4924271921531257E-12</v>
      </c>
      <c r="CW118" s="20">
        <f t="shared" si="67"/>
        <v>4.6498644977563242E-12</v>
      </c>
      <c r="CX118" s="59">
        <f t="shared" si="68"/>
        <v>293.33333333333798</v>
      </c>
      <c r="CY118" s="59">
        <f ca="1">AVERAGE(OFFSET($CX$3,0,0,'Données projet'!$E$13+1,1))-AVERAGE(OFFSET($H$3,0,0,'Données projet'!$E$13+1,1))</f>
        <v>274.37717856763146</v>
      </c>
      <c r="CZ118" s="59">
        <f t="shared" si="96"/>
        <v>264.17357326498581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3.4254596789740487E-12</v>
      </c>
      <c r="DI118" s="22">
        <f t="shared" si="69"/>
        <v>3.4254596789740487E-12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-1.7053025658242404E-13</v>
      </c>
      <c r="DP118" s="17">
        <f>DO118*VLOOKUP('Données projet'!$B$14,Paramètres!$A$1:$I$89,3,0)*VLOOKUP('Données projet'!$B$14,Paramètres!$A$1:$I$89,5,0)</f>
        <v>-1.383341441396624E-13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304.26232113495314</v>
      </c>
      <c r="DU118" s="59">
        <f t="shared" si="98"/>
        <v>297.47246687305056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52.703291256532907</v>
      </c>
      <c r="EB118" s="21">
        <f>EXP(-LN(2)/25)*EB117+(1-EXP(-LN(2)/25))/(LN(2)/25)*Calculateur!DW118*Calculateur!DY118*VLOOKUP('Données projet'!$B$14,Paramètres!$A$1:$I$89,3,0)*0.475*44/12</f>
        <v>1.0955080533388206</v>
      </c>
      <c r="EC118" s="21">
        <f>EXP(-LN(2)/2)*EC117+(1-EXP(-LN(2)/2))/(LN(2)/2)*DW118*DZ118*VLOOKUP('Données projet'!$B$14,Paramètres!$A$1:$I$89,3,0)*0.475*44/12</f>
        <v>2.2889614546606093E-4</v>
      </c>
      <c r="ED118" s="22">
        <f t="shared" si="72"/>
        <v>53.799028206017191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2.5715962692629546E-13</v>
      </c>
      <c r="P119" s="13">
        <f t="shared" si="87"/>
        <v>3.4610450122128953E-12</v>
      </c>
      <c r="Q119" s="20">
        <f t="shared" si="107"/>
        <v>6.4758730798340893E-12</v>
      </c>
      <c r="R119" s="59">
        <f t="shared" si="55"/>
        <v>293.33333333333979</v>
      </c>
      <c r="S119" s="59">
        <f ca="1">AVERAGE(OFFSET($R$3,0,0,'Données projet'!$E$9+1,1))-AVERAGE(OFFSET($H$3,0,0,'Données projet'!$E$9+1,1))</f>
        <v>344.4940855044307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8.7016291105587217E-13</v>
      </c>
      <c r="AC119" s="22">
        <f t="shared" si="57"/>
        <v>8.7016291105587217E-13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-1.1439169611549005E-13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246.71489737733248</v>
      </c>
      <c r="AO119" s="59">
        <f t="shared" si="90"/>
        <v>185.03615139960783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-2.7489477361086758E-14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211.98817606983374</v>
      </c>
      <c r="BJ119" s="59">
        <f t="shared" si="92"/>
        <v>154.0840647586964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-2.8421709430404007E-14</v>
      </c>
      <c r="BZ119" s="13">
        <f>BY119*VLOOKUP('Données projet'!$B$12,Paramètres!$A$1:$I$89,3,0)*VLOOKUP('Données projet'!$B$12,Paramètres!$A$1:$I$89,5,0)</f>
        <v>-3.0593128030886874E-14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231.89176215692947</v>
      </c>
      <c r="CE119" s="59">
        <f t="shared" si="94"/>
        <v>166.97658184507787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2.2737367544323206E-13</v>
      </c>
      <c r="CU119" s="17">
        <f>CT119*VLOOKUP('Données projet'!$B$13,Paramètres!$A$1:$I$89,3,0)*VLOOKUP('Données projet'!$B$13,Paramètres!$A$1:$I$89,5,0)</f>
        <v>1.7735146684572101E-13</v>
      </c>
      <c r="CV119" s="13">
        <f t="shared" si="95"/>
        <v>2.4924271921531257E-12</v>
      </c>
      <c r="CW119" s="20">
        <f t="shared" si="67"/>
        <v>4.6498644977563242E-12</v>
      </c>
      <c r="CX119" s="59">
        <f t="shared" si="68"/>
        <v>293.33333333333798</v>
      </c>
      <c r="CY119" s="59">
        <f ca="1">AVERAGE(OFFSET($CX$3,0,0,'Données projet'!$E$13+1,1))-AVERAGE(OFFSET($H$3,0,0,'Données projet'!$E$13+1,1))</f>
        <v>274.37717856763146</v>
      </c>
      <c r="CZ119" s="59">
        <f t="shared" si="96"/>
        <v>264.17357326498581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2.422165767683644E-12</v>
      </c>
      <c r="DI119" s="22">
        <f t="shared" si="69"/>
        <v>2.422165767683644E-12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-1.7053025658242404E-13</v>
      </c>
      <c r="DP119" s="17">
        <f>DO119*VLOOKUP('Données projet'!$B$14,Paramètres!$A$1:$I$89,3,0)*VLOOKUP('Données projet'!$B$14,Paramètres!$A$1:$I$89,5,0)</f>
        <v>-1.383341441396624E-13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304.26232113495314</v>
      </c>
      <c r="DU119" s="59">
        <f t="shared" si="98"/>
        <v>297.47246687305056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51.669811860825824</v>
      </c>
      <c r="EB119" s="21">
        <f>EXP(-LN(2)/25)*EB118+(1-EXP(-LN(2)/25))/(LN(2)/25)*Calculateur!DW119*Calculateur!DY119*VLOOKUP('Données projet'!$B$14,Paramètres!$A$1:$I$89,3,0)*0.475*44/12</f>
        <v>1.065551328010006</v>
      </c>
      <c r="EC119" s="21">
        <f>EXP(-LN(2)/2)*EC118+(1-EXP(-LN(2)/2))/(LN(2)/2)*DW119*DZ119*VLOOKUP('Données projet'!$B$14,Paramètres!$A$1:$I$89,3,0)*0.475*44/12</f>
        <v>1.6185401664651412E-4</v>
      </c>
      <c r="ED119" s="22">
        <f t="shared" si="72"/>
        <v>52.73552504285248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2.5715962692629546E-13</v>
      </c>
      <c r="P120" s="13">
        <f t="shared" si="87"/>
        <v>3.4610450122128953E-12</v>
      </c>
      <c r="Q120" s="20">
        <f t="shared" si="107"/>
        <v>6.4758730798340893E-12</v>
      </c>
      <c r="R120" s="59">
        <f t="shared" si="55"/>
        <v>293.33333333333979</v>
      </c>
      <c r="S120" s="59">
        <f ca="1">AVERAGE(OFFSET($R$3,0,0,'Données projet'!$E$9+1,1))-AVERAGE(OFFSET($H$3,0,0,'Données projet'!$E$9+1,1))</f>
        <v>344.4940855044307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6.1529809514463381E-13</v>
      </c>
      <c r="AC120" s="22">
        <f t="shared" si="57"/>
        <v>6.1529809514463381E-13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-1.1439169611549005E-13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246.71489737733248</v>
      </c>
      <c r="AO120" s="59">
        <f t="shared" si="90"/>
        <v>185.03615139960783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-2.7489477361086758E-14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211.98817606983374</v>
      </c>
      <c r="BJ120" s="59">
        <f t="shared" si="92"/>
        <v>154.0840647586964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-2.8421709430404007E-14</v>
      </c>
      <c r="BZ120" s="13">
        <f>BY120*VLOOKUP('Données projet'!$B$12,Paramètres!$A$1:$I$89,3,0)*VLOOKUP('Données projet'!$B$12,Paramètres!$A$1:$I$89,5,0)</f>
        <v>-3.0593128030886874E-14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231.89176215692947</v>
      </c>
      <c r="CE120" s="59">
        <f t="shared" si="94"/>
        <v>166.97658184507787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2.2737367544323206E-13</v>
      </c>
      <c r="CU120" s="17">
        <f>CT120*VLOOKUP('Données projet'!$B$13,Paramètres!$A$1:$I$89,3,0)*VLOOKUP('Données projet'!$B$13,Paramètres!$A$1:$I$89,5,0)</f>
        <v>1.7735146684572101E-13</v>
      </c>
      <c r="CV120" s="13">
        <f t="shared" si="95"/>
        <v>2.4924271921531257E-12</v>
      </c>
      <c r="CW120" s="20">
        <f t="shared" si="67"/>
        <v>4.6498644977563242E-12</v>
      </c>
      <c r="CX120" s="59">
        <f t="shared" si="68"/>
        <v>293.33333333333798</v>
      </c>
      <c r="CY120" s="59">
        <f ca="1">AVERAGE(OFFSET($CX$3,0,0,'Données projet'!$E$13+1,1))-AVERAGE(OFFSET($H$3,0,0,'Données projet'!$E$13+1,1))</f>
        <v>274.37717856763146</v>
      </c>
      <c r="CZ120" s="59">
        <f t="shared" si="96"/>
        <v>264.17357326498581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1.7127298394870244E-12</v>
      </c>
      <c r="DI120" s="22">
        <f t="shared" si="69"/>
        <v>1.7127298394870244E-12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-1.7053025658242404E-13</v>
      </c>
      <c r="DP120" s="17">
        <f>DO120*VLOOKUP('Données projet'!$B$14,Paramètres!$A$1:$I$89,3,0)*VLOOKUP('Données projet'!$B$14,Paramètres!$A$1:$I$89,5,0)</f>
        <v>-1.383341441396624E-13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304.26232113495314</v>
      </c>
      <c r="DU120" s="59">
        <f t="shared" si="98"/>
        <v>297.47246687305056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50.656598365708369</v>
      </c>
      <c r="EB120" s="21">
        <f>EXP(-LN(2)/25)*EB119+(1-EXP(-LN(2)/25))/(LN(2)/25)*Calculateur!DW120*Calculateur!DY120*VLOOKUP('Données projet'!$B$14,Paramètres!$A$1:$I$89,3,0)*0.475*44/12</f>
        <v>1.0364137709106633</v>
      </c>
      <c r="EC120" s="21">
        <f>EXP(-LN(2)/2)*EC119+(1-EXP(-LN(2)/2))/(LN(2)/2)*DW120*DZ120*VLOOKUP('Données projet'!$B$14,Paramètres!$A$1:$I$89,3,0)*0.475*44/12</f>
        <v>1.1444807273303049E-4</v>
      </c>
      <c r="ED120" s="22">
        <f t="shared" si="72"/>
        <v>51.693126584691768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2.5715962692629546E-13</v>
      </c>
      <c r="P121" s="13">
        <f t="shared" si="87"/>
        <v>3.4610450122128953E-12</v>
      </c>
      <c r="Q121" s="20">
        <f t="shared" si="107"/>
        <v>6.4758730798340893E-12</v>
      </c>
      <c r="R121" s="59">
        <f t="shared" si="55"/>
        <v>293.33333333333979</v>
      </c>
      <c r="S121" s="59">
        <f ca="1">AVERAGE(OFFSET($R$3,0,0,'Données projet'!$E$9+1,1))-AVERAGE(OFFSET($H$3,0,0,'Données projet'!$E$9+1,1))</f>
        <v>344.4940855044307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4.3508145552793608E-13</v>
      </c>
      <c r="AC121" s="22">
        <f t="shared" si="57"/>
        <v>4.3508145552793608E-13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-1.1439169611549005E-13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246.71489737733248</v>
      </c>
      <c r="AO121" s="59">
        <f t="shared" si="90"/>
        <v>185.03615139960783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-2.7489477361086758E-14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211.98817606983374</v>
      </c>
      <c r="BJ121" s="59">
        <f t="shared" si="92"/>
        <v>154.0840647586964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-2.8421709430404007E-14</v>
      </c>
      <c r="BZ121" s="13">
        <f>BY121*VLOOKUP('Données projet'!$B$12,Paramètres!$A$1:$I$89,3,0)*VLOOKUP('Données projet'!$B$12,Paramètres!$A$1:$I$89,5,0)</f>
        <v>-3.0593128030886874E-14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231.89176215692947</v>
      </c>
      <c r="CE121" s="59">
        <f t="shared" si="94"/>
        <v>166.97658184507787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2.2737367544323206E-13</v>
      </c>
      <c r="CU121" s="17">
        <f>CT121*VLOOKUP('Données projet'!$B$13,Paramètres!$A$1:$I$89,3,0)*VLOOKUP('Données projet'!$B$13,Paramètres!$A$1:$I$89,5,0)</f>
        <v>1.7735146684572101E-13</v>
      </c>
      <c r="CV121" s="13">
        <f t="shared" si="95"/>
        <v>2.4924271921531257E-12</v>
      </c>
      <c r="CW121" s="20">
        <f t="shared" si="67"/>
        <v>4.6498644977563242E-12</v>
      </c>
      <c r="CX121" s="59">
        <f t="shared" si="68"/>
        <v>293.33333333333798</v>
      </c>
      <c r="CY121" s="59">
        <f ca="1">AVERAGE(OFFSET($CX$3,0,0,'Données projet'!$E$13+1,1))-AVERAGE(OFFSET($H$3,0,0,'Données projet'!$E$13+1,1))</f>
        <v>274.37717856763146</v>
      </c>
      <c r="CZ121" s="59">
        <f t="shared" si="96"/>
        <v>264.17357326498581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1.211082883841822E-12</v>
      </c>
      <c r="DI121" s="22">
        <f t="shared" si="69"/>
        <v>1.211082883841822E-12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-1.7053025658242404E-13</v>
      </c>
      <c r="DP121" s="17">
        <f>DO121*VLOOKUP('Données projet'!$B$14,Paramètres!$A$1:$I$89,3,0)*VLOOKUP('Données projet'!$B$14,Paramètres!$A$1:$I$89,5,0)</f>
        <v>-1.383341441396624E-13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304.26232113495314</v>
      </c>
      <c r="DU121" s="59">
        <f t="shared" si="98"/>
        <v>297.47246687305056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49.663253369230958</v>
      </c>
      <c r="EB121" s="21">
        <f>EXP(-LN(2)/25)*EB120+(1-EXP(-LN(2)/25))/(LN(2)/25)*Calculateur!DW121*Calculateur!DY121*VLOOKUP('Données projet'!$B$14,Paramètres!$A$1:$I$89,3,0)*0.475*44/12</f>
        <v>1.0080729818424798</v>
      </c>
      <c r="EC121" s="21">
        <f>EXP(-LN(2)/2)*EC120+(1-EXP(-LN(2)/2))/(LN(2)/2)*DW121*DZ121*VLOOKUP('Données projet'!$B$14,Paramètres!$A$1:$I$89,3,0)*0.475*44/12</f>
        <v>8.0927008323257075E-5</v>
      </c>
      <c r="ED121" s="22">
        <f t="shared" si="72"/>
        <v>50.671407278081766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2.5715962692629546E-13</v>
      </c>
      <c r="P122" s="13">
        <f t="shared" si="87"/>
        <v>3.4610450122128953E-12</v>
      </c>
      <c r="Q122" s="20">
        <f t="shared" si="107"/>
        <v>6.4758730798340893E-12</v>
      </c>
      <c r="R122" s="59">
        <f t="shared" si="55"/>
        <v>293.33333333333979</v>
      </c>
      <c r="S122" s="59">
        <f ca="1">AVERAGE(OFFSET($R$3,0,0,'Données projet'!$E$9+1,1))-AVERAGE(OFFSET($H$3,0,0,'Données projet'!$E$9+1,1))</f>
        <v>344.4940855044307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3.076490475723169E-13</v>
      </c>
      <c r="AC122" s="22">
        <f t="shared" si="57"/>
        <v>3.076490475723169E-13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-1.1439169611549005E-13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246.71489737733248</v>
      </c>
      <c r="AO122" s="59">
        <f t="shared" si="90"/>
        <v>185.03615139960783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-2.7489477361086758E-14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211.98817606983374</v>
      </c>
      <c r="BJ122" s="59">
        <f t="shared" si="92"/>
        <v>154.0840647586964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-2.8421709430404007E-14</v>
      </c>
      <c r="BZ122" s="13">
        <f>BY122*VLOOKUP('Données projet'!$B$12,Paramètres!$A$1:$I$89,3,0)*VLOOKUP('Données projet'!$B$12,Paramètres!$A$1:$I$89,5,0)</f>
        <v>-3.0593128030886874E-14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231.89176215692947</v>
      </c>
      <c r="CE122" s="59">
        <f t="shared" si="94"/>
        <v>166.97658184507787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2.2737367544323206E-13</v>
      </c>
      <c r="CU122" s="17">
        <f>CT122*VLOOKUP('Données projet'!$B$13,Paramètres!$A$1:$I$89,3,0)*VLOOKUP('Données projet'!$B$13,Paramètres!$A$1:$I$89,5,0)</f>
        <v>1.7735146684572101E-13</v>
      </c>
      <c r="CV122" s="13">
        <f t="shared" si="95"/>
        <v>2.4924271921531257E-12</v>
      </c>
      <c r="CW122" s="20">
        <f t="shared" si="67"/>
        <v>4.6498644977563242E-12</v>
      </c>
      <c r="CX122" s="59">
        <f t="shared" si="68"/>
        <v>293.33333333333798</v>
      </c>
      <c r="CY122" s="59">
        <f ca="1">AVERAGE(OFFSET($CX$3,0,0,'Données projet'!$E$13+1,1))-AVERAGE(OFFSET($H$3,0,0,'Données projet'!$E$13+1,1))</f>
        <v>274.37717856763146</v>
      </c>
      <c r="CZ122" s="59">
        <f t="shared" si="96"/>
        <v>264.17357326498581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8.5636491974351218E-13</v>
      </c>
      <c r="DI122" s="22">
        <f t="shared" si="69"/>
        <v>8.5636491974351218E-13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-1.7053025658242404E-13</v>
      </c>
      <c r="DP122" s="17">
        <f>DO122*VLOOKUP('Données projet'!$B$14,Paramètres!$A$1:$I$89,3,0)*VLOOKUP('Données projet'!$B$14,Paramètres!$A$1:$I$89,5,0)</f>
        <v>-1.383341441396624E-13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304.26232113495314</v>
      </c>
      <c r="DU122" s="59">
        <f t="shared" si="98"/>
        <v>297.47246687305056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48.689387262253845</v>
      </c>
      <c r="EB122" s="21">
        <f>EXP(-LN(2)/25)*EB121+(1-EXP(-LN(2)/25))/(LN(2)/25)*Calculateur!DW122*Calculateur!DY122*VLOOKUP('Données projet'!$B$14,Paramètres!$A$1:$I$89,3,0)*0.475*44/12</f>
        <v>0.98050717314174307</v>
      </c>
      <c r="EC122" s="21">
        <f>EXP(-LN(2)/2)*EC121+(1-EXP(-LN(2)/2))/(LN(2)/2)*DW122*DZ122*VLOOKUP('Données projet'!$B$14,Paramètres!$A$1:$I$89,3,0)*0.475*44/12</f>
        <v>5.7224036366515254E-5</v>
      </c>
      <c r="ED122" s="22">
        <f t="shared" si="72"/>
        <v>49.669951659431959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2.5715962692629546E-13</v>
      </c>
      <c r="P123" s="13">
        <f t="shared" si="87"/>
        <v>3.4610450122128953E-12</v>
      </c>
      <c r="Q123" s="20">
        <f t="shared" si="107"/>
        <v>6.4758730798340893E-12</v>
      </c>
      <c r="R123" s="59">
        <f t="shared" si="55"/>
        <v>293.33333333333979</v>
      </c>
      <c r="S123" s="59">
        <f ca="1">AVERAGE(OFFSET($R$3,0,0,'Données projet'!$E$9+1,1))-AVERAGE(OFFSET($H$3,0,0,'Données projet'!$E$9+1,1))</f>
        <v>344.4940855044307</v>
      </c>
      <c r="T123" s="59">
        <f t="shared" si="88"/>
        <v>231.36959598460686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2.1754072776396804E-13</v>
      </c>
      <c r="AC123" s="22">
        <f t="shared" si="57"/>
        <v>2.1754072776396804E-13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-1.1439169611549005E-13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246.71489737733248</v>
      </c>
      <c r="AO123" s="59">
        <f t="shared" si="90"/>
        <v>185.03615139960783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-2.7489477361086758E-14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211.98817606983374</v>
      </c>
      <c r="BJ123" s="59">
        <f t="shared" si="92"/>
        <v>154.0840647586964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-2.8421709430404007E-14</v>
      </c>
      <c r="BZ123" s="13">
        <f>BY123*VLOOKUP('Données projet'!$B$12,Paramètres!$A$1:$I$89,3,0)*VLOOKUP('Données projet'!$B$12,Paramètres!$A$1:$I$89,5,0)</f>
        <v>-3.0593128030886874E-14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231.89176215692947</v>
      </c>
      <c r="CE123" s="59">
        <f t="shared" si="94"/>
        <v>166.97658184507787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2.2737367544323206E-13</v>
      </c>
      <c r="CU123" s="17">
        <f>CT123*VLOOKUP('Données projet'!$B$13,Paramètres!$A$1:$I$89,3,0)*VLOOKUP('Données projet'!$B$13,Paramètres!$A$1:$I$89,5,0)</f>
        <v>1.7735146684572101E-13</v>
      </c>
      <c r="CV123" s="13">
        <f t="shared" si="95"/>
        <v>2.4924271921531257E-12</v>
      </c>
      <c r="CW123" s="20">
        <f t="shared" si="67"/>
        <v>4.6498644977563242E-12</v>
      </c>
      <c r="CX123" s="59">
        <f t="shared" si="68"/>
        <v>293.33333333333798</v>
      </c>
      <c r="CY123" s="59">
        <f ca="1">AVERAGE(OFFSET($CX$3,0,0,'Données projet'!$E$13+1,1))-AVERAGE(OFFSET($H$3,0,0,'Données projet'!$E$13+1,1))</f>
        <v>274.37717856763146</v>
      </c>
      <c r="CZ123" s="59">
        <f t="shared" si="96"/>
        <v>264.17357326498581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6.0554144192091099E-13</v>
      </c>
      <c r="DI123" s="22">
        <f t="shared" si="69"/>
        <v>6.0554144192091099E-13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-1.7053025658242404E-13</v>
      </c>
      <c r="DP123" s="17">
        <f>DO123*VLOOKUP('Données projet'!$B$14,Paramètres!$A$1:$I$89,3,0)*VLOOKUP('Données projet'!$B$14,Paramètres!$A$1:$I$89,5,0)</f>
        <v>-1.383341441396624E-13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304.26232113495314</v>
      </c>
      <c r="DU123" s="59">
        <f t="shared" si="98"/>
        <v>297.47246687305056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47.734618075634884</v>
      </c>
      <c r="EB123" s="21">
        <f>EXP(-LN(2)/25)*EB122+(1-EXP(-LN(2)/25))/(LN(2)/25)*Calculateur!DW123*Calculateur!DY123*VLOOKUP('Données projet'!$B$14,Paramètres!$A$1:$I$89,3,0)*0.475*44/12</f>
        <v>0.95369515292955087</v>
      </c>
      <c r="EC123" s="21">
        <f>EXP(-LN(2)/2)*EC122+(1-EXP(-LN(2)/2))/(LN(2)/2)*DW123*DZ123*VLOOKUP('Données projet'!$B$14,Paramètres!$A$1:$I$89,3,0)*0.475*44/12</f>
        <v>4.0463504161628544E-5</v>
      </c>
      <c r="ED123" s="22">
        <f t="shared" si="72"/>
        <v>48.688353692068596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2.5715962692629546E-13</v>
      </c>
      <c r="P124" s="13">
        <f t="shared" si="87"/>
        <v>3.4610450122128953E-12</v>
      </c>
      <c r="Q124" s="20">
        <f t="shared" si="107"/>
        <v>6.4758730798340893E-12</v>
      </c>
      <c r="R124" s="59">
        <f t="shared" si="55"/>
        <v>293.33333333333979</v>
      </c>
      <c r="S124" s="59">
        <f ca="1">AVERAGE(OFFSET($R$3,0,0,'Données projet'!$E$9+1,1))-AVERAGE(OFFSET($H$3,0,0,'Données projet'!$E$9+1,1))</f>
        <v>344.4940855044307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1.5382452378615845E-13</v>
      </c>
      <c r="AC124" s="22">
        <f t="shared" si="57"/>
        <v>1.5382452378615845E-13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-1.1439169611549005E-13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246.71489737733248</v>
      </c>
      <c r="AO124" s="59">
        <f t="shared" si="90"/>
        <v>185.03615139960783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-2.7489477361086758E-14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211.98817606983374</v>
      </c>
      <c r="BJ124" s="59">
        <f t="shared" si="92"/>
        <v>154.0840647586964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-2.8421709430404007E-14</v>
      </c>
      <c r="BZ124" s="13">
        <f>BY124*VLOOKUP('Données projet'!$B$12,Paramètres!$A$1:$I$89,3,0)*VLOOKUP('Données projet'!$B$12,Paramètres!$A$1:$I$89,5,0)</f>
        <v>-3.0593128030886874E-14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231.89176215692947</v>
      </c>
      <c r="CE124" s="59">
        <f t="shared" si="94"/>
        <v>166.97658184507787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2.2737367544323206E-13</v>
      </c>
      <c r="CU124" s="17">
        <f>CT124*VLOOKUP('Données projet'!$B$13,Paramètres!$A$1:$I$89,3,0)*VLOOKUP('Données projet'!$B$13,Paramètres!$A$1:$I$89,5,0)</f>
        <v>1.7735146684572101E-13</v>
      </c>
      <c r="CV124" s="13">
        <f t="shared" si="95"/>
        <v>2.4924271921531257E-12</v>
      </c>
      <c r="CW124" s="20">
        <f t="shared" si="67"/>
        <v>4.6498644977563242E-12</v>
      </c>
      <c r="CX124" s="59">
        <f t="shared" si="68"/>
        <v>293.33333333333798</v>
      </c>
      <c r="CY124" s="59">
        <f ca="1">AVERAGE(OFFSET($CX$3,0,0,'Données projet'!$E$13+1,1))-AVERAGE(OFFSET($H$3,0,0,'Données projet'!$E$13+1,1))</f>
        <v>274.37717856763146</v>
      </c>
      <c r="CZ124" s="59">
        <f t="shared" si="96"/>
        <v>264.17357326498581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4.2818245987175609E-13</v>
      </c>
      <c r="DI124" s="22">
        <f t="shared" si="69"/>
        <v>4.2818245987175609E-13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-1.7053025658242404E-13</v>
      </c>
      <c r="DP124" s="17">
        <f>DO124*VLOOKUP('Données projet'!$B$14,Paramètres!$A$1:$I$89,3,0)*VLOOKUP('Données projet'!$B$14,Paramètres!$A$1:$I$89,5,0)</f>
        <v>-1.383341441396624E-13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304.26232113495314</v>
      </c>
      <c r="DU124" s="59">
        <f t="shared" si="98"/>
        <v>297.47246687305056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46.798571330413822</v>
      </c>
      <c r="EB124" s="21">
        <f>EXP(-LN(2)/25)*EB123+(1-EXP(-LN(2)/25))/(LN(2)/25)*Calculateur!DW124*Calculateur!DY124*VLOOKUP('Données projet'!$B$14,Paramètres!$A$1:$I$89,3,0)*0.475*44/12</f>
        <v>0.92761630882004387</v>
      </c>
      <c r="EC124" s="21">
        <f>EXP(-LN(2)/2)*EC123+(1-EXP(-LN(2)/2))/(LN(2)/2)*DW124*DZ124*VLOOKUP('Données projet'!$B$14,Paramètres!$A$1:$I$89,3,0)*0.475*44/12</f>
        <v>2.861201818325763E-5</v>
      </c>
      <c r="ED124" s="22">
        <f t="shared" si="72"/>
        <v>47.726216251252048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2.5715962692629546E-13</v>
      </c>
      <c r="P125" s="13">
        <f t="shared" si="87"/>
        <v>3.4610450122128953E-12</v>
      </c>
      <c r="Q125" s="20">
        <f t="shared" si="107"/>
        <v>6.4758730798340893E-12</v>
      </c>
      <c r="R125" s="59">
        <f t="shared" si="55"/>
        <v>293.33333333333979</v>
      </c>
      <c r="S125" s="59">
        <f ca="1">AVERAGE(OFFSET($R$3,0,0,'Données projet'!$E$9+1,1))-AVERAGE(OFFSET($H$3,0,0,'Données projet'!$E$9+1,1))</f>
        <v>344.4940855044307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1.0877036388198402E-13</v>
      </c>
      <c r="AC125" s="22">
        <f t="shared" si="57"/>
        <v>1.0877036388198402E-13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-1.1439169611549005E-13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246.71489737733248</v>
      </c>
      <c r="AO125" s="59">
        <f t="shared" si="90"/>
        <v>185.03615139960783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-2.7489477361086758E-14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211.98817606983374</v>
      </c>
      <c r="BJ125" s="59">
        <f t="shared" si="92"/>
        <v>154.0840647586964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-2.8421709430404007E-14</v>
      </c>
      <c r="BZ125" s="13">
        <f>BY125*VLOOKUP('Données projet'!$B$12,Paramètres!$A$1:$I$89,3,0)*VLOOKUP('Données projet'!$B$12,Paramètres!$A$1:$I$89,5,0)</f>
        <v>-3.0593128030886874E-14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231.89176215692947</v>
      </c>
      <c r="CE125" s="59">
        <f t="shared" si="94"/>
        <v>166.97658184507787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2.2737367544323206E-13</v>
      </c>
      <c r="CU125" s="17">
        <f>CT125*VLOOKUP('Données projet'!$B$13,Paramètres!$A$1:$I$89,3,0)*VLOOKUP('Données projet'!$B$13,Paramètres!$A$1:$I$89,5,0)</f>
        <v>1.7735146684572101E-13</v>
      </c>
      <c r="CV125" s="13">
        <f t="shared" si="95"/>
        <v>2.4924271921531257E-12</v>
      </c>
      <c r="CW125" s="20">
        <f t="shared" si="67"/>
        <v>4.6498644977563242E-12</v>
      </c>
      <c r="CX125" s="59">
        <f t="shared" si="68"/>
        <v>293.33333333333798</v>
      </c>
      <c r="CY125" s="59">
        <f ca="1">AVERAGE(OFFSET($CX$3,0,0,'Données projet'!$E$13+1,1))-AVERAGE(OFFSET($H$3,0,0,'Données projet'!$E$13+1,1))</f>
        <v>274.37717856763146</v>
      </c>
      <c r="CZ125" s="59">
        <f t="shared" si="96"/>
        <v>264.17357326498581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3.027707209604555E-13</v>
      </c>
      <c r="DI125" s="22">
        <f t="shared" si="69"/>
        <v>3.027707209604555E-13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-1.7053025658242404E-13</v>
      </c>
      <c r="DP125" s="17">
        <f>DO125*VLOOKUP('Données projet'!$B$14,Paramètres!$A$1:$I$89,3,0)*VLOOKUP('Données projet'!$B$14,Paramètres!$A$1:$I$89,5,0)</f>
        <v>-1.383341441396624E-13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304.26232113495314</v>
      </c>
      <c r="DU125" s="59">
        <f t="shared" si="98"/>
        <v>297.47246687305056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45.880879890934402</v>
      </c>
      <c r="EB125" s="21">
        <f>EXP(-LN(2)/25)*EB124+(1-EXP(-LN(2)/25))/(LN(2)/25)*Calculateur!DW125*Calculateur!DY125*VLOOKUP('Données projet'!$B$14,Paramètres!$A$1:$I$89,3,0)*0.475*44/12</f>
        <v>0.90225059207413816</v>
      </c>
      <c r="EC125" s="21">
        <f>EXP(-LN(2)/2)*EC124+(1-EXP(-LN(2)/2))/(LN(2)/2)*DW125*DZ125*VLOOKUP('Données projet'!$B$14,Paramètres!$A$1:$I$89,3,0)*0.475*44/12</f>
        <v>2.0231752080814272E-5</v>
      </c>
      <c r="ED125" s="22">
        <f t="shared" si="72"/>
        <v>46.783150714760623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2.5715962692629546E-13</v>
      </c>
      <c r="P126" s="13">
        <f t="shared" si="87"/>
        <v>3.4610450122128953E-12</v>
      </c>
      <c r="Q126" s="20">
        <f t="shared" si="107"/>
        <v>6.4758730798340893E-12</v>
      </c>
      <c r="R126" s="59">
        <f t="shared" si="55"/>
        <v>293.33333333333979</v>
      </c>
      <c r="S126" s="59">
        <f ca="1">AVERAGE(OFFSET($R$3,0,0,'Données projet'!$E$9+1,1))-AVERAGE(OFFSET($H$3,0,0,'Données projet'!$E$9+1,1))</f>
        <v>344.4940855044307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7.6912261893079226E-14</v>
      </c>
      <c r="AC126" s="22">
        <f t="shared" si="57"/>
        <v>7.6912261893079226E-14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-1.1439169611549005E-13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246.71489737733248</v>
      </c>
      <c r="AO126" s="59">
        <f t="shared" si="90"/>
        <v>185.03615139960783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-2.7489477361086758E-14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211.98817606983374</v>
      </c>
      <c r="BJ126" s="59">
        <f t="shared" si="92"/>
        <v>154.0840647586964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-2.8421709430404007E-14</v>
      </c>
      <c r="BZ126" s="13">
        <f>BY126*VLOOKUP('Données projet'!$B$12,Paramètres!$A$1:$I$89,3,0)*VLOOKUP('Données projet'!$B$12,Paramètres!$A$1:$I$89,5,0)</f>
        <v>-3.0593128030886874E-14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231.89176215692947</v>
      </c>
      <c r="CE126" s="59">
        <f t="shared" si="94"/>
        <v>166.97658184507787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2.2737367544323206E-13</v>
      </c>
      <c r="CU126" s="17">
        <f>CT126*VLOOKUP('Données projet'!$B$13,Paramètres!$A$1:$I$89,3,0)*VLOOKUP('Données projet'!$B$13,Paramètres!$A$1:$I$89,5,0)</f>
        <v>1.7735146684572101E-13</v>
      </c>
      <c r="CV126" s="13">
        <f t="shared" si="95"/>
        <v>2.4924271921531257E-12</v>
      </c>
      <c r="CW126" s="20">
        <f t="shared" si="67"/>
        <v>4.6498644977563242E-12</v>
      </c>
      <c r="CX126" s="59">
        <f t="shared" si="68"/>
        <v>293.33333333333798</v>
      </c>
      <c r="CY126" s="59">
        <f ca="1">AVERAGE(OFFSET($CX$3,0,0,'Données projet'!$E$13+1,1))-AVERAGE(OFFSET($H$3,0,0,'Données projet'!$E$13+1,1))</f>
        <v>274.37717856763146</v>
      </c>
      <c r="CZ126" s="59">
        <f t="shared" si="96"/>
        <v>264.17357326498581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2.1409122993587805E-13</v>
      </c>
      <c r="DI126" s="22">
        <f t="shared" si="69"/>
        <v>2.1409122993587805E-13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-1.7053025658242404E-13</v>
      </c>
      <c r="DP126" s="17">
        <f>DO126*VLOOKUP('Données projet'!$B$14,Paramètres!$A$1:$I$89,3,0)*VLOOKUP('Données projet'!$B$14,Paramètres!$A$1:$I$89,5,0)</f>
        <v>-1.383341441396624E-13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304.26232113495314</v>
      </c>
      <c r="DU126" s="59">
        <f t="shared" si="98"/>
        <v>297.47246687305056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44.981183820846667</v>
      </c>
      <c r="EB126" s="21">
        <f>EXP(-LN(2)/25)*EB125+(1-EXP(-LN(2)/25))/(LN(2)/25)*Calculateur!DW126*Calculateur!DY126*VLOOKUP('Données projet'!$B$14,Paramètres!$A$1:$I$89,3,0)*0.475*44/12</f>
        <v>0.87757850218657429</v>
      </c>
      <c r="EC126" s="21">
        <f>EXP(-LN(2)/2)*EC125+(1-EXP(-LN(2)/2))/(LN(2)/2)*DW126*DZ126*VLOOKUP('Données projet'!$B$14,Paramètres!$A$1:$I$89,3,0)*0.475*44/12</f>
        <v>1.4306009091628815E-5</v>
      </c>
      <c r="ED126" s="22">
        <f t="shared" si="72"/>
        <v>45.858776629042332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2.5715962692629546E-13</v>
      </c>
      <c r="P127" s="13">
        <f t="shared" si="87"/>
        <v>3.4610450122128953E-12</v>
      </c>
      <c r="Q127" s="20">
        <f t="shared" si="107"/>
        <v>6.4758730798340893E-12</v>
      </c>
      <c r="R127" s="59">
        <f t="shared" si="55"/>
        <v>293.33333333333979</v>
      </c>
      <c r="S127" s="59">
        <f ca="1">AVERAGE(OFFSET($R$3,0,0,'Données projet'!$E$9+1,1))-AVERAGE(OFFSET($H$3,0,0,'Données projet'!$E$9+1,1))</f>
        <v>344.4940855044307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5.438518194099201E-14</v>
      </c>
      <c r="AC127" s="22">
        <f t="shared" si="57"/>
        <v>5.438518194099201E-14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-1.1439169611549005E-13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246.71489737733248</v>
      </c>
      <c r="AO127" s="59">
        <f t="shared" si="90"/>
        <v>185.03615139960783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-2.7489477361086758E-14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211.98817606983374</v>
      </c>
      <c r="BJ127" s="59">
        <f t="shared" si="92"/>
        <v>154.0840647586964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-2.8421709430404007E-14</v>
      </c>
      <c r="BZ127" s="13">
        <f>BY127*VLOOKUP('Données projet'!$B$12,Paramètres!$A$1:$I$89,3,0)*VLOOKUP('Données projet'!$B$12,Paramètres!$A$1:$I$89,5,0)</f>
        <v>-3.0593128030886874E-14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231.89176215692947</v>
      </c>
      <c r="CE127" s="59">
        <f t="shared" si="94"/>
        <v>166.97658184507787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2.2737367544323206E-13</v>
      </c>
      <c r="CU127" s="17">
        <f>CT127*VLOOKUP('Données projet'!$B$13,Paramètres!$A$1:$I$89,3,0)*VLOOKUP('Données projet'!$B$13,Paramètres!$A$1:$I$89,5,0)</f>
        <v>1.7735146684572101E-13</v>
      </c>
      <c r="CV127" s="13">
        <f t="shared" si="95"/>
        <v>2.4924271921531257E-12</v>
      </c>
      <c r="CW127" s="20">
        <f t="shared" si="67"/>
        <v>4.6498644977563242E-12</v>
      </c>
      <c r="CX127" s="59">
        <f t="shared" si="68"/>
        <v>293.33333333333798</v>
      </c>
      <c r="CY127" s="59">
        <f ca="1">AVERAGE(OFFSET($CX$3,0,0,'Données projet'!$E$13+1,1))-AVERAGE(OFFSET($H$3,0,0,'Données projet'!$E$13+1,1))</f>
        <v>274.37717856763146</v>
      </c>
      <c r="CZ127" s="59">
        <f t="shared" si="96"/>
        <v>264.17357326498581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1.5138536048022775E-13</v>
      </c>
      <c r="DI127" s="22">
        <f t="shared" si="69"/>
        <v>1.5138536048022775E-13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-1.7053025658242404E-13</v>
      </c>
      <c r="DP127" s="17">
        <f>DO127*VLOOKUP('Données projet'!$B$14,Paramètres!$A$1:$I$89,3,0)*VLOOKUP('Données projet'!$B$14,Paramètres!$A$1:$I$89,5,0)</f>
        <v>-1.383341441396624E-13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304.26232113495314</v>
      </c>
      <c r="DU127" s="59">
        <f t="shared" si="98"/>
        <v>297.47246687305056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44.099130241932933</v>
      </c>
      <c r="EB127" s="21">
        <f>EXP(-LN(2)/25)*EB126+(1-EXP(-LN(2)/25))/(LN(2)/25)*Calculateur!DW127*Calculateur!DY127*VLOOKUP('Données projet'!$B$14,Paramètres!$A$1:$I$89,3,0)*0.475*44/12</f>
        <v>0.85358107189443477</v>
      </c>
      <c r="EC127" s="21">
        <f>EXP(-LN(2)/2)*EC126+(1-EXP(-LN(2)/2))/(LN(2)/2)*DW127*DZ127*VLOOKUP('Données projet'!$B$14,Paramètres!$A$1:$I$89,3,0)*0.475*44/12</f>
        <v>1.0115876040407136E-5</v>
      </c>
      <c r="ED127" s="22">
        <f t="shared" si="72"/>
        <v>44.952721429703402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2.5715962692629546E-13</v>
      </c>
      <c r="P128" s="13">
        <f t="shared" si="87"/>
        <v>3.4610450122128953E-12</v>
      </c>
      <c r="Q128" s="20">
        <f t="shared" si="107"/>
        <v>6.4758730798340893E-12</v>
      </c>
      <c r="R128" s="59">
        <f t="shared" si="55"/>
        <v>293.33333333333979</v>
      </c>
      <c r="S128" s="59">
        <f ca="1">AVERAGE(OFFSET($R$3,0,0,'Données projet'!$E$9+1,1))-AVERAGE(OFFSET($H$3,0,0,'Données projet'!$E$9+1,1))</f>
        <v>344.4940855044307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3.8456130946539613E-14</v>
      </c>
      <c r="AC128" s="22">
        <f t="shared" si="57"/>
        <v>3.8456130946539613E-14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-1.1439169611549005E-13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246.71489737733248</v>
      </c>
      <c r="AO128" s="59">
        <f t="shared" si="90"/>
        <v>185.03615139960783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-2.7489477361086758E-14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211.98817606983374</v>
      </c>
      <c r="BJ128" s="59">
        <f t="shared" si="92"/>
        <v>154.0840647586964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-2.8421709430404007E-14</v>
      </c>
      <c r="BZ128" s="13">
        <f>BY128*VLOOKUP('Données projet'!$B$12,Paramètres!$A$1:$I$89,3,0)*VLOOKUP('Données projet'!$B$12,Paramètres!$A$1:$I$89,5,0)</f>
        <v>-3.0593128030886874E-14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231.89176215692947</v>
      </c>
      <c r="CE128" s="59">
        <f t="shared" si="94"/>
        <v>166.97658184507787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2.2737367544323206E-13</v>
      </c>
      <c r="CU128" s="17">
        <f>CT128*VLOOKUP('Données projet'!$B$13,Paramètres!$A$1:$I$89,3,0)*VLOOKUP('Données projet'!$B$13,Paramètres!$A$1:$I$89,5,0)</f>
        <v>1.7735146684572101E-13</v>
      </c>
      <c r="CV128" s="13">
        <f t="shared" si="95"/>
        <v>2.4924271921531257E-12</v>
      </c>
      <c r="CW128" s="20">
        <f t="shared" si="67"/>
        <v>4.6498644977563242E-12</v>
      </c>
      <c r="CX128" s="59">
        <f t="shared" si="68"/>
        <v>293.33333333333798</v>
      </c>
      <c r="CY128" s="59">
        <f ca="1">AVERAGE(OFFSET($CX$3,0,0,'Données projet'!$E$13+1,1))-AVERAGE(OFFSET($H$3,0,0,'Données projet'!$E$13+1,1))</f>
        <v>274.37717856763146</v>
      </c>
      <c r="CZ128" s="59">
        <f t="shared" si="96"/>
        <v>264.17357326498581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1.0704561496793902E-13</v>
      </c>
      <c r="DI128" s="22">
        <f t="shared" si="69"/>
        <v>1.0704561496793902E-13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-1.7053025658242404E-13</v>
      </c>
      <c r="DP128" s="17">
        <f>DO128*VLOOKUP('Données projet'!$B$14,Paramètres!$A$1:$I$89,3,0)*VLOOKUP('Données projet'!$B$14,Paramètres!$A$1:$I$89,5,0)</f>
        <v>-1.383341441396624E-13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304.26232113495314</v>
      </c>
      <c r="DU128" s="59">
        <f t="shared" si="98"/>
        <v>297.47246687305056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43.23437319570214</v>
      </c>
      <c r="EB128" s="21">
        <f>EXP(-LN(2)/25)*EB127+(1-EXP(-LN(2)/25))/(LN(2)/25)*Calculateur!DW128*Calculateur!DY128*VLOOKUP('Données projet'!$B$14,Paramètres!$A$1:$I$89,3,0)*0.475*44/12</f>
        <v>0.83023985259560373</v>
      </c>
      <c r="EC128" s="21">
        <f>EXP(-LN(2)/2)*EC127+(1-EXP(-LN(2)/2))/(LN(2)/2)*DW128*DZ128*VLOOKUP('Données projet'!$B$14,Paramètres!$A$1:$I$89,3,0)*0.475*44/12</f>
        <v>7.1530045458144076E-6</v>
      </c>
      <c r="ED128" s="22">
        <f t="shared" si="72"/>
        <v>44.06462020130229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2.5715962692629546E-13</v>
      </c>
      <c r="P129" s="13">
        <f t="shared" si="87"/>
        <v>3.4610450122128953E-12</v>
      </c>
      <c r="Q129" s="20">
        <f t="shared" si="107"/>
        <v>6.4758730798340893E-12</v>
      </c>
      <c r="R129" s="59">
        <f t="shared" si="55"/>
        <v>293.33333333333979</v>
      </c>
      <c r="S129" s="59">
        <f ca="1">AVERAGE(OFFSET($R$3,0,0,'Données projet'!$E$9+1,1))-AVERAGE(OFFSET($H$3,0,0,'Données projet'!$E$9+1,1))</f>
        <v>344.4940855044307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2.7192590970496005E-14</v>
      </c>
      <c r="AC129" s="22">
        <f t="shared" si="57"/>
        <v>2.7192590970496005E-14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-1.1439169611549005E-13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246.71489737733248</v>
      </c>
      <c r="AO129" s="59">
        <f t="shared" si="90"/>
        <v>185.03615139960783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-2.7489477361086758E-14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211.98817606983374</v>
      </c>
      <c r="BJ129" s="59">
        <f t="shared" si="92"/>
        <v>154.0840647586964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-2.8421709430404007E-14</v>
      </c>
      <c r="BZ129" s="13">
        <f>BY129*VLOOKUP('Données projet'!$B$12,Paramètres!$A$1:$I$89,3,0)*VLOOKUP('Données projet'!$B$12,Paramètres!$A$1:$I$89,5,0)</f>
        <v>-3.0593128030886874E-14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231.89176215692947</v>
      </c>
      <c r="CE129" s="59">
        <f t="shared" si="94"/>
        <v>166.97658184507787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2.2737367544323206E-13</v>
      </c>
      <c r="CU129" s="17">
        <f>CT129*VLOOKUP('Données projet'!$B$13,Paramètres!$A$1:$I$89,3,0)*VLOOKUP('Données projet'!$B$13,Paramètres!$A$1:$I$89,5,0)</f>
        <v>1.7735146684572101E-13</v>
      </c>
      <c r="CV129" s="13">
        <f t="shared" si="95"/>
        <v>2.4924271921531257E-12</v>
      </c>
      <c r="CW129" s="20">
        <f t="shared" si="67"/>
        <v>4.6498644977563242E-12</v>
      </c>
      <c r="CX129" s="59">
        <f t="shared" si="68"/>
        <v>293.33333333333798</v>
      </c>
      <c r="CY129" s="59">
        <f ca="1">AVERAGE(OFFSET($CX$3,0,0,'Données projet'!$E$13+1,1))-AVERAGE(OFFSET($H$3,0,0,'Données projet'!$E$13+1,1))</f>
        <v>274.37717856763146</v>
      </c>
      <c r="CZ129" s="59">
        <f t="shared" si="96"/>
        <v>264.17357326498581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7.5692680240113874E-14</v>
      </c>
      <c r="DI129" s="22">
        <f t="shared" si="69"/>
        <v>7.5692680240113874E-14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-1.7053025658242404E-13</v>
      </c>
      <c r="DP129" s="17">
        <f>DO129*VLOOKUP('Données projet'!$B$14,Paramètres!$A$1:$I$89,3,0)*VLOOKUP('Données projet'!$B$14,Paramètres!$A$1:$I$89,5,0)</f>
        <v>-1.383341441396624E-13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304.26232113495314</v>
      </c>
      <c r="DU129" s="59">
        <f t="shared" si="98"/>
        <v>297.47246687305056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42.386573507698216</v>
      </c>
      <c r="EB129" s="21">
        <f>EXP(-LN(2)/25)*EB128+(1-EXP(-LN(2)/25))/(LN(2)/25)*Calculateur!DW129*Calculateur!DY129*VLOOKUP('Données projet'!$B$14,Paramètres!$A$1:$I$89,3,0)*0.475*44/12</f>
        <v>0.80753690016596069</v>
      </c>
      <c r="EC129" s="21">
        <f>EXP(-LN(2)/2)*EC128+(1-EXP(-LN(2)/2))/(LN(2)/2)*DW129*DZ129*VLOOKUP('Données projet'!$B$14,Paramètres!$A$1:$I$89,3,0)*0.475*44/12</f>
        <v>5.057938020203568E-6</v>
      </c>
      <c r="ED129" s="22">
        <f t="shared" si="72"/>
        <v>43.194115465802199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2.5715962692629546E-13</v>
      </c>
      <c r="P130" s="13">
        <f t="shared" si="87"/>
        <v>3.4610450122128953E-12</v>
      </c>
      <c r="Q130" s="20">
        <f t="shared" si="107"/>
        <v>6.4758730798340893E-12</v>
      </c>
      <c r="R130" s="59">
        <f t="shared" si="55"/>
        <v>293.33333333333979</v>
      </c>
      <c r="S130" s="59">
        <f ca="1">AVERAGE(OFFSET($R$3,0,0,'Données projet'!$E$9+1,1))-AVERAGE(OFFSET($H$3,0,0,'Données projet'!$E$9+1,1))</f>
        <v>344.4940855044307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1.9228065473269806E-14</v>
      </c>
      <c r="AC130" s="22">
        <f t="shared" si="57"/>
        <v>1.9228065473269806E-14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-1.1439169611549005E-13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246.71489737733248</v>
      </c>
      <c r="AO130" s="59">
        <f t="shared" si="90"/>
        <v>185.03615139960783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-2.7489477361086758E-14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211.98817606983374</v>
      </c>
      <c r="BJ130" s="59">
        <f t="shared" si="92"/>
        <v>154.0840647586964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-2.8421709430404007E-14</v>
      </c>
      <c r="BZ130" s="13">
        <f>BY130*VLOOKUP('Données projet'!$B$12,Paramètres!$A$1:$I$89,3,0)*VLOOKUP('Données projet'!$B$12,Paramètres!$A$1:$I$89,5,0)</f>
        <v>-3.0593128030886874E-14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231.89176215692947</v>
      </c>
      <c r="CE130" s="59">
        <f t="shared" si="94"/>
        <v>166.97658184507787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2.2737367544323206E-13</v>
      </c>
      <c r="CU130" s="17">
        <f>CT130*VLOOKUP('Données projet'!$B$13,Paramètres!$A$1:$I$89,3,0)*VLOOKUP('Données projet'!$B$13,Paramètres!$A$1:$I$89,5,0)</f>
        <v>1.7735146684572101E-13</v>
      </c>
      <c r="CV130" s="13">
        <f t="shared" si="95"/>
        <v>2.4924271921531257E-12</v>
      </c>
      <c r="CW130" s="20">
        <f t="shared" si="67"/>
        <v>4.6498644977563242E-12</v>
      </c>
      <c r="CX130" s="59">
        <f t="shared" si="68"/>
        <v>293.33333333333798</v>
      </c>
      <c r="CY130" s="59">
        <f ca="1">AVERAGE(OFFSET($CX$3,0,0,'Données projet'!$E$13+1,1))-AVERAGE(OFFSET($H$3,0,0,'Données projet'!$E$13+1,1))</f>
        <v>274.37717856763146</v>
      </c>
      <c r="CZ130" s="59">
        <f t="shared" si="96"/>
        <v>264.17357326498581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5.3522807483969512E-14</v>
      </c>
      <c r="DI130" s="22">
        <f t="shared" si="69"/>
        <v>5.3522807483969512E-14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-1.7053025658242404E-13</v>
      </c>
      <c r="DP130" s="17">
        <f>DO130*VLOOKUP('Données projet'!$B$14,Paramètres!$A$1:$I$89,3,0)*VLOOKUP('Données projet'!$B$14,Paramètres!$A$1:$I$89,5,0)</f>
        <v>-1.383341441396624E-13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304.26232113495314</v>
      </c>
      <c r="DU130" s="59">
        <f t="shared" si="98"/>
        <v>297.47246687305056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41.555398654469293</v>
      </c>
      <c r="EB130" s="21">
        <f>EXP(-LN(2)/25)*EB129+(1-EXP(-LN(2)/25))/(LN(2)/25)*Calculateur!DW130*Calculateur!DY130*VLOOKUP('Données projet'!$B$14,Paramètres!$A$1:$I$89,3,0)*0.475*44/12</f>
        <v>0.7854547611644026</v>
      </c>
      <c r="EC130" s="21">
        <f>EXP(-LN(2)/2)*EC129+(1-EXP(-LN(2)/2))/(LN(2)/2)*DW130*DZ130*VLOOKUP('Données projet'!$B$14,Paramètres!$A$1:$I$89,3,0)*0.475*44/12</f>
        <v>3.5765022729072038E-6</v>
      </c>
      <c r="ED130" s="22">
        <f t="shared" si="72"/>
        <v>42.340856992135969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2.5715962692629546E-13</v>
      </c>
      <c r="P131" s="13">
        <f t="shared" si="87"/>
        <v>3.4610450122128953E-12</v>
      </c>
      <c r="Q131" s="20">
        <f t="shared" ref="Q131:Q153" si="108">(O131+P131)*0.475*44/12</f>
        <v>6.4758730798340893E-12</v>
      </c>
      <c r="R131" s="59">
        <f t="shared" ref="R131:R194" si="109">Q131+(I131+J131)*44/12</f>
        <v>293.33333333333979</v>
      </c>
      <c r="S131" s="59">
        <f ca="1">AVERAGE(OFFSET($R$3,0,0,'Données projet'!$E$9+1,1))-AVERAGE(OFFSET($H$3,0,0,'Données projet'!$E$9+1,1))</f>
        <v>344.4940855044307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1.3596295485248003E-14</v>
      </c>
      <c r="AC131" s="22">
        <f t="shared" si="57"/>
        <v>1.3596295485248003E-14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-1.1439169611549005E-13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246.71489737733248</v>
      </c>
      <c r="AO131" s="59">
        <f t="shared" si="90"/>
        <v>185.03615139960783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-2.7489477361086758E-14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211.98817606983374</v>
      </c>
      <c r="BJ131" s="59">
        <f t="shared" si="92"/>
        <v>154.0840647586964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-2.8421709430404007E-14</v>
      </c>
      <c r="BZ131" s="13">
        <f>BY131*VLOOKUP('Données projet'!$B$12,Paramètres!$A$1:$I$89,3,0)*VLOOKUP('Données projet'!$B$12,Paramètres!$A$1:$I$89,5,0)</f>
        <v>-3.0593128030886874E-14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231.89176215692947</v>
      </c>
      <c r="CE131" s="59">
        <f t="shared" si="94"/>
        <v>166.97658184507787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2.2737367544323206E-13</v>
      </c>
      <c r="CU131" s="17">
        <f>CT131*VLOOKUP('Données projet'!$B$13,Paramètres!$A$1:$I$89,3,0)*VLOOKUP('Données projet'!$B$13,Paramètres!$A$1:$I$89,5,0)</f>
        <v>1.7735146684572101E-13</v>
      </c>
      <c r="CV131" s="13">
        <f t="shared" si="95"/>
        <v>2.4924271921531257E-12</v>
      </c>
      <c r="CW131" s="20">
        <f t="shared" si="67"/>
        <v>4.6498644977563242E-12</v>
      </c>
      <c r="CX131" s="59">
        <f t="shared" si="68"/>
        <v>293.33333333333798</v>
      </c>
      <c r="CY131" s="59">
        <f ca="1">AVERAGE(OFFSET($CX$3,0,0,'Données projet'!$E$13+1,1))-AVERAGE(OFFSET($H$3,0,0,'Données projet'!$E$13+1,1))</f>
        <v>274.37717856763146</v>
      </c>
      <c r="CZ131" s="59">
        <f t="shared" si="96"/>
        <v>264.17357326498581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3.7846340120056937E-14</v>
      </c>
      <c r="DI131" s="22">
        <f t="shared" si="69"/>
        <v>3.7846340120056937E-14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-1.7053025658242404E-13</v>
      </c>
      <c r="DP131" s="17">
        <f>DO131*VLOOKUP('Données projet'!$B$14,Paramètres!$A$1:$I$89,3,0)*VLOOKUP('Données projet'!$B$14,Paramètres!$A$1:$I$89,5,0)</f>
        <v>-1.383341441396624E-13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304.26232113495314</v>
      </c>
      <c r="DU131" s="59">
        <f t="shared" si="98"/>
        <v>297.47246687305056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40.740522633145588</v>
      </c>
      <c r="EB131" s="21">
        <f>EXP(-LN(2)/25)*EB130+(1-EXP(-LN(2)/25))/(LN(2)/25)*Calculateur!DW131*Calculateur!DY131*VLOOKUP('Données projet'!$B$14,Paramètres!$A$1:$I$89,3,0)*0.475*44/12</f>
        <v>0.76397645941509129</v>
      </c>
      <c r="EC131" s="21">
        <f>EXP(-LN(2)/2)*EC130+(1-EXP(-LN(2)/2))/(LN(2)/2)*DW131*DZ131*VLOOKUP('Données projet'!$B$14,Paramètres!$A$1:$I$89,3,0)*0.475*44/12</f>
        <v>2.528969010101784E-6</v>
      </c>
      <c r="ED131" s="22">
        <f t="shared" si="72"/>
        <v>41.504501621529691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2.5715962692629546E-13</v>
      </c>
      <c r="P132" s="13">
        <f t="shared" si="87"/>
        <v>3.4610450122128953E-12</v>
      </c>
      <c r="Q132" s="20">
        <f t="shared" si="108"/>
        <v>6.4758730798340893E-12</v>
      </c>
      <c r="R132" s="59">
        <f t="shared" si="109"/>
        <v>293.33333333333979</v>
      </c>
      <c r="S132" s="59">
        <f ca="1">AVERAGE(OFFSET($R$3,0,0,'Données projet'!$E$9+1,1))-AVERAGE(OFFSET($H$3,0,0,'Données projet'!$E$9+1,1))</f>
        <v>344.4940855044307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9.6140327366349032E-15</v>
      </c>
      <c r="AC132" s="22">
        <f t="shared" ref="AC132:AC153" si="111">SUM(Z132:AB132)</f>
        <v>9.6140327366349032E-15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-1.1439169611549005E-13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246.71489737733248</v>
      </c>
      <c r="AO132" s="59">
        <f t="shared" si="90"/>
        <v>185.03615139960783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-2.7489477361086758E-14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211.98817606983374</v>
      </c>
      <c r="BJ132" s="59">
        <f t="shared" si="92"/>
        <v>154.0840647586964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-2.8421709430404007E-14</v>
      </c>
      <c r="BZ132" s="13">
        <f>BY132*VLOOKUP('Données projet'!$B$12,Paramètres!$A$1:$I$89,3,0)*VLOOKUP('Données projet'!$B$12,Paramètres!$A$1:$I$89,5,0)</f>
        <v>-3.0593128030886874E-14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231.89176215692947</v>
      </c>
      <c r="CE132" s="59">
        <f t="shared" si="94"/>
        <v>166.97658184507787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2.2737367544323206E-13</v>
      </c>
      <c r="CU132" s="17">
        <f>CT132*VLOOKUP('Données projet'!$B$13,Paramètres!$A$1:$I$89,3,0)*VLOOKUP('Données projet'!$B$13,Paramètres!$A$1:$I$89,5,0)</f>
        <v>1.7735146684572101E-13</v>
      </c>
      <c r="CV132" s="13">
        <f t="shared" si="95"/>
        <v>2.4924271921531257E-12</v>
      </c>
      <c r="CW132" s="20">
        <f t="shared" ref="CW132:CW153" si="121">(CU132+CV132)*0.475*44/12</f>
        <v>4.6498644977563242E-12</v>
      </c>
      <c r="CX132" s="59">
        <f t="shared" ref="CX132:CX195" si="122">CW132+(CO132+CP132)*44/12</f>
        <v>293.33333333333798</v>
      </c>
      <c r="CY132" s="59">
        <f ca="1">AVERAGE(OFFSET($CX$3,0,0,'Données projet'!$E$13+1,1))-AVERAGE(OFFSET($H$3,0,0,'Données projet'!$E$13+1,1))</f>
        <v>274.37717856763146</v>
      </c>
      <c r="CZ132" s="59">
        <f t="shared" si="96"/>
        <v>264.17357326498581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2.6761403741984756E-14</v>
      </c>
      <c r="DI132" s="22">
        <f t="shared" ref="DI132:DI153" si="123">SUM(DF132:DH132)</f>
        <v>2.6761403741984756E-14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-1.7053025658242404E-13</v>
      </c>
      <c r="DP132" s="17">
        <f>DO132*VLOOKUP('Données projet'!$B$14,Paramètres!$A$1:$I$89,3,0)*VLOOKUP('Données projet'!$B$14,Paramètres!$A$1:$I$89,5,0)</f>
        <v>-1.383341441396624E-13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304.26232113495314</v>
      </c>
      <c r="DU132" s="59">
        <f t="shared" si="98"/>
        <v>297.47246687305056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39.941625833574747</v>
      </c>
      <c r="EB132" s="21">
        <f>EXP(-LN(2)/25)*EB131+(1-EXP(-LN(2)/25))/(LN(2)/25)*Calculateur!DW132*Calculateur!DY132*VLOOKUP('Données projet'!$B$14,Paramètres!$A$1:$I$89,3,0)*0.475*44/12</f>
        <v>0.7430854829566097</v>
      </c>
      <c r="EC132" s="21">
        <f>EXP(-LN(2)/2)*EC131+(1-EXP(-LN(2)/2))/(LN(2)/2)*DW132*DZ132*VLOOKUP('Données projet'!$B$14,Paramètres!$A$1:$I$89,3,0)*0.475*44/12</f>
        <v>1.7882511364536019E-6</v>
      </c>
      <c r="ED132" s="22">
        <f t="shared" ref="ED132:ED153" si="126">SUM(EA132:EC132)</f>
        <v>40.684713104782489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2.5715962692629546E-13</v>
      </c>
      <c r="P133" s="13">
        <f t="shared" ref="P133:P196" si="141">EXP(-1.0587+0.8836*LN(O133)+0.284)</f>
        <v>3.4610450122128953E-12</v>
      </c>
      <c r="Q133" s="20">
        <f t="shared" si="108"/>
        <v>6.4758730798340893E-12</v>
      </c>
      <c r="R133" s="59">
        <f t="shared" si="109"/>
        <v>293.33333333333979</v>
      </c>
      <c r="S133" s="59">
        <f ca="1">AVERAGE(OFFSET($R$3,0,0,'Données projet'!$E$9+1,1))-AVERAGE(OFFSET($H$3,0,0,'Données projet'!$E$9+1,1))</f>
        <v>344.4940855044307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6.7981477426240013E-15</v>
      </c>
      <c r="AC133" s="22">
        <f t="shared" si="111"/>
        <v>6.7981477426240013E-15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-1.1439169611549005E-13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246.71489737733248</v>
      </c>
      <c r="AO133" s="59">
        <f t="shared" ref="AO133:AO196" si="144">$AO$3</f>
        <v>185.03615139960783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-2.7489477361086758E-14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211.98817606983374</v>
      </c>
      <c r="BJ133" s="59">
        <f t="shared" ref="BJ133:BJ196" si="146">$BJ$3</f>
        <v>154.0840647586964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-2.8421709430404007E-14</v>
      </c>
      <c r="BZ133" s="13">
        <f>BY133*VLOOKUP('Données projet'!$B$12,Paramètres!$A$1:$I$89,3,0)*VLOOKUP('Données projet'!$B$12,Paramètres!$A$1:$I$89,5,0)</f>
        <v>-3.0593128030886874E-14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231.89176215692947</v>
      </c>
      <c r="CE133" s="59">
        <f t="shared" ref="CE133:CE196" si="148">$CE$3</f>
        <v>166.97658184507787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2.2737367544323206E-13</v>
      </c>
      <c r="CU133" s="17">
        <f>CT133*VLOOKUP('Données projet'!$B$13,Paramètres!$A$1:$I$89,3,0)*VLOOKUP('Données projet'!$B$13,Paramètres!$A$1:$I$89,5,0)</f>
        <v>1.7735146684572101E-13</v>
      </c>
      <c r="CV133" s="13">
        <f t="shared" ref="CV133:CV153" si="149">EXP(-1.0587+0.8836*LN(CU133)+0.284)</f>
        <v>2.4924271921531257E-12</v>
      </c>
      <c r="CW133" s="20">
        <f t="shared" si="121"/>
        <v>4.6498644977563242E-12</v>
      </c>
      <c r="CX133" s="59">
        <f t="shared" si="122"/>
        <v>293.33333333333798</v>
      </c>
      <c r="CY133" s="59">
        <f ca="1">AVERAGE(OFFSET($CX$3,0,0,'Données projet'!$E$13+1,1))-AVERAGE(OFFSET($H$3,0,0,'Données projet'!$E$13+1,1))</f>
        <v>274.37717856763146</v>
      </c>
      <c r="CZ133" s="59">
        <f t="shared" ref="CZ133:CZ196" si="150">$CZ$3</f>
        <v>264.17357326498581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1.8923170060028469E-14</v>
      </c>
      <c r="DI133" s="22">
        <f t="shared" si="123"/>
        <v>1.8923170060028469E-14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-1.7053025658242404E-13</v>
      </c>
      <c r="DP133" s="17">
        <f>DO133*VLOOKUP('Données projet'!$B$14,Paramètres!$A$1:$I$89,3,0)*VLOOKUP('Données projet'!$B$14,Paramètres!$A$1:$I$89,5,0)</f>
        <v>-1.383341441396624E-13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304.26232113495314</v>
      </c>
      <c r="DU133" s="59">
        <f t="shared" ref="DU133:DU196" si="152">$DU$3</f>
        <v>297.47246687305056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39.15839491296456</v>
      </c>
      <c r="EB133" s="21">
        <f>EXP(-LN(2)/25)*EB132+(1-EXP(-LN(2)/25))/(LN(2)/25)*Calculateur!DW133*Calculateur!DY133*VLOOKUP('Données projet'!$B$14,Paramètres!$A$1:$I$89,3,0)*0.475*44/12</f>
        <v>0.72276577134799402</v>
      </c>
      <c r="EC133" s="21">
        <f>EXP(-LN(2)/2)*EC132+(1-EXP(-LN(2)/2))/(LN(2)/2)*DW133*DZ133*VLOOKUP('Données projet'!$B$14,Paramètres!$A$1:$I$89,3,0)*0.475*44/12</f>
        <v>1.264484505050892E-6</v>
      </c>
      <c r="ED133" s="22">
        <f t="shared" si="126"/>
        <v>39.881161948797057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2.5715962692629546E-13</v>
      </c>
      <c r="P134" s="13">
        <f t="shared" si="141"/>
        <v>3.4610450122128953E-12</v>
      </c>
      <c r="Q134" s="20">
        <f t="shared" si="108"/>
        <v>6.4758730798340893E-12</v>
      </c>
      <c r="R134" s="59">
        <f t="shared" si="109"/>
        <v>293.33333333333979</v>
      </c>
      <c r="S134" s="59">
        <f ca="1">AVERAGE(OFFSET($R$3,0,0,'Données projet'!$E$9+1,1))-AVERAGE(OFFSET($H$3,0,0,'Données projet'!$E$9+1,1))</f>
        <v>344.4940855044307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4.8070163683174516E-15</v>
      </c>
      <c r="AC134" s="22">
        <f t="shared" si="111"/>
        <v>4.8070163683174516E-15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-1.1439169611549005E-13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246.71489737733248</v>
      </c>
      <c r="AO134" s="59">
        <f t="shared" si="144"/>
        <v>185.03615139960783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-2.7489477361086758E-14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211.98817606983374</v>
      </c>
      <c r="BJ134" s="59">
        <f t="shared" si="146"/>
        <v>154.0840647586964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-2.8421709430404007E-14</v>
      </c>
      <c r="BZ134" s="13">
        <f>BY134*VLOOKUP('Données projet'!$B$12,Paramètres!$A$1:$I$89,3,0)*VLOOKUP('Données projet'!$B$12,Paramètres!$A$1:$I$89,5,0)</f>
        <v>-3.0593128030886874E-14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231.89176215692947</v>
      </c>
      <c r="CE134" s="59">
        <f t="shared" si="148"/>
        <v>166.97658184507787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2.2737367544323206E-13</v>
      </c>
      <c r="CU134" s="17">
        <f>CT134*VLOOKUP('Données projet'!$B$13,Paramètres!$A$1:$I$89,3,0)*VLOOKUP('Données projet'!$B$13,Paramètres!$A$1:$I$89,5,0)</f>
        <v>1.7735146684572101E-13</v>
      </c>
      <c r="CV134" s="13">
        <f t="shared" si="149"/>
        <v>2.4924271921531257E-12</v>
      </c>
      <c r="CW134" s="20">
        <f t="shared" si="121"/>
        <v>4.6498644977563242E-12</v>
      </c>
      <c r="CX134" s="59">
        <f t="shared" si="122"/>
        <v>293.33333333333798</v>
      </c>
      <c r="CY134" s="59">
        <f ca="1">AVERAGE(OFFSET($CX$3,0,0,'Données projet'!$E$13+1,1))-AVERAGE(OFFSET($H$3,0,0,'Données projet'!$E$13+1,1))</f>
        <v>274.37717856763146</v>
      </c>
      <c r="CZ134" s="59">
        <f t="shared" si="150"/>
        <v>264.17357326498581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1.3380701870992378E-14</v>
      </c>
      <c r="DI134" s="22">
        <f t="shared" si="123"/>
        <v>1.3380701870992378E-14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-1.7053025658242404E-13</v>
      </c>
      <c r="DP134" s="17">
        <f>DO134*VLOOKUP('Données projet'!$B$14,Paramètres!$A$1:$I$89,3,0)*VLOOKUP('Données projet'!$B$14,Paramètres!$A$1:$I$89,5,0)</f>
        <v>-1.383341441396624E-13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304.26232113495314</v>
      </c>
      <c r="DU134" s="59">
        <f t="shared" si="152"/>
        <v>297.47246687305056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38.390522672983849</v>
      </c>
      <c r="EB134" s="21">
        <f>EXP(-LN(2)/25)*EB133+(1-EXP(-LN(2)/25))/(LN(2)/25)*Calculateur!DW134*Calculateur!DY134*VLOOKUP('Données projet'!$B$14,Paramètres!$A$1:$I$89,3,0)*0.475*44/12</f>
        <v>0.70300170332188316</v>
      </c>
      <c r="EC134" s="21">
        <f>EXP(-LN(2)/2)*EC133+(1-EXP(-LN(2)/2))/(LN(2)/2)*DW134*DZ134*VLOOKUP('Données projet'!$B$14,Paramètres!$A$1:$I$89,3,0)*0.475*44/12</f>
        <v>8.9412556822680095E-7</v>
      </c>
      <c r="ED134" s="22">
        <f t="shared" si="126"/>
        <v>39.0935252704313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2.5715962692629546E-13</v>
      </c>
      <c r="P135" s="13">
        <f t="shared" si="141"/>
        <v>3.4610450122128953E-12</v>
      </c>
      <c r="Q135" s="20">
        <f t="shared" si="108"/>
        <v>6.4758730798340893E-12</v>
      </c>
      <c r="R135" s="59">
        <f t="shared" si="109"/>
        <v>293.33333333333979</v>
      </c>
      <c r="S135" s="59">
        <f ca="1">AVERAGE(OFFSET($R$3,0,0,'Données projet'!$E$9+1,1))-AVERAGE(OFFSET($H$3,0,0,'Données projet'!$E$9+1,1))</f>
        <v>344.4940855044307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3.3990738713120006E-15</v>
      </c>
      <c r="AC135" s="22">
        <f t="shared" si="111"/>
        <v>3.3990738713120006E-15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-1.1439169611549005E-13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246.71489737733248</v>
      </c>
      <c r="AO135" s="59">
        <f t="shared" si="144"/>
        <v>185.03615139960783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-2.7489477361086758E-14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211.98817606983374</v>
      </c>
      <c r="BJ135" s="59">
        <f t="shared" si="146"/>
        <v>154.0840647586964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-2.8421709430404007E-14</v>
      </c>
      <c r="BZ135" s="13">
        <f>BY135*VLOOKUP('Données projet'!$B$12,Paramètres!$A$1:$I$89,3,0)*VLOOKUP('Données projet'!$B$12,Paramètres!$A$1:$I$89,5,0)</f>
        <v>-3.0593128030886874E-14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231.89176215692947</v>
      </c>
      <c r="CE135" s="59">
        <f t="shared" si="148"/>
        <v>166.97658184507787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2.2737367544323206E-13</v>
      </c>
      <c r="CU135" s="17">
        <f>CT135*VLOOKUP('Données projet'!$B$13,Paramètres!$A$1:$I$89,3,0)*VLOOKUP('Données projet'!$B$13,Paramètres!$A$1:$I$89,5,0)</f>
        <v>1.7735146684572101E-13</v>
      </c>
      <c r="CV135" s="13">
        <f t="shared" si="149"/>
        <v>2.4924271921531257E-12</v>
      </c>
      <c r="CW135" s="20">
        <f t="shared" si="121"/>
        <v>4.6498644977563242E-12</v>
      </c>
      <c r="CX135" s="59">
        <f t="shared" si="122"/>
        <v>293.33333333333798</v>
      </c>
      <c r="CY135" s="59">
        <f ca="1">AVERAGE(OFFSET($CX$3,0,0,'Données projet'!$E$13+1,1))-AVERAGE(OFFSET($H$3,0,0,'Données projet'!$E$13+1,1))</f>
        <v>274.37717856763146</v>
      </c>
      <c r="CZ135" s="59">
        <f t="shared" si="150"/>
        <v>264.17357326498581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9.4615850300142343E-15</v>
      </c>
      <c r="DI135" s="22">
        <f t="shared" si="123"/>
        <v>9.4615850300142343E-15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-1.7053025658242404E-13</v>
      </c>
      <c r="DP135" s="17">
        <f>DO135*VLOOKUP('Données projet'!$B$14,Paramètres!$A$1:$I$89,3,0)*VLOOKUP('Données projet'!$B$14,Paramètres!$A$1:$I$89,5,0)</f>
        <v>-1.383341441396624E-13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304.26232113495314</v>
      </c>
      <c r="DU135" s="59">
        <f t="shared" si="152"/>
        <v>297.47246687305056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37.637707939273341</v>
      </c>
      <c r="EB135" s="21">
        <f>EXP(-LN(2)/25)*EB134+(1-EXP(-LN(2)/25))/(LN(2)/25)*Calculateur!DW135*Calculateur!DY135*VLOOKUP('Données projet'!$B$14,Paramètres!$A$1:$I$89,3,0)*0.475*44/12</f>
        <v>0.68377808477529345</v>
      </c>
      <c r="EC135" s="21">
        <f>EXP(-LN(2)/2)*EC134+(1-EXP(-LN(2)/2))/(LN(2)/2)*DW135*DZ135*VLOOKUP('Données projet'!$B$14,Paramètres!$A$1:$I$89,3,0)*0.475*44/12</f>
        <v>6.32242252525446E-7</v>
      </c>
      <c r="ED135" s="22">
        <f t="shared" si="126"/>
        <v>38.321486656290887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2.5715962692629546E-13</v>
      </c>
      <c r="P136" s="13">
        <f t="shared" si="141"/>
        <v>3.4610450122128953E-12</v>
      </c>
      <c r="Q136" s="20">
        <f t="shared" si="108"/>
        <v>6.4758730798340893E-12</v>
      </c>
      <c r="R136" s="59">
        <f t="shared" si="109"/>
        <v>293.33333333333979</v>
      </c>
      <c r="S136" s="59">
        <f ca="1">AVERAGE(OFFSET($R$3,0,0,'Données projet'!$E$9+1,1))-AVERAGE(OFFSET($H$3,0,0,'Données projet'!$E$9+1,1))</f>
        <v>344.4940855044307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2.4035081841587258E-15</v>
      </c>
      <c r="AC136" s="22">
        <f t="shared" si="111"/>
        <v>2.4035081841587258E-15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-1.1439169611549005E-13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246.71489737733248</v>
      </c>
      <c r="AO136" s="59">
        <f t="shared" si="144"/>
        <v>185.03615139960783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-2.7489477361086758E-14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211.98817606983374</v>
      </c>
      <c r="BJ136" s="59">
        <f t="shared" si="146"/>
        <v>154.0840647586964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-2.8421709430404007E-14</v>
      </c>
      <c r="BZ136" s="13">
        <f>BY136*VLOOKUP('Données projet'!$B$12,Paramètres!$A$1:$I$89,3,0)*VLOOKUP('Données projet'!$B$12,Paramètres!$A$1:$I$89,5,0)</f>
        <v>-3.0593128030886874E-14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231.89176215692947</v>
      </c>
      <c r="CE136" s="59">
        <f t="shared" si="148"/>
        <v>166.97658184507787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2.2737367544323206E-13</v>
      </c>
      <c r="CU136" s="17">
        <f>CT136*VLOOKUP('Données projet'!$B$13,Paramètres!$A$1:$I$89,3,0)*VLOOKUP('Données projet'!$B$13,Paramètres!$A$1:$I$89,5,0)</f>
        <v>1.7735146684572101E-13</v>
      </c>
      <c r="CV136" s="13">
        <f t="shared" si="149"/>
        <v>2.4924271921531257E-12</v>
      </c>
      <c r="CW136" s="20">
        <f t="shared" si="121"/>
        <v>4.6498644977563242E-12</v>
      </c>
      <c r="CX136" s="59">
        <f t="shared" si="122"/>
        <v>293.33333333333798</v>
      </c>
      <c r="CY136" s="59">
        <f ca="1">AVERAGE(OFFSET($CX$3,0,0,'Données projet'!$E$13+1,1))-AVERAGE(OFFSET($H$3,0,0,'Données projet'!$E$13+1,1))</f>
        <v>274.37717856763146</v>
      </c>
      <c r="CZ136" s="59">
        <f t="shared" si="150"/>
        <v>264.17357326498581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6.6903509354961889E-15</v>
      </c>
      <c r="DI136" s="22">
        <f t="shared" si="123"/>
        <v>6.6903509354961889E-15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-1.7053025658242404E-13</v>
      </c>
      <c r="DP136" s="17">
        <f>DO136*VLOOKUP('Données projet'!$B$14,Paramètres!$A$1:$I$89,3,0)*VLOOKUP('Données projet'!$B$14,Paramètres!$A$1:$I$89,5,0)</f>
        <v>-1.383341441396624E-13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304.26232113495314</v>
      </c>
      <c r="DU136" s="59">
        <f t="shared" si="152"/>
        <v>297.47246687305056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36.899655443319247</v>
      </c>
      <c r="EB136" s="21">
        <f>EXP(-LN(2)/25)*EB135+(1-EXP(-LN(2)/25))/(LN(2)/25)*Calculateur!DW136*Calculateur!DY136*VLOOKUP('Données projet'!$B$14,Paramètres!$A$1:$I$89,3,0)*0.475*44/12</f>
        <v>0.66508013708878633</v>
      </c>
      <c r="EC136" s="21">
        <f>EXP(-LN(2)/2)*EC135+(1-EXP(-LN(2)/2))/(LN(2)/2)*DW136*DZ136*VLOOKUP('Données projet'!$B$14,Paramètres!$A$1:$I$89,3,0)*0.475*44/12</f>
        <v>4.4706278411340047E-7</v>
      </c>
      <c r="ED136" s="22">
        <f t="shared" si="126"/>
        <v>37.564736027470815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2.5715962692629546E-13</v>
      </c>
      <c r="P137" s="13">
        <f t="shared" si="141"/>
        <v>3.4610450122128953E-12</v>
      </c>
      <c r="Q137" s="20">
        <f t="shared" si="108"/>
        <v>6.4758730798340893E-12</v>
      </c>
      <c r="R137" s="59">
        <f t="shared" si="109"/>
        <v>293.33333333333979</v>
      </c>
      <c r="S137" s="59">
        <f ca="1">AVERAGE(OFFSET($R$3,0,0,'Données projet'!$E$9+1,1))-AVERAGE(OFFSET($H$3,0,0,'Données projet'!$E$9+1,1))</f>
        <v>344.4940855044307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1.6995369356560003E-15</v>
      </c>
      <c r="AC137" s="22">
        <f t="shared" si="111"/>
        <v>1.6995369356560003E-15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-1.1439169611549005E-13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246.71489737733248</v>
      </c>
      <c r="AO137" s="59">
        <f t="shared" si="144"/>
        <v>185.03615139960783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-2.7489477361086758E-14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211.98817606983374</v>
      </c>
      <c r="BJ137" s="59">
        <f t="shared" si="146"/>
        <v>154.0840647586964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-2.8421709430404007E-14</v>
      </c>
      <c r="BZ137" s="13">
        <f>BY137*VLOOKUP('Données projet'!$B$12,Paramètres!$A$1:$I$89,3,0)*VLOOKUP('Données projet'!$B$12,Paramètres!$A$1:$I$89,5,0)</f>
        <v>-3.0593128030886874E-14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231.89176215692947</v>
      </c>
      <c r="CE137" s="59">
        <f t="shared" si="148"/>
        <v>166.97658184507787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2.2737367544323206E-13</v>
      </c>
      <c r="CU137" s="17">
        <f>CT137*VLOOKUP('Données projet'!$B$13,Paramètres!$A$1:$I$89,3,0)*VLOOKUP('Données projet'!$B$13,Paramètres!$A$1:$I$89,5,0)</f>
        <v>1.7735146684572101E-13</v>
      </c>
      <c r="CV137" s="13">
        <f t="shared" si="149"/>
        <v>2.4924271921531257E-12</v>
      </c>
      <c r="CW137" s="20">
        <f t="shared" si="121"/>
        <v>4.6498644977563242E-12</v>
      </c>
      <c r="CX137" s="59">
        <f t="shared" si="122"/>
        <v>293.33333333333798</v>
      </c>
      <c r="CY137" s="59">
        <f ca="1">AVERAGE(OFFSET($CX$3,0,0,'Données projet'!$E$13+1,1))-AVERAGE(OFFSET($H$3,0,0,'Données projet'!$E$13+1,1))</f>
        <v>274.37717856763146</v>
      </c>
      <c r="CZ137" s="59">
        <f t="shared" si="150"/>
        <v>264.17357326498581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4.7307925150071171E-15</v>
      </c>
      <c r="DI137" s="22">
        <f t="shared" si="123"/>
        <v>4.7307925150071171E-15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-1.7053025658242404E-13</v>
      </c>
      <c r="DP137" s="17">
        <f>DO137*VLOOKUP('Données projet'!$B$14,Paramètres!$A$1:$I$89,3,0)*VLOOKUP('Données projet'!$B$14,Paramètres!$A$1:$I$89,5,0)</f>
        <v>-1.383341441396624E-13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304.26232113495314</v>
      </c>
      <c r="DU137" s="59">
        <f t="shared" si="152"/>
        <v>297.47246687305056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36.176075706643239</v>
      </c>
      <c r="EB137" s="21">
        <f>EXP(-LN(2)/25)*EB136+(1-EXP(-LN(2)/25))/(LN(2)/25)*Calculateur!DW137*Calculateur!DY137*VLOOKUP('Données projet'!$B$14,Paramètres!$A$1:$I$89,3,0)*0.475*44/12</f>
        <v>0.64689348576504913</v>
      </c>
      <c r="EC137" s="21">
        <f>EXP(-LN(2)/2)*EC136+(1-EXP(-LN(2)/2))/(LN(2)/2)*DW137*DZ137*VLOOKUP('Données projet'!$B$14,Paramètres!$A$1:$I$89,3,0)*0.475*44/12</f>
        <v>3.16121126262723E-7</v>
      </c>
      <c r="ED137" s="22">
        <f t="shared" si="126"/>
        <v>36.822969508529411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2.5715962692629546E-13</v>
      </c>
      <c r="P138" s="13">
        <f t="shared" si="141"/>
        <v>3.4610450122128953E-12</v>
      </c>
      <c r="Q138" s="20">
        <f t="shared" si="108"/>
        <v>6.4758730798340893E-12</v>
      </c>
      <c r="R138" s="59">
        <f t="shared" si="109"/>
        <v>293.33333333333979</v>
      </c>
      <c r="S138" s="59">
        <f ca="1">AVERAGE(OFFSET($R$3,0,0,'Données projet'!$E$9+1,1))-AVERAGE(OFFSET($H$3,0,0,'Données projet'!$E$9+1,1))</f>
        <v>344.4940855044307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1.2017540920793629E-15</v>
      </c>
      <c r="AC138" s="22">
        <f t="shared" si="111"/>
        <v>1.2017540920793629E-15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-1.1439169611549005E-13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246.71489737733248</v>
      </c>
      <c r="AO138" s="59">
        <f t="shared" si="144"/>
        <v>185.03615139960783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-2.7489477361086758E-14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211.98817606983374</v>
      </c>
      <c r="BJ138" s="59">
        <f t="shared" si="146"/>
        <v>154.0840647586964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-2.8421709430404007E-14</v>
      </c>
      <c r="BZ138" s="13">
        <f>BY138*VLOOKUP('Données projet'!$B$12,Paramètres!$A$1:$I$89,3,0)*VLOOKUP('Données projet'!$B$12,Paramètres!$A$1:$I$89,5,0)</f>
        <v>-3.0593128030886874E-14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231.89176215692947</v>
      </c>
      <c r="CE138" s="59">
        <f t="shared" si="148"/>
        <v>166.97658184507787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2.2737367544323206E-13</v>
      </c>
      <c r="CU138" s="17">
        <f>CT138*VLOOKUP('Données projet'!$B$13,Paramètres!$A$1:$I$89,3,0)*VLOOKUP('Données projet'!$B$13,Paramètres!$A$1:$I$89,5,0)</f>
        <v>1.7735146684572101E-13</v>
      </c>
      <c r="CV138" s="13">
        <f t="shared" si="149"/>
        <v>2.4924271921531257E-12</v>
      </c>
      <c r="CW138" s="20">
        <f t="shared" si="121"/>
        <v>4.6498644977563242E-12</v>
      </c>
      <c r="CX138" s="59">
        <f t="shared" si="122"/>
        <v>293.33333333333798</v>
      </c>
      <c r="CY138" s="59">
        <f ca="1">AVERAGE(OFFSET($CX$3,0,0,'Données projet'!$E$13+1,1))-AVERAGE(OFFSET($H$3,0,0,'Données projet'!$E$13+1,1))</f>
        <v>274.37717856763146</v>
      </c>
      <c r="CZ138" s="59">
        <f t="shared" si="150"/>
        <v>264.17357326498581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3.3451754677480945E-15</v>
      </c>
      <c r="DI138" s="22">
        <f t="shared" si="123"/>
        <v>3.3451754677480945E-15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-1.7053025658242404E-13</v>
      </c>
      <c r="DP138" s="17">
        <f>DO138*VLOOKUP('Données projet'!$B$14,Paramètres!$A$1:$I$89,3,0)*VLOOKUP('Données projet'!$B$14,Paramètres!$A$1:$I$89,5,0)</f>
        <v>-1.383341441396624E-13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304.26232113495314</v>
      </c>
      <c r="DU138" s="59">
        <f t="shared" si="152"/>
        <v>297.47246687305056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35.466684927263387</v>
      </c>
      <c r="EB138" s="21">
        <f>EXP(-LN(2)/25)*EB137+(1-EXP(-LN(2)/25))/(LN(2)/25)*Calculateur!DW138*Calculateur!DY138*VLOOKUP('Données projet'!$B$14,Paramètres!$A$1:$I$89,3,0)*0.475*44/12</f>
        <v>0.62920414937815394</v>
      </c>
      <c r="EC138" s="21">
        <f>EXP(-LN(2)/2)*EC137+(1-EXP(-LN(2)/2))/(LN(2)/2)*DW138*DZ138*VLOOKUP('Données projet'!$B$14,Paramètres!$A$1:$I$89,3,0)*0.475*44/12</f>
        <v>2.2353139205670024E-7</v>
      </c>
      <c r="ED138" s="22">
        <f t="shared" si="126"/>
        <v>36.095889300172935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2.5715962692629546E-13</v>
      </c>
      <c r="P139" s="13">
        <f t="shared" si="141"/>
        <v>3.4610450122128953E-12</v>
      </c>
      <c r="Q139" s="20">
        <f t="shared" si="108"/>
        <v>6.4758730798340893E-12</v>
      </c>
      <c r="R139" s="59">
        <f t="shared" si="109"/>
        <v>293.33333333333979</v>
      </c>
      <c r="S139" s="59">
        <f ca="1">AVERAGE(OFFSET($R$3,0,0,'Données projet'!$E$9+1,1))-AVERAGE(OFFSET($H$3,0,0,'Données projet'!$E$9+1,1))</f>
        <v>344.4940855044307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8.4976846782800016E-16</v>
      </c>
      <c r="AC139" s="22">
        <f t="shared" si="111"/>
        <v>8.4976846782800016E-16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-1.1439169611549005E-13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246.71489737733248</v>
      </c>
      <c r="AO139" s="59">
        <f t="shared" si="144"/>
        <v>185.03615139960783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-2.7489477361086758E-14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211.98817606983374</v>
      </c>
      <c r="BJ139" s="59">
        <f t="shared" si="146"/>
        <v>154.0840647586964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-2.8421709430404007E-14</v>
      </c>
      <c r="BZ139" s="13">
        <f>BY139*VLOOKUP('Données projet'!$B$12,Paramètres!$A$1:$I$89,3,0)*VLOOKUP('Données projet'!$B$12,Paramètres!$A$1:$I$89,5,0)</f>
        <v>-3.0593128030886874E-14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231.89176215692947</v>
      </c>
      <c r="CE139" s="59">
        <f t="shared" si="148"/>
        <v>166.97658184507787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2.2737367544323206E-13</v>
      </c>
      <c r="CU139" s="17">
        <f>CT139*VLOOKUP('Données projet'!$B$13,Paramètres!$A$1:$I$89,3,0)*VLOOKUP('Données projet'!$B$13,Paramètres!$A$1:$I$89,5,0)</f>
        <v>1.7735146684572101E-13</v>
      </c>
      <c r="CV139" s="13">
        <f t="shared" si="149"/>
        <v>2.4924271921531257E-12</v>
      </c>
      <c r="CW139" s="20">
        <f t="shared" si="121"/>
        <v>4.6498644977563242E-12</v>
      </c>
      <c r="CX139" s="59">
        <f t="shared" si="122"/>
        <v>293.33333333333798</v>
      </c>
      <c r="CY139" s="59">
        <f ca="1">AVERAGE(OFFSET($CX$3,0,0,'Données projet'!$E$13+1,1))-AVERAGE(OFFSET($H$3,0,0,'Données projet'!$E$13+1,1))</f>
        <v>274.37717856763146</v>
      </c>
      <c r="CZ139" s="59">
        <f t="shared" si="150"/>
        <v>264.17357326498581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2.3653962575035586E-15</v>
      </c>
      <c r="DI139" s="22">
        <f t="shared" si="123"/>
        <v>2.3653962575035586E-15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-1.7053025658242404E-13</v>
      </c>
      <c r="DP139" s="17">
        <f>DO139*VLOOKUP('Données projet'!$B$14,Paramètres!$A$1:$I$89,3,0)*VLOOKUP('Données projet'!$B$14,Paramètres!$A$1:$I$89,5,0)</f>
        <v>-1.383341441396624E-13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304.26232113495314</v>
      </c>
      <c r="DU139" s="59">
        <f t="shared" si="152"/>
        <v>297.47246687305056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34.771204868381524</v>
      </c>
      <c r="EB139" s="21">
        <f>EXP(-LN(2)/25)*EB138+(1-EXP(-LN(2)/25))/(LN(2)/25)*Calculateur!DW139*Calculateur!DY139*VLOOKUP('Données projet'!$B$14,Paramètres!$A$1:$I$89,3,0)*0.475*44/12</f>
        <v>0.61199852882500017</v>
      </c>
      <c r="EC139" s="21">
        <f>EXP(-LN(2)/2)*EC138+(1-EXP(-LN(2)/2))/(LN(2)/2)*DW139*DZ139*VLOOKUP('Données projet'!$B$14,Paramètres!$A$1:$I$89,3,0)*0.475*44/12</f>
        <v>1.580605631313615E-7</v>
      </c>
      <c r="ED139" s="22">
        <f t="shared" si="126"/>
        <v>35.383203555267087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2.5715962692629546E-13</v>
      </c>
      <c r="P140" s="13">
        <f t="shared" si="141"/>
        <v>3.4610450122128953E-12</v>
      </c>
      <c r="Q140" s="20">
        <f t="shared" si="108"/>
        <v>6.4758730798340893E-12</v>
      </c>
      <c r="R140" s="59">
        <f t="shared" si="109"/>
        <v>293.33333333333979</v>
      </c>
      <c r="S140" s="59">
        <f ca="1">AVERAGE(OFFSET($R$3,0,0,'Données projet'!$E$9+1,1))-AVERAGE(OFFSET($H$3,0,0,'Données projet'!$E$9+1,1))</f>
        <v>344.4940855044307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6.0087704603968145E-16</v>
      </c>
      <c r="AC140" s="22">
        <f t="shared" si="111"/>
        <v>6.0087704603968145E-16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-1.1439169611549005E-13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246.71489737733248</v>
      </c>
      <c r="AO140" s="59">
        <f t="shared" si="144"/>
        <v>185.03615139960783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-2.7489477361086758E-14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211.98817606983374</v>
      </c>
      <c r="BJ140" s="59">
        <f t="shared" si="146"/>
        <v>154.0840647586964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-2.8421709430404007E-14</v>
      </c>
      <c r="BZ140" s="13">
        <f>BY140*VLOOKUP('Données projet'!$B$12,Paramètres!$A$1:$I$89,3,0)*VLOOKUP('Données projet'!$B$12,Paramètres!$A$1:$I$89,5,0)</f>
        <v>-3.0593128030886874E-14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231.89176215692947</v>
      </c>
      <c r="CE140" s="59">
        <f t="shared" si="148"/>
        <v>166.97658184507787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2.2737367544323206E-13</v>
      </c>
      <c r="CU140" s="17">
        <f>CT140*VLOOKUP('Données projet'!$B$13,Paramètres!$A$1:$I$89,3,0)*VLOOKUP('Données projet'!$B$13,Paramètres!$A$1:$I$89,5,0)</f>
        <v>1.7735146684572101E-13</v>
      </c>
      <c r="CV140" s="13">
        <f t="shared" si="149"/>
        <v>2.4924271921531257E-12</v>
      </c>
      <c r="CW140" s="20">
        <f t="shared" si="121"/>
        <v>4.6498644977563242E-12</v>
      </c>
      <c r="CX140" s="59">
        <f t="shared" si="122"/>
        <v>293.33333333333798</v>
      </c>
      <c r="CY140" s="59">
        <f ca="1">AVERAGE(OFFSET($CX$3,0,0,'Données projet'!$E$13+1,1))-AVERAGE(OFFSET($H$3,0,0,'Données projet'!$E$13+1,1))</f>
        <v>274.37717856763146</v>
      </c>
      <c r="CZ140" s="59">
        <f t="shared" si="150"/>
        <v>264.17357326498581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1.6725877338740472E-15</v>
      </c>
      <c r="DI140" s="22">
        <f t="shared" si="123"/>
        <v>1.6725877338740472E-15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-1.7053025658242404E-13</v>
      </c>
      <c r="DP140" s="17">
        <f>DO140*VLOOKUP('Données projet'!$B$14,Paramètres!$A$1:$I$89,3,0)*VLOOKUP('Données projet'!$B$14,Paramètres!$A$1:$I$89,5,0)</f>
        <v>-1.383341441396624E-13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304.26232113495314</v>
      </c>
      <c r="DU140" s="59">
        <f t="shared" si="152"/>
        <v>297.47246687305056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34.089362749253382</v>
      </c>
      <c r="EB140" s="21">
        <f>EXP(-LN(2)/25)*EB139+(1-EXP(-LN(2)/25))/(LN(2)/25)*Calculateur!DW140*Calculateur!DY140*VLOOKUP('Données projet'!$B$14,Paramètres!$A$1:$I$89,3,0)*0.475*44/12</f>
        <v>0.59526339687067664</v>
      </c>
      <c r="EC140" s="21">
        <f>EXP(-LN(2)/2)*EC139+(1-EXP(-LN(2)/2))/(LN(2)/2)*DW140*DZ140*VLOOKUP('Données projet'!$B$14,Paramètres!$A$1:$I$89,3,0)*0.475*44/12</f>
        <v>1.1176569602835012E-7</v>
      </c>
      <c r="ED140" s="22">
        <f t="shared" si="126"/>
        <v>34.684626257889754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2.5715962692629546E-13</v>
      </c>
      <c r="P141" s="13">
        <f t="shared" si="141"/>
        <v>3.4610450122128953E-12</v>
      </c>
      <c r="Q141" s="20">
        <f t="shared" si="108"/>
        <v>6.4758730798340893E-12</v>
      </c>
      <c r="R141" s="59">
        <f t="shared" si="109"/>
        <v>293.33333333333979</v>
      </c>
      <c r="S141" s="59">
        <f ca="1">AVERAGE(OFFSET($R$3,0,0,'Données projet'!$E$9+1,1))-AVERAGE(OFFSET($H$3,0,0,'Données projet'!$E$9+1,1))</f>
        <v>344.4940855044307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4.2488423391400008E-16</v>
      </c>
      <c r="AC141" s="22">
        <f t="shared" si="111"/>
        <v>4.2488423391400008E-16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-1.1439169611549005E-13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246.71489737733248</v>
      </c>
      <c r="AO141" s="59">
        <f t="shared" si="144"/>
        <v>185.03615139960783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-2.7489477361086758E-14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211.98817606983374</v>
      </c>
      <c r="BJ141" s="59">
        <f t="shared" si="146"/>
        <v>154.0840647586964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-2.8421709430404007E-14</v>
      </c>
      <c r="BZ141" s="13">
        <f>BY141*VLOOKUP('Données projet'!$B$12,Paramètres!$A$1:$I$89,3,0)*VLOOKUP('Données projet'!$B$12,Paramètres!$A$1:$I$89,5,0)</f>
        <v>-3.0593128030886874E-14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231.89176215692947</v>
      </c>
      <c r="CE141" s="59">
        <f t="shared" si="148"/>
        <v>166.97658184507787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2.2737367544323206E-13</v>
      </c>
      <c r="CU141" s="17">
        <f>CT141*VLOOKUP('Données projet'!$B$13,Paramètres!$A$1:$I$89,3,0)*VLOOKUP('Données projet'!$B$13,Paramètres!$A$1:$I$89,5,0)</f>
        <v>1.7735146684572101E-13</v>
      </c>
      <c r="CV141" s="13">
        <f t="shared" si="149"/>
        <v>2.4924271921531257E-12</v>
      </c>
      <c r="CW141" s="20">
        <f t="shared" si="121"/>
        <v>4.6498644977563242E-12</v>
      </c>
      <c r="CX141" s="59">
        <f t="shared" si="122"/>
        <v>293.33333333333798</v>
      </c>
      <c r="CY141" s="59">
        <f ca="1">AVERAGE(OFFSET($CX$3,0,0,'Données projet'!$E$13+1,1))-AVERAGE(OFFSET($H$3,0,0,'Données projet'!$E$13+1,1))</f>
        <v>274.37717856763146</v>
      </c>
      <c r="CZ141" s="59">
        <f t="shared" si="150"/>
        <v>264.17357326498581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1.1826981287517793E-15</v>
      </c>
      <c r="DI141" s="22">
        <f t="shared" si="123"/>
        <v>1.1826981287517793E-15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-1.7053025658242404E-13</v>
      </c>
      <c r="DP141" s="17">
        <f>DO141*VLOOKUP('Données projet'!$B$14,Paramètres!$A$1:$I$89,3,0)*VLOOKUP('Données projet'!$B$14,Paramètres!$A$1:$I$89,5,0)</f>
        <v>-1.383341441396624E-13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304.26232113495314</v>
      </c>
      <c r="DU141" s="59">
        <f t="shared" si="152"/>
        <v>297.47246687305056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33.420891138198719</v>
      </c>
      <c r="EB141" s="21">
        <f>EXP(-LN(2)/25)*EB140+(1-EXP(-LN(2)/25))/(LN(2)/25)*Calculateur!DW141*Calculateur!DY141*VLOOKUP('Données projet'!$B$14,Paramètres!$A$1:$I$89,3,0)*0.475*44/12</f>
        <v>0.5789858879797064</v>
      </c>
      <c r="EC141" s="21">
        <f>EXP(-LN(2)/2)*EC140+(1-EXP(-LN(2)/2))/(LN(2)/2)*DW141*DZ141*VLOOKUP('Données projet'!$B$14,Paramètres!$A$1:$I$89,3,0)*0.475*44/12</f>
        <v>7.903028156568075E-8</v>
      </c>
      <c r="ED141" s="22">
        <f t="shared" si="126"/>
        <v>33.999877105208704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2.5715962692629546E-13</v>
      </c>
      <c r="P142" s="13">
        <f t="shared" si="141"/>
        <v>3.4610450122128953E-12</v>
      </c>
      <c r="Q142" s="20">
        <f t="shared" si="108"/>
        <v>6.4758730798340893E-12</v>
      </c>
      <c r="R142" s="59">
        <f t="shared" si="109"/>
        <v>293.33333333333979</v>
      </c>
      <c r="S142" s="59">
        <f ca="1">AVERAGE(OFFSET($R$3,0,0,'Données projet'!$E$9+1,1))-AVERAGE(OFFSET($H$3,0,0,'Données projet'!$E$9+1,1))</f>
        <v>344.4940855044307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3.0043852301984073E-16</v>
      </c>
      <c r="AC142" s="22">
        <f t="shared" si="111"/>
        <v>3.0043852301984073E-16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-1.1439169611549005E-13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246.71489737733248</v>
      </c>
      <c r="AO142" s="59">
        <f t="shared" si="144"/>
        <v>185.03615139960783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-2.7489477361086758E-14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211.98817606983374</v>
      </c>
      <c r="BJ142" s="59">
        <f t="shared" si="146"/>
        <v>154.0840647586964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-2.8421709430404007E-14</v>
      </c>
      <c r="BZ142" s="13">
        <f>BY142*VLOOKUP('Données projet'!$B$12,Paramètres!$A$1:$I$89,3,0)*VLOOKUP('Données projet'!$B$12,Paramètres!$A$1:$I$89,5,0)</f>
        <v>-3.0593128030886874E-14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231.89176215692947</v>
      </c>
      <c r="CE142" s="59">
        <f t="shared" si="148"/>
        <v>166.97658184507787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2.2737367544323206E-13</v>
      </c>
      <c r="CU142" s="17">
        <f>CT142*VLOOKUP('Données projet'!$B$13,Paramètres!$A$1:$I$89,3,0)*VLOOKUP('Données projet'!$B$13,Paramètres!$A$1:$I$89,5,0)</f>
        <v>1.7735146684572101E-13</v>
      </c>
      <c r="CV142" s="13">
        <f t="shared" si="149"/>
        <v>2.4924271921531257E-12</v>
      </c>
      <c r="CW142" s="20">
        <f t="shared" si="121"/>
        <v>4.6498644977563242E-12</v>
      </c>
      <c r="CX142" s="59">
        <f t="shared" si="122"/>
        <v>293.33333333333798</v>
      </c>
      <c r="CY142" s="59">
        <f ca="1">AVERAGE(OFFSET($CX$3,0,0,'Données projet'!$E$13+1,1))-AVERAGE(OFFSET($H$3,0,0,'Données projet'!$E$13+1,1))</f>
        <v>274.37717856763146</v>
      </c>
      <c r="CZ142" s="59">
        <f t="shared" si="150"/>
        <v>264.17357326498581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8.3629386693702362E-16</v>
      </c>
      <c r="DI142" s="22">
        <f t="shared" si="123"/>
        <v>8.3629386693702362E-16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-1.7053025658242404E-13</v>
      </c>
      <c r="DP142" s="17">
        <f>DO142*VLOOKUP('Données projet'!$B$14,Paramètres!$A$1:$I$89,3,0)*VLOOKUP('Données projet'!$B$14,Paramètres!$A$1:$I$89,5,0)</f>
        <v>-1.383341441396624E-13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304.26232113495314</v>
      </c>
      <c r="DU142" s="59">
        <f t="shared" si="152"/>
        <v>297.47246687305056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32.765527847709414</v>
      </c>
      <c r="EB142" s="21">
        <f>EXP(-LN(2)/25)*EB141+(1-EXP(-LN(2)/25))/(LN(2)/25)*Calculateur!DW142*Calculateur!DY142*VLOOKUP('Données projet'!$B$14,Paramètres!$A$1:$I$89,3,0)*0.475*44/12</f>
        <v>0.56315348842535673</v>
      </c>
      <c r="EC142" s="21">
        <f>EXP(-LN(2)/2)*EC141+(1-EXP(-LN(2)/2))/(LN(2)/2)*DW142*DZ142*VLOOKUP('Données projet'!$B$14,Paramètres!$A$1:$I$89,3,0)*0.475*44/12</f>
        <v>5.5882848014175059E-8</v>
      </c>
      <c r="ED142" s="22">
        <f t="shared" si="126"/>
        <v>33.328681392017621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2.5715962692629546E-13</v>
      </c>
      <c r="P143" s="13">
        <f t="shared" si="141"/>
        <v>3.4610450122128953E-12</v>
      </c>
      <c r="Q143" s="20">
        <f t="shared" si="108"/>
        <v>6.4758730798340893E-12</v>
      </c>
      <c r="R143" s="59">
        <f t="shared" si="109"/>
        <v>293.33333333333979</v>
      </c>
      <c r="S143" s="59">
        <f ca="1">AVERAGE(OFFSET($R$3,0,0,'Données projet'!$E$9+1,1))-AVERAGE(OFFSET($H$3,0,0,'Données projet'!$E$9+1,1))</f>
        <v>344.4940855044307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2.1244211695700004E-16</v>
      </c>
      <c r="AC143" s="22">
        <f t="shared" si="111"/>
        <v>2.1244211695700004E-16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-1.1439169611549005E-13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246.71489737733248</v>
      </c>
      <c r="AO143" s="59">
        <f t="shared" si="144"/>
        <v>185.03615139960783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-2.7489477361086758E-14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211.98817606983374</v>
      </c>
      <c r="BJ143" s="59">
        <f t="shared" si="146"/>
        <v>154.0840647586964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-2.8421709430404007E-14</v>
      </c>
      <c r="BZ143" s="13">
        <f>BY143*VLOOKUP('Données projet'!$B$12,Paramètres!$A$1:$I$89,3,0)*VLOOKUP('Données projet'!$B$12,Paramètres!$A$1:$I$89,5,0)</f>
        <v>-3.0593128030886874E-14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231.89176215692947</v>
      </c>
      <c r="CE143" s="59">
        <f t="shared" si="148"/>
        <v>166.97658184507787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2.2737367544323206E-13</v>
      </c>
      <c r="CU143" s="17">
        <f>CT143*VLOOKUP('Données projet'!$B$13,Paramètres!$A$1:$I$89,3,0)*VLOOKUP('Données projet'!$B$13,Paramètres!$A$1:$I$89,5,0)</f>
        <v>1.7735146684572101E-13</v>
      </c>
      <c r="CV143" s="13">
        <f t="shared" si="149"/>
        <v>2.4924271921531257E-12</v>
      </c>
      <c r="CW143" s="20">
        <f t="shared" si="121"/>
        <v>4.6498644977563242E-12</v>
      </c>
      <c r="CX143" s="59">
        <f t="shared" si="122"/>
        <v>293.33333333333798</v>
      </c>
      <c r="CY143" s="59">
        <f ca="1">AVERAGE(OFFSET($CX$3,0,0,'Données projet'!$E$13+1,1))-AVERAGE(OFFSET($H$3,0,0,'Données projet'!$E$13+1,1))</f>
        <v>274.37717856763146</v>
      </c>
      <c r="CZ143" s="59">
        <f t="shared" si="150"/>
        <v>264.17357326498581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5.9134906437588964E-16</v>
      </c>
      <c r="DI143" s="22">
        <f t="shared" si="123"/>
        <v>5.9134906437588964E-16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-1.7053025658242404E-13</v>
      </c>
      <c r="DP143" s="17">
        <f>DO143*VLOOKUP('Données projet'!$B$14,Paramètres!$A$1:$I$89,3,0)*VLOOKUP('Données projet'!$B$14,Paramètres!$A$1:$I$89,5,0)</f>
        <v>-1.383341441396624E-13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304.26232113495314</v>
      </c>
      <c r="DU143" s="59">
        <f t="shared" si="152"/>
        <v>297.47246687305056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32.123015831614467</v>
      </c>
      <c r="EB143" s="21">
        <f>EXP(-LN(2)/25)*EB142+(1-EXP(-LN(2)/25))/(LN(2)/25)*Calculateur!DW143*Calculateur!DY143*VLOOKUP('Données projet'!$B$14,Paramètres!$A$1:$I$89,3,0)*0.475*44/12</f>
        <v>0.54775402666941053</v>
      </c>
      <c r="EC143" s="21">
        <f>EXP(-LN(2)/2)*EC142+(1-EXP(-LN(2)/2))/(LN(2)/2)*DW143*DZ143*VLOOKUP('Données projet'!$B$14,Paramètres!$A$1:$I$89,3,0)*0.475*44/12</f>
        <v>3.9515140782840375E-8</v>
      </c>
      <c r="ED143" s="22">
        <f t="shared" si="126"/>
        <v>32.670769897799019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2.5715962692629546E-13</v>
      </c>
      <c r="P144" s="13">
        <f t="shared" si="141"/>
        <v>3.4610450122128953E-12</v>
      </c>
      <c r="Q144" s="20">
        <f t="shared" si="108"/>
        <v>6.4758730798340893E-12</v>
      </c>
      <c r="R144" s="59">
        <f t="shared" si="109"/>
        <v>293.33333333333979</v>
      </c>
      <c r="S144" s="59">
        <f ca="1">AVERAGE(OFFSET($R$3,0,0,'Données projet'!$E$9+1,1))-AVERAGE(OFFSET($H$3,0,0,'Données projet'!$E$9+1,1))</f>
        <v>344.4940855044307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1.5021926150992036E-16</v>
      </c>
      <c r="AC144" s="22">
        <f t="shared" si="111"/>
        <v>1.5021926150992036E-16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-1.1439169611549005E-13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246.71489737733248</v>
      </c>
      <c r="AO144" s="59">
        <f t="shared" si="144"/>
        <v>185.03615139960783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-2.7489477361086758E-14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211.98817606983374</v>
      </c>
      <c r="BJ144" s="59">
        <f t="shared" si="146"/>
        <v>154.0840647586964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-2.8421709430404007E-14</v>
      </c>
      <c r="BZ144" s="13">
        <f>BY144*VLOOKUP('Données projet'!$B$12,Paramètres!$A$1:$I$89,3,0)*VLOOKUP('Données projet'!$B$12,Paramètres!$A$1:$I$89,5,0)</f>
        <v>-3.0593128030886874E-14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231.89176215692947</v>
      </c>
      <c r="CE144" s="59">
        <f t="shared" si="148"/>
        <v>166.97658184507787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2.2737367544323206E-13</v>
      </c>
      <c r="CU144" s="17">
        <f>CT144*VLOOKUP('Données projet'!$B$13,Paramètres!$A$1:$I$89,3,0)*VLOOKUP('Données projet'!$B$13,Paramètres!$A$1:$I$89,5,0)</f>
        <v>1.7735146684572101E-13</v>
      </c>
      <c r="CV144" s="13">
        <f t="shared" si="149"/>
        <v>2.4924271921531257E-12</v>
      </c>
      <c r="CW144" s="20">
        <f t="shared" si="121"/>
        <v>4.6498644977563242E-12</v>
      </c>
      <c r="CX144" s="59">
        <f t="shared" si="122"/>
        <v>293.33333333333798</v>
      </c>
      <c r="CY144" s="59">
        <f ca="1">AVERAGE(OFFSET($CX$3,0,0,'Données projet'!$E$13+1,1))-AVERAGE(OFFSET($H$3,0,0,'Données projet'!$E$13+1,1))</f>
        <v>274.37717856763146</v>
      </c>
      <c r="CZ144" s="59">
        <f t="shared" si="150"/>
        <v>264.17357326498581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4.1814693346851181E-16</v>
      </c>
      <c r="DI144" s="22">
        <f t="shared" si="123"/>
        <v>4.1814693346851181E-16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-1.7053025658242404E-13</v>
      </c>
      <c r="DP144" s="17">
        <f>DO144*VLOOKUP('Données projet'!$B$14,Paramètres!$A$1:$I$89,3,0)*VLOOKUP('Données projet'!$B$14,Paramètres!$A$1:$I$89,5,0)</f>
        <v>-1.383341441396624E-13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304.26232113495314</v>
      </c>
      <c r="DU144" s="59">
        <f t="shared" si="152"/>
        <v>297.47246687305056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31.493103084261506</v>
      </c>
      <c r="EB144" s="21">
        <f>EXP(-LN(2)/25)*EB143+(1-EXP(-LN(2)/25))/(LN(2)/25)*Calculateur!DW144*Calculateur!DY144*VLOOKUP('Données projet'!$B$14,Paramètres!$A$1:$I$89,3,0)*0.475*44/12</f>
        <v>0.5327756640050032</v>
      </c>
      <c r="EC144" s="21">
        <f>EXP(-LN(2)/2)*EC143+(1-EXP(-LN(2)/2))/(LN(2)/2)*DW144*DZ144*VLOOKUP('Données projet'!$B$14,Paramètres!$A$1:$I$89,3,0)*0.475*44/12</f>
        <v>2.794142400708753E-8</v>
      </c>
      <c r="ED144" s="22">
        <f t="shared" si="126"/>
        <v>32.025878776207932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2.5715962692629546E-13</v>
      </c>
      <c r="P145" s="13">
        <f t="shared" si="141"/>
        <v>3.4610450122128953E-12</v>
      </c>
      <c r="Q145" s="20">
        <f t="shared" si="108"/>
        <v>6.4758730798340893E-12</v>
      </c>
      <c r="R145" s="59">
        <f t="shared" si="109"/>
        <v>293.33333333333979</v>
      </c>
      <c r="S145" s="59">
        <f ca="1">AVERAGE(OFFSET($R$3,0,0,'Données projet'!$E$9+1,1))-AVERAGE(OFFSET($H$3,0,0,'Données projet'!$E$9+1,1))</f>
        <v>344.4940855044307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1.0622105847850002E-16</v>
      </c>
      <c r="AC145" s="22">
        <f t="shared" si="111"/>
        <v>1.0622105847850002E-16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-1.1439169611549005E-13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246.71489737733248</v>
      </c>
      <c r="AO145" s="59">
        <f t="shared" si="144"/>
        <v>185.03615139960783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-2.7489477361086758E-14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211.98817606983374</v>
      </c>
      <c r="BJ145" s="59">
        <f t="shared" si="146"/>
        <v>154.0840647586964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-2.8421709430404007E-14</v>
      </c>
      <c r="BZ145" s="13">
        <f>BY145*VLOOKUP('Données projet'!$B$12,Paramètres!$A$1:$I$89,3,0)*VLOOKUP('Données projet'!$B$12,Paramètres!$A$1:$I$89,5,0)</f>
        <v>-3.0593128030886874E-14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231.89176215692947</v>
      </c>
      <c r="CE145" s="59">
        <f t="shared" si="148"/>
        <v>166.97658184507787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2.2737367544323206E-13</v>
      </c>
      <c r="CU145" s="17">
        <f>CT145*VLOOKUP('Données projet'!$B$13,Paramètres!$A$1:$I$89,3,0)*VLOOKUP('Données projet'!$B$13,Paramètres!$A$1:$I$89,5,0)</f>
        <v>1.7735146684572101E-13</v>
      </c>
      <c r="CV145" s="13">
        <f t="shared" si="149"/>
        <v>2.4924271921531257E-12</v>
      </c>
      <c r="CW145" s="20">
        <f t="shared" si="121"/>
        <v>4.6498644977563242E-12</v>
      </c>
      <c r="CX145" s="59">
        <f t="shared" si="122"/>
        <v>293.33333333333798</v>
      </c>
      <c r="CY145" s="59">
        <f ca="1">AVERAGE(OFFSET($CX$3,0,0,'Données projet'!$E$13+1,1))-AVERAGE(OFFSET($H$3,0,0,'Données projet'!$E$13+1,1))</f>
        <v>274.37717856763146</v>
      </c>
      <c r="CZ145" s="59">
        <f t="shared" si="150"/>
        <v>264.17357326498581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2.9567453218794482E-16</v>
      </c>
      <c r="DI145" s="22">
        <f t="shared" si="123"/>
        <v>2.9567453218794482E-16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-1.7053025658242404E-13</v>
      </c>
      <c r="DP145" s="17">
        <f>DO145*VLOOKUP('Données projet'!$B$14,Paramètres!$A$1:$I$89,3,0)*VLOOKUP('Données projet'!$B$14,Paramètres!$A$1:$I$89,5,0)</f>
        <v>-1.383341441396624E-13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304.26232113495314</v>
      </c>
      <c r="DU145" s="59">
        <f t="shared" si="152"/>
        <v>297.47246687305056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30.875542541675298</v>
      </c>
      <c r="EB145" s="21">
        <f>EXP(-LN(2)/25)*EB144+(1-EXP(-LN(2)/25))/(LN(2)/25)*Calculateur!DW145*Calculateur!DY145*VLOOKUP('Données projet'!$B$14,Paramètres!$A$1:$I$89,3,0)*0.475*44/12</f>
        <v>0.51820688545533189</v>
      </c>
      <c r="EC145" s="21">
        <f>EXP(-LN(2)/2)*EC144+(1-EXP(-LN(2)/2))/(LN(2)/2)*DW145*DZ145*VLOOKUP('Données projet'!$B$14,Paramètres!$A$1:$I$89,3,0)*0.475*44/12</f>
        <v>1.9757570391420188E-8</v>
      </c>
      <c r="ED145" s="22">
        <f t="shared" si="126"/>
        <v>31.393749446888201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2.5715962692629546E-13</v>
      </c>
      <c r="P146" s="13">
        <f t="shared" si="141"/>
        <v>3.4610450122128953E-12</v>
      </c>
      <c r="Q146" s="20">
        <f t="shared" si="108"/>
        <v>6.4758730798340893E-12</v>
      </c>
      <c r="R146" s="59">
        <f t="shared" si="109"/>
        <v>293.33333333333979</v>
      </c>
      <c r="S146" s="59">
        <f ca="1">AVERAGE(OFFSET($R$3,0,0,'Données projet'!$E$9+1,1))-AVERAGE(OFFSET($H$3,0,0,'Données projet'!$E$9+1,1))</f>
        <v>344.4940855044307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7.5109630754960181E-17</v>
      </c>
      <c r="AC146" s="22">
        <f t="shared" si="111"/>
        <v>7.5109630754960181E-17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-1.1439169611549005E-13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246.71489737733248</v>
      </c>
      <c r="AO146" s="59">
        <f t="shared" si="144"/>
        <v>185.03615139960783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-2.7489477361086758E-14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211.98817606983374</v>
      </c>
      <c r="BJ146" s="59">
        <f t="shared" si="146"/>
        <v>154.0840647586964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-2.8421709430404007E-14</v>
      </c>
      <c r="BZ146" s="13">
        <f>BY146*VLOOKUP('Données projet'!$B$12,Paramètres!$A$1:$I$89,3,0)*VLOOKUP('Données projet'!$B$12,Paramètres!$A$1:$I$89,5,0)</f>
        <v>-3.0593128030886874E-14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231.89176215692947</v>
      </c>
      <c r="CE146" s="59">
        <f t="shared" si="148"/>
        <v>166.97658184507787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2.2737367544323206E-13</v>
      </c>
      <c r="CU146" s="17">
        <f>CT146*VLOOKUP('Données projet'!$B$13,Paramètres!$A$1:$I$89,3,0)*VLOOKUP('Données projet'!$B$13,Paramètres!$A$1:$I$89,5,0)</f>
        <v>1.7735146684572101E-13</v>
      </c>
      <c r="CV146" s="13">
        <f t="shared" si="149"/>
        <v>2.4924271921531257E-12</v>
      </c>
      <c r="CW146" s="20">
        <f t="shared" si="121"/>
        <v>4.6498644977563242E-12</v>
      </c>
      <c r="CX146" s="59">
        <f t="shared" si="122"/>
        <v>293.33333333333798</v>
      </c>
      <c r="CY146" s="59">
        <f ca="1">AVERAGE(OFFSET($CX$3,0,0,'Données projet'!$E$13+1,1))-AVERAGE(OFFSET($H$3,0,0,'Données projet'!$E$13+1,1))</f>
        <v>274.37717856763146</v>
      </c>
      <c r="CZ146" s="59">
        <f t="shared" si="150"/>
        <v>264.17357326498581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2.090734667342559E-16</v>
      </c>
      <c r="DI146" s="22">
        <f t="shared" si="123"/>
        <v>2.090734667342559E-16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-1.7053025658242404E-13</v>
      </c>
      <c r="DP146" s="17">
        <f>DO146*VLOOKUP('Données projet'!$B$14,Paramètres!$A$1:$I$89,3,0)*VLOOKUP('Données projet'!$B$14,Paramètres!$A$1:$I$89,5,0)</f>
        <v>-1.383341441396624E-13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304.26232113495314</v>
      </c>
      <c r="DU146" s="59">
        <f t="shared" si="152"/>
        <v>297.47246687305056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30.270091984654467</v>
      </c>
      <c r="EB146" s="21">
        <f>EXP(-LN(2)/25)*EB145+(1-EXP(-LN(2)/25))/(LN(2)/25)*Calculateur!DW146*Calculateur!DY146*VLOOKUP('Données projet'!$B$14,Paramètres!$A$1:$I$89,3,0)*0.475*44/12</f>
        <v>0.50403649092124014</v>
      </c>
      <c r="EC146" s="21">
        <f>EXP(-LN(2)/2)*EC145+(1-EXP(-LN(2)/2))/(LN(2)/2)*DW146*DZ146*VLOOKUP('Données projet'!$B$14,Paramètres!$A$1:$I$89,3,0)*0.475*44/12</f>
        <v>1.3970712003543765E-8</v>
      </c>
      <c r="ED146" s="22">
        <f t="shared" si="126"/>
        <v>30.77412848954642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2.5715962692629546E-13</v>
      </c>
      <c r="P147" s="13">
        <f t="shared" si="141"/>
        <v>3.4610450122128953E-12</v>
      </c>
      <c r="Q147" s="20">
        <f t="shared" si="108"/>
        <v>6.4758730798340893E-12</v>
      </c>
      <c r="R147" s="59">
        <f t="shared" si="109"/>
        <v>293.33333333333979</v>
      </c>
      <c r="S147" s="59">
        <f ca="1">AVERAGE(OFFSET($R$3,0,0,'Données projet'!$E$9+1,1))-AVERAGE(OFFSET($H$3,0,0,'Données projet'!$E$9+1,1))</f>
        <v>344.4940855044307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5.311052923925001E-17</v>
      </c>
      <c r="AC147" s="22">
        <f t="shared" si="111"/>
        <v>5.311052923925001E-17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-1.1439169611549005E-13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246.71489737733248</v>
      </c>
      <c r="AO147" s="59">
        <f t="shared" si="144"/>
        <v>185.03615139960783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-2.7489477361086758E-14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211.98817606983374</v>
      </c>
      <c r="BJ147" s="59">
        <f t="shared" si="146"/>
        <v>154.0840647586964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-2.8421709430404007E-14</v>
      </c>
      <c r="BZ147" s="13">
        <f>BY147*VLOOKUP('Données projet'!$B$12,Paramètres!$A$1:$I$89,3,0)*VLOOKUP('Données projet'!$B$12,Paramètres!$A$1:$I$89,5,0)</f>
        <v>-3.0593128030886874E-14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231.89176215692947</v>
      </c>
      <c r="CE147" s="59">
        <f t="shared" si="148"/>
        <v>166.97658184507787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2.2737367544323206E-13</v>
      </c>
      <c r="CU147" s="17">
        <f>CT147*VLOOKUP('Données projet'!$B$13,Paramètres!$A$1:$I$89,3,0)*VLOOKUP('Données projet'!$B$13,Paramètres!$A$1:$I$89,5,0)</f>
        <v>1.7735146684572101E-13</v>
      </c>
      <c r="CV147" s="13">
        <f t="shared" si="149"/>
        <v>2.4924271921531257E-12</v>
      </c>
      <c r="CW147" s="20">
        <f t="shared" si="121"/>
        <v>4.6498644977563242E-12</v>
      </c>
      <c r="CX147" s="59">
        <f t="shared" si="122"/>
        <v>293.33333333333798</v>
      </c>
      <c r="CY147" s="59">
        <f ca="1">AVERAGE(OFFSET($CX$3,0,0,'Données projet'!$E$13+1,1))-AVERAGE(OFFSET($H$3,0,0,'Données projet'!$E$13+1,1))</f>
        <v>274.37717856763146</v>
      </c>
      <c r="CZ147" s="59">
        <f t="shared" si="150"/>
        <v>264.17357326498581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1.4783726609397241E-16</v>
      </c>
      <c r="DI147" s="22">
        <f t="shared" si="123"/>
        <v>1.4783726609397241E-16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-1.7053025658242404E-13</v>
      </c>
      <c r="DP147" s="17">
        <f>DO147*VLOOKUP('Données projet'!$B$14,Paramètres!$A$1:$I$89,3,0)*VLOOKUP('Données projet'!$B$14,Paramètres!$A$1:$I$89,5,0)</f>
        <v>-1.383341441396624E-13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304.26232113495314</v>
      </c>
      <c r="DU147" s="59">
        <f t="shared" si="152"/>
        <v>297.47246687305056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29.676513943768441</v>
      </c>
      <c r="EB147" s="21">
        <f>EXP(-LN(2)/25)*EB146+(1-EXP(-LN(2)/25))/(LN(2)/25)*Calculateur!DW147*Calculateur!DY147*VLOOKUP('Données projet'!$B$14,Paramètres!$A$1:$I$89,3,0)*0.475*44/12</f>
        <v>0.49025358657087176</v>
      </c>
      <c r="EC147" s="21">
        <f>EXP(-LN(2)/2)*EC146+(1-EXP(-LN(2)/2))/(LN(2)/2)*DW147*DZ147*VLOOKUP('Données projet'!$B$14,Paramètres!$A$1:$I$89,3,0)*0.475*44/12</f>
        <v>9.8787851957100938E-9</v>
      </c>
      <c r="ED147" s="22">
        <f t="shared" si="126"/>
        <v>30.1667675402181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2.5715962692629546E-13</v>
      </c>
      <c r="P148" s="13">
        <f t="shared" si="141"/>
        <v>3.4610450122128953E-12</v>
      </c>
      <c r="Q148" s="20">
        <f t="shared" si="108"/>
        <v>6.4758730798340893E-12</v>
      </c>
      <c r="R148" s="59">
        <f t="shared" si="109"/>
        <v>293.33333333333979</v>
      </c>
      <c r="S148" s="59">
        <f ca="1">AVERAGE(OFFSET($R$3,0,0,'Données projet'!$E$9+1,1))-AVERAGE(OFFSET($H$3,0,0,'Données projet'!$E$9+1,1))</f>
        <v>344.4940855044307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3.7554815377480091E-17</v>
      </c>
      <c r="AC148" s="22">
        <f t="shared" si="111"/>
        <v>3.7554815377480091E-17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-1.1439169611549005E-13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246.71489737733248</v>
      </c>
      <c r="AO148" s="59">
        <f t="shared" si="144"/>
        <v>185.03615139960783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-2.7489477361086758E-14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211.98817606983374</v>
      </c>
      <c r="BJ148" s="59">
        <f t="shared" si="146"/>
        <v>154.0840647586964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-2.8421709430404007E-14</v>
      </c>
      <c r="BZ148" s="13">
        <f>BY148*VLOOKUP('Données projet'!$B$12,Paramètres!$A$1:$I$89,3,0)*VLOOKUP('Données projet'!$B$12,Paramètres!$A$1:$I$89,5,0)</f>
        <v>-3.0593128030886874E-14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231.89176215692947</v>
      </c>
      <c r="CE148" s="59">
        <f t="shared" si="148"/>
        <v>166.97658184507787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2.2737367544323206E-13</v>
      </c>
      <c r="CU148" s="17">
        <f>CT148*VLOOKUP('Données projet'!$B$13,Paramètres!$A$1:$I$89,3,0)*VLOOKUP('Données projet'!$B$13,Paramètres!$A$1:$I$89,5,0)</f>
        <v>1.7735146684572101E-13</v>
      </c>
      <c r="CV148" s="13">
        <f t="shared" si="149"/>
        <v>2.4924271921531257E-12</v>
      </c>
      <c r="CW148" s="20">
        <f t="shared" si="121"/>
        <v>4.6498644977563242E-12</v>
      </c>
      <c r="CX148" s="59">
        <f t="shared" si="122"/>
        <v>293.33333333333798</v>
      </c>
      <c r="CY148" s="59">
        <f ca="1">AVERAGE(OFFSET($CX$3,0,0,'Données projet'!$E$13+1,1))-AVERAGE(OFFSET($H$3,0,0,'Données projet'!$E$13+1,1))</f>
        <v>274.37717856763146</v>
      </c>
      <c r="CZ148" s="59">
        <f t="shared" si="150"/>
        <v>264.17357326498581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1.0453673336712795E-16</v>
      </c>
      <c r="DI148" s="22">
        <f t="shared" si="123"/>
        <v>1.0453673336712795E-16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-1.7053025658242404E-13</v>
      </c>
      <c r="DP148" s="17">
        <f>DO148*VLOOKUP('Données projet'!$B$14,Paramètres!$A$1:$I$89,3,0)*VLOOKUP('Données projet'!$B$14,Paramètres!$A$1:$I$89,5,0)</f>
        <v>-1.383341441396624E-13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304.26232113495314</v>
      </c>
      <c r="DU148" s="59">
        <f t="shared" si="152"/>
        <v>297.47246687305056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29.094575606217333</v>
      </c>
      <c r="EB148" s="21">
        <f>EXP(-LN(2)/25)*EB147+(1-EXP(-LN(2)/25))/(LN(2)/25)*Calculateur!DW148*Calculateur!DY148*VLOOKUP('Données projet'!$B$14,Paramètres!$A$1:$I$89,3,0)*0.475*44/12</f>
        <v>0.47684757646477566</v>
      </c>
      <c r="EC148" s="21">
        <f>EXP(-LN(2)/2)*EC147+(1-EXP(-LN(2)/2))/(LN(2)/2)*DW148*DZ148*VLOOKUP('Données projet'!$B$14,Paramètres!$A$1:$I$89,3,0)*0.475*44/12</f>
        <v>6.9853560017718824E-9</v>
      </c>
      <c r="ED148" s="22">
        <f t="shared" si="126"/>
        <v>29.571423189667463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2.5715962692629546E-13</v>
      </c>
      <c r="P149" s="13">
        <f t="shared" si="141"/>
        <v>3.4610450122128953E-12</v>
      </c>
      <c r="Q149" s="20">
        <f t="shared" si="108"/>
        <v>6.4758730798340893E-12</v>
      </c>
      <c r="R149" s="59">
        <f t="shared" si="109"/>
        <v>293.33333333333979</v>
      </c>
      <c r="S149" s="59">
        <f ca="1">AVERAGE(OFFSET($R$3,0,0,'Données projet'!$E$9+1,1))-AVERAGE(OFFSET($H$3,0,0,'Données projet'!$E$9+1,1))</f>
        <v>344.4940855044307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2.6555264619625005E-17</v>
      </c>
      <c r="AC149" s="22">
        <f t="shared" si="111"/>
        <v>2.6555264619625005E-17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-1.1439169611549005E-13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246.71489737733248</v>
      </c>
      <c r="AO149" s="59">
        <f t="shared" si="144"/>
        <v>185.03615139960783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-2.7489477361086758E-14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211.98817606983374</v>
      </c>
      <c r="BJ149" s="59">
        <f t="shared" si="146"/>
        <v>154.0840647586964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-2.8421709430404007E-14</v>
      </c>
      <c r="BZ149" s="13">
        <f>BY149*VLOOKUP('Données projet'!$B$12,Paramètres!$A$1:$I$89,3,0)*VLOOKUP('Données projet'!$B$12,Paramètres!$A$1:$I$89,5,0)</f>
        <v>-3.0593128030886874E-14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231.89176215692947</v>
      </c>
      <c r="CE149" s="59">
        <f t="shared" si="148"/>
        <v>166.97658184507787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2.2737367544323206E-13</v>
      </c>
      <c r="CU149" s="17">
        <f>CT149*VLOOKUP('Données projet'!$B$13,Paramètres!$A$1:$I$89,3,0)*VLOOKUP('Données projet'!$B$13,Paramètres!$A$1:$I$89,5,0)</f>
        <v>1.7735146684572101E-13</v>
      </c>
      <c r="CV149" s="13">
        <f t="shared" si="149"/>
        <v>2.4924271921531257E-12</v>
      </c>
      <c r="CW149" s="20">
        <f t="shared" si="121"/>
        <v>4.6498644977563242E-12</v>
      </c>
      <c r="CX149" s="59">
        <f t="shared" si="122"/>
        <v>293.33333333333798</v>
      </c>
      <c r="CY149" s="59">
        <f ca="1">AVERAGE(OFFSET($CX$3,0,0,'Données projet'!$E$13+1,1))-AVERAGE(OFFSET($H$3,0,0,'Données projet'!$E$13+1,1))</f>
        <v>274.37717856763146</v>
      </c>
      <c r="CZ149" s="59">
        <f t="shared" si="150"/>
        <v>264.17357326498581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7.3918633046986205E-17</v>
      </c>
      <c r="DI149" s="22">
        <f t="shared" si="123"/>
        <v>7.3918633046986205E-17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-1.7053025658242404E-13</v>
      </c>
      <c r="DP149" s="17">
        <f>DO149*VLOOKUP('Données projet'!$B$14,Paramètres!$A$1:$I$89,3,0)*VLOOKUP('Données projet'!$B$14,Paramètres!$A$1:$I$89,5,0)</f>
        <v>-1.383341441396624E-13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304.26232113495314</v>
      </c>
      <c r="DU149" s="59">
        <f t="shared" si="152"/>
        <v>297.47246687305056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28.524048724518266</v>
      </c>
      <c r="EB149" s="21">
        <f>EXP(-LN(2)/25)*EB148+(1-EXP(-LN(2)/25))/(LN(2)/25)*Calculateur!DW149*Calculateur!DY149*VLOOKUP('Données projet'!$B$14,Paramètres!$A$1:$I$89,3,0)*0.475*44/12</f>
        <v>0.46380815441002216</v>
      </c>
      <c r="EC149" s="21">
        <f>EXP(-LN(2)/2)*EC148+(1-EXP(-LN(2)/2))/(LN(2)/2)*DW149*DZ149*VLOOKUP('Données projet'!$B$14,Paramètres!$A$1:$I$89,3,0)*0.475*44/12</f>
        <v>4.9393925978550469E-9</v>
      </c>
      <c r="ED149" s="22">
        <f t="shared" si="126"/>
        <v>28.987856883867678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2.5715962692629546E-13</v>
      </c>
      <c r="P150" s="13">
        <f t="shared" si="141"/>
        <v>3.4610450122128953E-12</v>
      </c>
      <c r="Q150" s="20">
        <f t="shared" si="108"/>
        <v>6.4758730798340893E-12</v>
      </c>
      <c r="R150" s="59">
        <f t="shared" si="109"/>
        <v>293.33333333333979</v>
      </c>
      <c r="S150" s="59">
        <f ca="1">AVERAGE(OFFSET($R$3,0,0,'Données projet'!$E$9+1,1))-AVERAGE(OFFSET($H$3,0,0,'Données projet'!$E$9+1,1))</f>
        <v>344.4940855044307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1.8777407688740045E-17</v>
      </c>
      <c r="AC150" s="22">
        <f t="shared" si="111"/>
        <v>1.8777407688740045E-17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-1.1439169611549005E-13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246.71489737733248</v>
      </c>
      <c r="AO150" s="59">
        <f t="shared" si="144"/>
        <v>185.03615139960783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-2.7489477361086758E-14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211.98817606983374</v>
      </c>
      <c r="BJ150" s="59">
        <f t="shared" si="146"/>
        <v>154.0840647586964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-2.8421709430404007E-14</v>
      </c>
      <c r="BZ150" s="13">
        <f>BY150*VLOOKUP('Données projet'!$B$12,Paramètres!$A$1:$I$89,3,0)*VLOOKUP('Données projet'!$B$12,Paramètres!$A$1:$I$89,5,0)</f>
        <v>-3.0593128030886874E-14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231.89176215692947</v>
      </c>
      <c r="CE150" s="59">
        <f t="shared" si="148"/>
        <v>166.97658184507787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2.2737367544323206E-13</v>
      </c>
      <c r="CU150" s="17">
        <f>CT150*VLOOKUP('Données projet'!$B$13,Paramètres!$A$1:$I$89,3,0)*VLOOKUP('Données projet'!$B$13,Paramètres!$A$1:$I$89,5,0)</f>
        <v>1.7735146684572101E-13</v>
      </c>
      <c r="CV150" s="13">
        <f t="shared" si="149"/>
        <v>2.4924271921531257E-12</v>
      </c>
      <c r="CW150" s="20">
        <f t="shared" si="121"/>
        <v>4.6498644977563242E-12</v>
      </c>
      <c r="CX150" s="59">
        <f t="shared" si="122"/>
        <v>293.33333333333798</v>
      </c>
      <c r="CY150" s="59">
        <f ca="1">AVERAGE(OFFSET($CX$3,0,0,'Données projet'!$E$13+1,1))-AVERAGE(OFFSET($H$3,0,0,'Données projet'!$E$13+1,1))</f>
        <v>274.37717856763146</v>
      </c>
      <c r="CZ150" s="59">
        <f t="shared" si="150"/>
        <v>264.17357326498581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5.2268366683563976E-17</v>
      </c>
      <c r="DI150" s="22">
        <f t="shared" si="123"/>
        <v>5.2268366683563976E-17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-1.7053025658242404E-13</v>
      </c>
      <c r="DP150" s="17">
        <f>DO150*VLOOKUP('Données projet'!$B$14,Paramètres!$A$1:$I$89,3,0)*VLOOKUP('Données projet'!$B$14,Paramètres!$A$1:$I$89,5,0)</f>
        <v>-1.383341441396624E-13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304.26232113495314</v>
      </c>
      <c r="DU150" s="59">
        <f t="shared" si="152"/>
        <v>297.47246687305056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27.964709526982279</v>
      </c>
      <c r="EB150" s="21">
        <f>EXP(-LN(2)/25)*EB149+(1-EXP(-LN(2)/25))/(LN(2)/25)*Calculateur!DW150*Calculateur!DY150*VLOOKUP('Données projet'!$B$14,Paramètres!$A$1:$I$89,3,0)*0.475*44/12</f>
        <v>0.4511252960370693</v>
      </c>
      <c r="EC150" s="21">
        <f>EXP(-LN(2)/2)*EC149+(1-EXP(-LN(2)/2))/(LN(2)/2)*DW150*DZ150*VLOOKUP('Données projet'!$B$14,Paramètres!$A$1:$I$89,3,0)*0.475*44/12</f>
        <v>3.4926780008859412E-9</v>
      </c>
      <c r="ED150" s="22">
        <f t="shared" si="126"/>
        <v>28.415834826512025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2.5715962692629546E-13</v>
      </c>
      <c r="P151" s="13">
        <f t="shared" si="141"/>
        <v>3.4610450122128953E-12</v>
      </c>
      <c r="Q151" s="20">
        <f t="shared" si="108"/>
        <v>6.4758730798340893E-12</v>
      </c>
      <c r="R151" s="59">
        <f t="shared" si="109"/>
        <v>293.33333333333979</v>
      </c>
      <c r="S151" s="59">
        <f ca="1">AVERAGE(OFFSET($R$3,0,0,'Données projet'!$E$9+1,1))-AVERAGE(OFFSET($H$3,0,0,'Données projet'!$E$9+1,1))</f>
        <v>344.4940855044307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1.3277632309812503E-17</v>
      </c>
      <c r="AC151" s="22">
        <f t="shared" si="111"/>
        <v>1.3277632309812503E-17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-1.1439169611549005E-13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246.71489737733248</v>
      </c>
      <c r="AO151" s="59">
        <f t="shared" si="144"/>
        <v>185.03615139960783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-2.7489477361086758E-14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211.98817606983374</v>
      </c>
      <c r="BJ151" s="59">
        <f t="shared" si="146"/>
        <v>154.0840647586964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-2.8421709430404007E-14</v>
      </c>
      <c r="BZ151" s="13">
        <f>BY151*VLOOKUP('Données projet'!$B$12,Paramètres!$A$1:$I$89,3,0)*VLOOKUP('Données projet'!$B$12,Paramètres!$A$1:$I$89,5,0)</f>
        <v>-3.0593128030886874E-14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231.89176215692947</v>
      </c>
      <c r="CE151" s="59">
        <f t="shared" si="148"/>
        <v>166.97658184507787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2.2737367544323206E-13</v>
      </c>
      <c r="CU151" s="17">
        <f>CT151*VLOOKUP('Données projet'!$B$13,Paramètres!$A$1:$I$89,3,0)*VLOOKUP('Données projet'!$B$13,Paramètres!$A$1:$I$89,5,0)</f>
        <v>1.7735146684572101E-13</v>
      </c>
      <c r="CV151" s="13">
        <f t="shared" si="149"/>
        <v>2.4924271921531257E-12</v>
      </c>
      <c r="CW151" s="20">
        <f t="shared" si="121"/>
        <v>4.6498644977563242E-12</v>
      </c>
      <c r="CX151" s="59">
        <f t="shared" si="122"/>
        <v>293.33333333333798</v>
      </c>
      <c r="CY151" s="59">
        <f ca="1">AVERAGE(OFFSET($CX$3,0,0,'Données projet'!$E$13+1,1))-AVERAGE(OFFSET($H$3,0,0,'Données projet'!$E$13+1,1))</f>
        <v>274.37717856763146</v>
      </c>
      <c r="CZ151" s="59">
        <f t="shared" si="150"/>
        <v>264.17357326498581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3.6959316523493103E-17</v>
      </c>
      <c r="DI151" s="22">
        <f t="shared" si="123"/>
        <v>3.6959316523493103E-17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-1.7053025658242404E-13</v>
      </c>
      <c r="DP151" s="17">
        <f>DO151*VLOOKUP('Données projet'!$B$14,Paramètres!$A$1:$I$89,3,0)*VLOOKUP('Données projet'!$B$14,Paramètres!$A$1:$I$89,5,0)</f>
        <v>-1.383341441396624E-13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304.26232113495314</v>
      </c>
      <c r="DU151" s="59">
        <f t="shared" si="152"/>
        <v>297.47246687305056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27.41633862994675</v>
      </c>
      <c r="EB151" s="21">
        <f>EXP(-LN(2)/25)*EB150+(1-EXP(-LN(2)/25))/(LN(2)/25)*Calculateur!DW151*Calculateur!DY151*VLOOKUP('Données projet'!$B$14,Paramètres!$A$1:$I$89,3,0)*0.475*44/12</f>
        <v>0.43878925109328737</v>
      </c>
      <c r="EC151" s="21">
        <f>EXP(-LN(2)/2)*EC150+(1-EXP(-LN(2)/2))/(LN(2)/2)*DW151*DZ151*VLOOKUP('Données projet'!$B$14,Paramètres!$A$1:$I$89,3,0)*0.475*44/12</f>
        <v>2.4696962989275234E-9</v>
      </c>
      <c r="ED151" s="22">
        <f t="shared" si="126"/>
        <v>27.855127883509734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2.5715962692629546E-13</v>
      </c>
      <c r="P152" s="13">
        <f t="shared" si="141"/>
        <v>3.4610450122128953E-12</v>
      </c>
      <c r="Q152" s="20">
        <f t="shared" si="108"/>
        <v>6.4758730798340893E-12</v>
      </c>
      <c r="R152" s="59">
        <f t="shared" si="109"/>
        <v>293.33333333333979</v>
      </c>
      <c r="S152" s="59">
        <f ca="1">AVERAGE(OFFSET($R$3,0,0,'Données projet'!$E$9+1,1))-AVERAGE(OFFSET($H$3,0,0,'Données projet'!$E$9+1,1))</f>
        <v>344.4940855044307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9.3887038443700227E-18</v>
      </c>
      <c r="AC152" s="22">
        <f t="shared" si="111"/>
        <v>9.3887038443700227E-18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-1.1439169611549005E-13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246.71489737733248</v>
      </c>
      <c r="AO152" s="59">
        <f t="shared" si="144"/>
        <v>185.03615139960783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-2.7489477361086758E-14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211.98817606983374</v>
      </c>
      <c r="BJ152" s="59">
        <f t="shared" si="146"/>
        <v>154.0840647586964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-2.8421709430404007E-14</v>
      </c>
      <c r="BZ152" s="13">
        <f>BY152*VLOOKUP('Données projet'!$B$12,Paramètres!$A$1:$I$89,3,0)*VLOOKUP('Données projet'!$B$12,Paramètres!$A$1:$I$89,5,0)</f>
        <v>-3.0593128030886874E-14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231.89176215692947</v>
      </c>
      <c r="CE152" s="59">
        <f t="shared" si="148"/>
        <v>166.97658184507787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2.2737367544323206E-13</v>
      </c>
      <c r="CU152" s="17">
        <f>CT152*VLOOKUP('Données projet'!$B$13,Paramètres!$A$1:$I$89,3,0)*VLOOKUP('Données projet'!$B$13,Paramètres!$A$1:$I$89,5,0)</f>
        <v>1.7735146684572101E-13</v>
      </c>
      <c r="CV152" s="13">
        <f t="shared" si="149"/>
        <v>2.4924271921531257E-12</v>
      </c>
      <c r="CW152" s="20">
        <f t="shared" si="121"/>
        <v>4.6498644977563242E-12</v>
      </c>
      <c r="CX152" s="59">
        <f t="shared" si="122"/>
        <v>293.33333333333798</v>
      </c>
      <c r="CY152" s="59">
        <f ca="1">AVERAGE(OFFSET($CX$3,0,0,'Données projet'!$E$13+1,1))-AVERAGE(OFFSET($H$3,0,0,'Données projet'!$E$13+1,1))</f>
        <v>274.37717856763146</v>
      </c>
      <c r="CZ152" s="59">
        <f t="shared" si="150"/>
        <v>264.17357326498581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2.6134183341781988E-17</v>
      </c>
      <c r="DI152" s="22">
        <f t="shared" si="123"/>
        <v>2.6134183341781988E-17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-1.7053025658242404E-13</v>
      </c>
      <c r="DP152" s="17">
        <f>DO152*VLOOKUP('Données projet'!$B$14,Paramètres!$A$1:$I$89,3,0)*VLOOKUP('Données projet'!$B$14,Paramètres!$A$1:$I$89,5,0)</f>
        <v>-1.383341441396624E-13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304.26232113495314</v>
      </c>
      <c r="DU152" s="59">
        <f t="shared" si="152"/>
        <v>297.47246687305056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26.878720951728866</v>
      </c>
      <c r="EB152" s="21">
        <f>EXP(-LN(2)/25)*EB151+(1-EXP(-LN(2)/25))/(LN(2)/25)*Calculateur!DW152*Calculateur!DY152*VLOOKUP('Données projet'!$B$14,Paramètres!$A$1:$I$89,3,0)*0.475*44/12</f>
        <v>0.42679053594721755</v>
      </c>
      <c r="EC152" s="21">
        <f>EXP(-LN(2)/2)*EC151+(1-EXP(-LN(2)/2))/(LN(2)/2)*DW152*DZ152*VLOOKUP('Données projet'!$B$14,Paramètres!$A$1:$I$89,3,0)*0.475*44/12</f>
        <v>1.7463390004429706E-9</v>
      </c>
      <c r="ED152" s="22">
        <f t="shared" si="126"/>
        <v>27.305511489422422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2.5715962692629546E-13</v>
      </c>
      <c r="P153" s="13">
        <f t="shared" si="141"/>
        <v>3.4610450122128953E-12</v>
      </c>
      <c r="Q153" s="20">
        <f t="shared" si="108"/>
        <v>6.4758730798340893E-12</v>
      </c>
      <c r="R153" s="59">
        <f t="shared" si="109"/>
        <v>293.33333333333979</v>
      </c>
      <c r="S153" s="59">
        <f ca="1">AVERAGE(OFFSET($R$3,0,0,'Données projet'!$E$9+1,1))-AVERAGE(OFFSET($H$3,0,0,'Données projet'!$E$9+1,1))</f>
        <v>344.4940855044307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6.6388161549062513E-18</v>
      </c>
      <c r="AC153" s="22">
        <f t="shared" si="111"/>
        <v>6.6388161549062513E-18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-1.1439169611549005E-13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246.71489737733248</v>
      </c>
      <c r="AO153" s="59">
        <f t="shared" si="144"/>
        <v>185.03615139960783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-2.7489477361086758E-14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211.98817606983374</v>
      </c>
      <c r="BJ153" s="59">
        <f t="shared" si="146"/>
        <v>154.0840647586964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-2.8421709430404007E-14</v>
      </c>
      <c r="BZ153" s="13">
        <f>BY153*VLOOKUP('Données projet'!$B$12,Paramètres!$A$1:$I$89,3,0)*VLOOKUP('Données projet'!$B$12,Paramètres!$A$1:$I$89,5,0)</f>
        <v>-3.0593128030886874E-14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231.89176215692947</v>
      </c>
      <c r="CE153" s="59">
        <f t="shared" si="148"/>
        <v>166.97658184507787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2.2737367544323206E-13</v>
      </c>
      <c r="CU153" s="17">
        <f>CT153*VLOOKUP('Données projet'!$B$13,Paramètres!$A$1:$I$89,3,0)*VLOOKUP('Données projet'!$B$13,Paramètres!$A$1:$I$89,5,0)</f>
        <v>1.7735146684572101E-13</v>
      </c>
      <c r="CV153" s="13">
        <f t="shared" si="149"/>
        <v>2.4924271921531257E-12</v>
      </c>
      <c r="CW153" s="20">
        <f t="shared" si="121"/>
        <v>4.6498644977563242E-12</v>
      </c>
      <c r="CX153" s="59">
        <f t="shared" si="122"/>
        <v>293.33333333333798</v>
      </c>
      <c r="CY153" s="59">
        <f ca="1">AVERAGE(OFFSET($CX$3,0,0,'Données projet'!$E$13+1,1))-AVERAGE(OFFSET($H$3,0,0,'Données projet'!$E$13+1,1))</f>
        <v>274.37717856763146</v>
      </c>
      <c r="CZ153" s="59">
        <f t="shared" si="150"/>
        <v>264.17357326498581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1.8479658261746551E-17</v>
      </c>
      <c r="DI153" s="22">
        <f t="shared" si="123"/>
        <v>1.8479658261746551E-17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-1.7053025658242404E-13</v>
      </c>
      <c r="DP153" s="17">
        <f>DO153*VLOOKUP('Données projet'!$B$14,Paramètres!$A$1:$I$89,3,0)*VLOOKUP('Données projet'!$B$14,Paramètres!$A$1:$I$89,5,0)</f>
        <v>-1.383341441396624E-13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304.26232113495314</v>
      </c>
      <c r="DU153" s="59">
        <f t="shared" si="152"/>
        <v>297.47246687305056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26.351645628266432</v>
      </c>
      <c r="EB153" s="21">
        <f>EXP(-LN(2)/25)*EB152+(1-EXP(-LN(2)/25))/(LN(2)/25)*Calculateur!DW153*Calculateur!DY153*VLOOKUP('Données projet'!$B$14,Paramètres!$A$1:$I$89,3,0)*0.475*44/12</f>
        <v>0.41511992629780203</v>
      </c>
      <c r="EC153" s="21">
        <f>EXP(-LN(2)/2)*EC152+(1-EXP(-LN(2)/2))/(LN(2)/2)*DW153*DZ153*VLOOKUP('Données projet'!$B$14,Paramètres!$A$1:$I$89,3,0)*0.475*44/12</f>
        <v>1.2348481494637617E-9</v>
      </c>
      <c r="ED153" s="22">
        <f t="shared" si="126"/>
        <v>26.766765555799083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2.5715962692629546E-13</v>
      </c>
      <c r="P154" s="13">
        <f t="shared" si="141"/>
        <v>3.4610450122128953E-12</v>
      </c>
      <c r="Q154" s="20">
        <f t="shared" ref="Q154:Q203" si="162">(O154+P154)*0.475*44/12</f>
        <v>6.4758730798340893E-12</v>
      </c>
      <c r="R154" s="59">
        <f t="shared" si="109"/>
        <v>293.33333333333979</v>
      </c>
      <c r="S154" s="59">
        <f ca="1">AVERAGE(OFFSET($R$3,0,0,'Données projet'!$E$9+1,1))-AVERAGE(OFFSET($H$3,0,0,'Données projet'!$E$9+1,1))</f>
        <v>344.4940855044307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4.6943519221850113E-18</v>
      </c>
      <c r="AC154" s="22">
        <f t="shared" ref="AC154:AC203" si="163">SUM(Z154:AB154)</f>
        <v>4.6943519221850113E-18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-1.1439169611549005E-13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246.71489737733248</v>
      </c>
      <c r="AO154" s="59">
        <f t="shared" si="144"/>
        <v>185.03615139960783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-2.7489477361086758E-14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211.98817606983374</v>
      </c>
      <c r="BJ154" s="59">
        <f t="shared" si="146"/>
        <v>154.0840647586964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-2.8421709430404007E-14</v>
      </c>
      <c r="BZ154" s="13">
        <f>BY154*VLOOKUP('Données projet'!$B$12,Paramètres!$A$1:$I$89,3,0)*VLOOKUP('Données projet'!$B$12,Paramètres!$A$1:$I$89,5,0)</f>
        <v>-3.0593128030886874E-14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231.89176215692947</v>
      </c>
      <c r="CE154" s="59">
        <f t="shared" si="148"/>
        <v>166.97658184507787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2.2737367544323206E-13</v>
      </c>
      <c r="CU154" s="17">
        <f>CT154*VLOOKUP('Données projet'!$B$13,Paramètres!$A$1:$I$89,3,0)*VLOOKUP('Données projet'!$B$13,Paramètres!$A$1:$I$89,5,0)</f>
        <v>1.7735146684572101E-13</v>
      </c>
      <c r="CV154" s="13">
        <f t="shared" ref="CV154:CV203" si="173">EXP(-1.0587+0.8836*LN(CU154)+0.284)</f>
        <v>2.4924271921531257E-12</v>
      </c>
      <c r="CW154" s="20">
        <f t="shared" ref="CW154:CW203" si="174">(CU154+CV154)*0.475*44/12</f>
        <v>4.6498644977563242E-12</v>
      </c>
      <c r="CX154" s="59">
        <f t="shared" si="122"/>
        <v>293.33333333333798</v>
      </c>
      <c r="CY154" s="59">
        <f ca="1">AVERAGE(OFFSET($CX$3,0,0,'Données projet'!$E$13+1,1))-AVERAGE(OFFSET($H$3,0,0,'Données projet'!$E$13+1,1))</f>
        <v>274.37717856763146</v>
      </c>
      <c r="CZ154" s="59">
        <f t="shared" si="150"/>
        <v>264.17357326498581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1.3067091670890994E-17</v>
      </c>
      <c r="DI154" s="22">
        <f t="shared" ref="DI154:DI203" si="175">SUM(DF154:DH154)</f>
        <v>1.3067091670890994E-17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-1.7053025658242404E-13</v>
      </c>
      <c r="DP154" s="17">
        <f>DO154*VLOOKUP('Données projet'!$B$14,Paramètres!$A$1:$I$89,3,0)*VLOOKUP('Données projet'!$B$14,Paramètres!$A$1:$I$89,5,0)</f>
        <v>-1.383341441396624E-13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304.26232113495314</v>
      </c>
      <c r="DU154" s="59">
        <f t="shared" si="152"/>
        <v>297.47246687305056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25.834905930412891</v>
      </c>
      <c r="EB154" s="21">
        <f>EXP(-LN(2)/25)*EB153+(1-EXP(-LN(2)/25))/(LN(2)/25)*Calculateur!DW154*Calculateur!DY154*VLOOKUP('Données projet'!$B$14,Paramètres!$A$1:$I$89,3,0)*0.475*44/12</f>
        <v>0.40376845008298046</v>
      </c>
      <c r="EC154" s="21">
        <f>EXP(-LN(2)/2)*EC153+(1-EXP(-LN(2)/2))/(LN(2)/2)*DW154*DZ154*VLOOKUP('Données projet'!$B$14,Paramètres!$A$1:$I$89,3,0)*0.475*44/12</f>
        <v>8.731695002214853E-10</v>
      </c>
      <c r="ED154" s="22">
        <f t="shared" ref="ED154:ED203" si="178">SUM(EA154:EC154)</f>
        <v>26.238674381369041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2.5715962692629546E-13</v>
      </c>
      <c r="P155" s="13">
        <f t="shared" si="141"/>
        <v>3.4610450122128953E-12</v>
      </c>
      <c r="Q155" s="20">
        <f t="shared" si="162"/>
        <v>6.4758730798340893E-12</v>
      </c>
      <c r="R155" s="59">
        <f t="shared" si="109"/>
        <v>293.33333333333979</v>
      </c>
      <c r="S155" s="59">
        <f ca="1">AVERAGE(OFFSET($R$3,0,0,'Données projet'!$E$9+1,1))-AVERAGE(OFFSET($H$3,0,0,'Données projet'!$E$9+1,1))</f>
        <v>344.4940855044307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3.3194080774531256E-18</v>
      </c>
      <c r="AC155" s="22">
        <f t="shared" si="163"/>
        <v>3.3194080774531256E-18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-1.1439169611549005E-13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246.71489737733248</v>
      </c>
      <c r="AO155" s="59">
        <f t="shared" si="144"/>
        <v>185.03615139960783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-2.7489477361086758E-14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211.98817606983374</v>
      </c>
      <c r="BJ155" s="59">
        <f t="shared" si="146"/>
        <v>154.0840647586964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-2.8421709430404007E-14</v>
      </c>
      <c r="BZ155" s="13">
        <f>BY155*VLOOKUP('Données projet'!$B$12,Paramètres!$A$1:$I$89,3,0)*VLOOKUP('Données projet'!$B$12,Paramètres!$A$1:$I$89,5,0)</f>
        <v>-3.0593128030886874E-14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231.89176215692947</v>
      </c>
      <c r="CE155" s="59">
        <f t="shared" si="148"/>
        <v>166.97658184507787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2.2737367544323206E-13</v>
      </c>
      <c r="CU155" s="17">
        <f>CT155*VLOOKUP('Données projet'!$B$13,Paramètres!$A$1:$I$89,3,0)*VLOOKUP('Données projet'!$B$13,Paramètres!$A$1:$I$89,5,0)</f>
        <v>1.7735146684572101E-13</v>
      </c>
      <c r="CV155" s="13">
        <f t="shared" si="173"/>
        <v>2.4924271921531257E-12</v>
      </c>
      <c r="CW155" s="20">
        <f t="shared" si="174"/>
        <v>4.6498644977563242E-12</v>
      </c>
      <c r="CX155" s="59">
        <f t="shared" si="122"/>
        <v>293.33333333333798</v>
      </c>
      <c r="CY155" s="59">
        <f ca="1">AVERAGE(OFFSET($CX$3,0,0,'Données projet'!$E$13+1,1))-AVERAGE(OFFSET($H$3,0,0,'Données projet'!$E$13+1,1))</f>
        <v>274.37717856763146</v>
      </c>
      <c r="CZ155" s="59">
        <f t="shared" si="150"/>
        <v>264.17357326498581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9.2398291308732757E-18</v>
      </c>
      <c r="DI155" s="22">
        <f t="shared" si="175"/>
        <v>9.2398291308732757E-18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-1.7053025658242404E-13</v>
      </c>
      <c r="DP155" s="17">
        <f>DO155*VLOOKUP('Données projet'!$B$14,Paramètres!$A$1:$I$89,3,0)*VLOOKUP('Données projet'!$B$14,Paramètres!$A$1:$I$89,5,0)</f>
        <v>-1.383341441396624E-13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304.26232113495314</v>
      </c>
      <c r="DU155" s="59">
        <f t="shared" si="152"/>
        <v>297.47246687305056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25.328299182854163</v>
      </c>
      <c r="EB155" s="21">
        <f>EXP(-LN(2)/25)*EB154+(1-EXP(-LN(2)/25))/(LN(2)/25)*Calculateur!DW155*Calculateur!DY155*VLOOKUP('Données projet'!$B$14,Paramètres!$A$1:$I$89,3,0)*0.475*44/12</f>
        <v>0.39272738058220141</v>
      </c>
      <c r="EC155" s="21">
        <f>EXP(-LN(2)/2)*EC154+(1-EXP(-LN(2)/2))/(LN(2)/2)*DW155*DZ155*VLOOKUP('Données projet'!$B$14,Paramètres!$A$1:$I$89,3,0)*0.475*44/12</f>
        <v>6.1742407473188086E-10</v>
      </c>
      <c r="ED155" s="22">
        <f t="shared" si="178"/>
        <v>25.721026564053787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2.5715962692629546E-13</v>
      </c>
      <c r="P156" s="13">
        <f t="shared" si="141"/>
        <v>3.4610450122128953E-12</v>
      </c>
      <c r="Q156" s="20">
        <f t="shared" si="162"/>
        <v>6.4758730798340893E-12</v>
      </c>
      <c r="R156" s="59">
        <f t="shared" si="109"/>
        <v>293.33333333333979</v>
      </c>
      <c r="S156" s="59">
        <f ca="1">AVERAGE(OFFSET($R$3,0,0,'Données projet'!$E$9+1,1))-AVERAGE(OFFSET($H$3,0,0,'Données projet'!$E$9+1,1))</f>
        <v>344.4940855044307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2.3471759610925057E-18</v>
      </c>
      <c r="AC156" s="22">
        <f t="shared" si="163"/>
        <v>2.3471759610925057E-18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-1.1439169611549005E-13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246.71489737733248</v>
      </c>
      <c r="AO156" s="59">
        <f t="shared" si="144"/>
        <v>185.03615139960783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-2.7489477361086758E-14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211.98817606983374</v>
      </c>
      <c r="BJ156" s="59">
        <f t="shared" si="146"/>
        <v>154.0840647586964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-2.8421709430404007E-14</v>
      </c>
      <c r="BZ156" s="13">
        <f>BY156*VLOOKUP('Données projet'!$B$12,Paramètres!$A$1:$I$89,3,0)*VLOOKUP('Données projet'!$B$12,Paramètres!$A$1:$I$89,5,0)</f>
        <v>-3.0593128030886874E-14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231.89176215692947</v>
      </c>
      <c r="CE156" s="59">
        <f t="shared" si="148"/>
        <v>166.97658184507787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2.2737367544323206E-13</v>
      </c>
      <c r="CU156" s="17">
        <f>CT156*VLOOKUP('Données projet'!$B$13,Paramètres!$A$1:$I$89,3,0)*VLOOKUP('Données projet'!$B$13,Paramètres!$A$1:$I$89,5,0)</f>
        <v>1.7735146684572101E-13</v>
      </c>
      <c r="CV156" s="13">
        <f t="shared" si="173"/>
        <v>2.4924271921531257E-12</v>
      </c>
      <c r="CW156" s="20">
        <f t="shared" si="174"/>
        <v>4.6498644977563242E-12</v>
      </c>
      <c r="CX156" s="59">
        <f t="shared" si="122"/>
        <v>293.33333333333798</v>
      </c>
      <c r="CY156" s="59">
        <f ca="1">AVERAGE(OFFSET($CX$3,0,0,'Données projet'!$E$13+1,1))-AVERAGE(OFFSET($H$3,0,0,'Données projet'!$E$13+1,1))</f>
        <v>274.37717856763146</v>
      </c>
      <c r="CZ156" s="59">
        <f t="shared" si="150"/>
        <v>264.17357326498581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6.533545835445497E-18</v>
      </c>
      <c r="DI156" s="22">
        <f t="shared" si="175"/>
        <v>6.533545835445497E-18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-1.7053025658242404E-13</v>
      </c>
      <c r="DP156" s="17">
        <f>DO156*VLOOKUP('Données projet'!$B$14,Paramètres!$A$1:$I$89,3,0)*VLOOKUP('Données projet'!$B$14,Paramètres!$A$1:$I$89,5,0)</f>
        <v>-1.383341441396624E-13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304.26232113495314</v>
      </c>
      <c r="DU156" s="59">
        <f t="shared" si="152"/>
        <v>297.47246687305056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24.831626684615458</v>
      </c>
      <c r="EB156" s="21">
        <f>EXP(-LN(2)/25)*EB155+(1-EXP(-LN(2)/25))/(LN(2)/25)*Calculateur!DW156*Calculateur!DY156*VLOOKUP('Données projet'!$B$14,Paramètres!$A$1:$I$89,3,0)*0.475*44/12</f>
        <v>0.38198822970754576</v>
      </c>
      <c r="EC156" s="21">
        <f>EXP(-LN(2)/2)*EC155+(1-EXP(-LN(2)/2))/(LN(2)/2)*DW156*DZ156*VLOOKUP('Données projet'!$B$14,Paramètres!$A$1:$I$89,3,0)*0.475*44/12</f>
        <v>4.3658475011074265E-10</v>
      </c>
      <c r="ED156" s="22">
        <f t="shared" si="178"/>
        <v>25.213614914759589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2.5715962692629546E-13</v>
      </c>
      <c r="P157" s="13">
        <f t="shared" si="141"/>
        <v>3.4610450122128953E-12</v>
      </c>
      <c r="Q157" s="20">
        <f t="shared" si="162"/>
        <v>6.4758730798340893E-12</v>
      </c>
      <c r="R157" s="59">
        <f t="shared" si="109"/>
        <v>293.33333333333979</v>
      </c>
      <c r="S157" s="59">
        <f ca="1">AVERAGE(OFFSET($R$3,0,0,'Données projet'!$E$9+1,1))-AVERAGE(OFFSET($H$3,0,0,'Données projet'!$E$9+1,1))</f>
        <v>344.4940855044307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1.6597040387265628E-18</v>
      </c>
      <c r="AC157" s="22">
        <f t="shared" si="163"/>
        <v>1.6597040387265628E-18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-1.1439169611549005E-13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246.71489737733248</v>
      </c>
      <c r="AO157" s="59">
        <f t="shared" si="144"/>
        <v>185.03615139960783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-2.7489477361086758E-14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211.98817606983374</v>
      </c>
      <c r="BJ157" s="59">
        <f t="shared" si="146"/>
        <v>154.0840647586964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-2.8421709430404007E-14</v>
      </c>
      <c r="BZ157" s="13">
        <f>BY157*VLOOKUP('Données projet'!$B$12,Paramètres!$A$1:$I$89,3,0)*VLOOKUP('Données projet'!$B$12,Paramètres!$A$1:$I$89,5,0)</f>
        <v>-3.0593128030886874E-14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231.89176215692947</v>
      </c>
      <c r="CE157" s="59">
        <f t="shared" si="148"/>
        <v>166.97658184507787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2.2737367544323206E-13</v>
      </c>
      <c r="CU157" s="17">
        <f>CT157*VLOOKUP('Données projet'!$B$13,Paramètres!$A$1:$I$89,3,0)*VLOOKUP('Données projet'!$B$13,Paramètres!$A$1:$I$89,5,0)</f>
        <v>1.7735146684572101E-13</v>
      </c>
      <c r="CV157" s="13">
        <f t="shared" si="173"/>
        <v>2.4924271921531257E-12</v>
      </c>
      <c r="CW157" s="20">
        <f t="shared" si="174"/>
        <v>4.6498644977563242E-12</v>
      </c>
      <c r="CX157" s="59">
        <f t="shared" si="122"/>
        <v>293.33333333333798</v>
      </c>
      <c r="CY157" s="59">
        <f ca="1">AVERAGE(OFFSET($CX$3,0,0,'Données projet'!$E$13+1,1))-AVERAGE(OFFSET($H$3,0,0,'Données projet'!$E$13+1,1))</f>
        <v>274.37717856763146</v>
      </c>
      <c r="CZ157" s="59">
        <f t="shared" si="150"/>
        <v>264.17357326498581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4.6199145654366378E-18</v>
      </c>
      <c r="DI157" s="22">
        <f t="shared" si="175"/>
        <v>4.6199145654366378E-18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-1.7053025658242404E-13</v>
      </c>
      <c r="DP157" s="17">
        <f>DO157*VLOOKUP('Données projet'!$B$14,Paramètres!$A$1:$I$89,3,0)*VLOOKUP('Données projet'!$B$14,Paramètres!$A$1:$I$89,5,0)</f>
        <v>-1.383341441396624E-13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304.26232113495314</v>
      </c>
      <c r="DU157" s="59">
        <f t="shared" si="152"/>
        <v>297.47246687305056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24.344693631126901</v>
      </c>
      <c r="EB157" s="21">
        <f>EXP(-LN(2)/25)*EB156+(1-EXP(-LN(2)/25))/(LN(2)/25)*Calculateur!DW157*Calculateur!DY157*VLOOKUP('Données projet'!$B$14,Paramètres!$A$1:$I$89,3,0)*0.475*44/12</f>
        <v>0.37154274147830496</v>
      </c>
      <c r="EC157" s="21">
        <f>EXP(-LN(2)/2)*EC156+(1-EXP(-LN(2)/2))/(LN(2)/2)*DW157*DZ157*VLOOKUP('Données projet'!$B$14,Paramètres!$A$1:$I$89,3,0)*0.475*44/12</f>
        <v>3.0871203736594043E-10</v>
      </c>
      <c r="ED157" s="22">
        <f t="shared" si="178"/>
        <v>24.716236372913919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2.5715962692629546E-13</v>
      </c>
      <c r="P158" s="13">
        <f t="shared" si="141"/>
        <v>3.4610450122128953E-12</v>
      </c>
      <c r="Q158" s="20">
        <f t="shared" si="162"/>
        <v>6.4758730798340893E-12</v>
      </c>
      <c r="R158" s="59">
        <f t="shared" si="109"/>
        <v>293.33333333333979</v>
      </c>
      <c r="S158" s="59">
        <f ca="1">AVERAGE(OFFSET($R$3,0,0,'Données projet'!$E$9+1,1))-AVERAGE(OFFSET($H$3,0,0,'Données projet'!$E$9+1,1))</f>
        <v>344.4940855044307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1.1735879805462528E-18</v>
      </c>
      <c r="AC158" s="22">
        <f t="shared" si="163"/>
        <v>1.1735879805462528E-18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-1.1439169611549005E-13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246.71489737733248</v>
      </c>
      <c r="AO158" s="59">
        <f t="shared" si="144"/>
        <v>185.03615139960783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-2.7489477361086758E-14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211.98817606983374</v>
      </c>
      <c r="BJ158" s="59">
        <f t="shared" si="146"/>
        <v>154.0840647586964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-2.8421709430404007E-14</v>
      </c>
      <c r="BZ158" s="13">
        <f>BY158*VLOOKUP('Données projet'!$B$12,Paramètres!$A$1:$I$89,3,0)*VLOOKUP('Données projet'!$B$12,Paramètres!$A$1:$I$89,5,0)</f>
        <v>-3.0593128030886874E-14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231.89176215692947</v>
      </c>
      <c r="CE158" s="59">
        <f t="shared" si="148"/>
        <v>166.97658184507787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2.2737367544323206E-13</v>
      </c>
      <c r="CU158" s="17">
        <f>CT158*VLOOKUP('Données projet'!$B$13,Paramètres!$A$1:$I$89,3,0)*VLOOKUP('Données projet'!$B$13,Paramètres!$A$1:$I$89,5,0)</f>
        <v>1.7735146684572101E-13</v>
      </c>
      <c r="CV158" s="13">
        <f t="shared" si="173"/>
        <v>2.4924271921531257E-12</v>
      </c>
      <c r="CW158" s="20">
        <f t="shared" si="174"/>
        <v>4.6498644977563242E-12</v>
      </c>
      <c r="CX158" s="59">
        <f t="shared" si="122"/>
        <v>293.33333333333798</v>
      </c>
      <c r="CY158" s="59">
        <f ca="1">AVERAGE(OFFSET($CX$3,0,0,'Données projet'!$E$13+1,1))-AVERAGE(OFFSET($H$3,0,0,'Données projet'!$E$13+1,1))</f>
        <v>274.37717856763146</v>
      </c>
      <c r="CZ158" s="59">
        <f t="shared" si="150"/>
        <v>264.17357326498581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3.2667729177227485E-18</v>
      </c>
      <c r="DI158" s="22">
        <f t="shared" si="175"/>
        <v>3.2667729177227485E-18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-1.7053025658242404E-13</v>
      </c>
      <c r="DP158" s="17">
        <f>DO158*VLOOKUP('Données projet'!$B$14,Paramètres!$A$1:$I$89,3,0)*VLOOKUP('Données projet'!$B$14,Paramètres!$A$1:$I$89,5,0)</f>
        <v>-1.383341441396624E-13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304.26232113495314</v>
      </c>
      <c r="DU158" s="59">
        <f t="shared" si="152"/>
        <v>297.47246687305056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23.867309037817421</v>
      </c>
      <c r="EB158" s="21">
        <f>EXP(-LN(2)/25)*EB157+(1-EXP(-LN(2)/25))/(LN(2)/25)*Calculateur!DW158*Calculateur!DY158*VLOOKUP('Données projet'!$B$14,Paramètres!$A$1:$I$89,3,0)*0.475*44/12</f>
        <v>0.36138288567399712</v>
      </c>
      <c r="EC158" s="21">
        <f>EXP(-LN(2)/2)*EC157+(1-EXP(-LN(2)/2))/(LN(2)/2)*DW158*DZ158*VLOOKUP('Données projet'!$B$14,Paramètres!$A$1:$I$89,3,0)*0.475*44/12</f>
        <v>2.1829237505537133E-10</v>
      </c>
      <c r="ED158" s="22">
        <f t="shared" si="178"/>
        <v>24.228691923709711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2.5715962692629546E-13</v>
      </c>
      <c r="P159" s="13">
        <f t="shared" si="141"/>
        <v>3.4610450122128953E-12</v>
      </c>
      <c r="Q159" s="20">
        <f t="shared" si="162"/>
        <v>6.4758730798340893E-12</v>
      </c>
      <c r="R159" s="59">
        <f t="shared" si="109"/>
        <v>293.33333333333979</v>
      </c>
      <c r="S159" s="59">
        <f ca="1">AVERAGE(OFFSET($R$3,0,0,'Données projet'!$E$9+1,1))-AVERAGE(OFFSET($H$3,0,0,'Données projet'!$E$9+1,1))</f>
        <v>344.4940855044307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8.2985201936328141E-19</v>
      </c>
      <c r="AC159" s="22">
        <f t="shared" si="163"/>
        <v>8.2985201936328141E-19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-1.1439169611549005E-13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246.71489737733248</v>
      </c>
      <c r="AO159" s="59">
        <f t="shared" si="144"/>
        <v>185.03615139960783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-2.7489477361086758E-14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211.98817606983374</v>
      </c>
      <c r="BJ159" s="59">
        <f t="shared" si="146"/>
        <v>154.0840647586964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-2.8421709430404007E-14</v>
      </c>
      <c r="BZ159" s="13">
        <f>BY159*VLOOKUP('Données projet'!$B$12,Paramètres!$A$1:$I$89,3,0)*VLOOKUP('Données projet'!$B$12,Paramètres!$A$1:$I$89,5,0)</f>
        <v>-3.0593128030886874E-14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231.89176215692947</v>
      </c>
      <c r="CE159" s="59">
        <f t="shared" si="148"/>
        <v>166.97658184507787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2.2737367544323206E-13</v>
      </c>
      <c r="CU159" s="17">
        <f>CT159*VLOOKUP('Données projet'!$B$13,Paramètres!$A$1:$I$89,3,0)*VLOOKUP('Données projet'!$B$13,Paramètres!$A$1:$I$89,5,0)</f>
        <v>1.7735146684572101E-13</v>
      </c>
      <c r="CV159" s="13">
        <f t="shared" si="173"/>
        <v>2.4924271921531257E-12</v>
      </c>
      <c r="CW159" s="20">
        <f t="shared" si="174"/>
        <v>4.6498644977563242E-12</v>
      </c>
      <c r="CX159" s="59">
        <f t="shared" si="122"/>
        <v>293.33333333333798</v>
      </c>
      <c r="CY159" s="59">
        <f ca="1">AVERAGE(OFFSET($CX$3,0,0,'Données projet'!$E$13+1,1))-AVERAGE(OFFSET($H$3,0,0,'Données projet'!$E$13+1,1))</f>
        <v>274.37717856763146</v>
      </c>
      <c r="CZ159" s="59">
        <f t="shared" si="150"/>
        <v>264.17357326498581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2.3099572827183189E-18</v>
      </c>
      <c r="DI159" s="22">
        <f t="shared" si="175"/>
        <v>2.3099572827183189E-18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-1.7053025658242404E-13</v>
      </c>
      <c r="DP159" s="17">
        <f>DO159*VLOOKUP('Données projet'!$B$14,Paramètres!$A$1:$I$89,3,0)*VLOOKUP('Données projet'!$B$14,Paramètres!$A$1:$I$89,5,0)</f>
        <v>-1.383341441396624E-13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304.26232113495314</v>
      </c>
      <c r="DU159" s="59">
        <f t="shared" si="152"/>
        <v>297.47246687305056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23.399285665206889</v>
      </c>
      <c r="EB159" s="21">
        <f>EXP(-LN(2)/25)*EB158+(1-EXP(-LN(2)/25))/(LN(2)/25)*Calculateur!DW159*Calculateur!DY159*VLOOKUP('Données projet'!$B$14,Paramètres!$A$1:$I$89,3,0)*0.475*44/12</f>
        <v>0.35150085166094169</v>
      </c>
      <c r="EC159" s="21">
        <f>EXP(-LN(2)/2)*EC158+(1-EXP(-LN(2)/2))/(LN(2)/2)*DW159*DZ159*VLOOKUP('Données projet'!$B$14,Paramètres!$A$1:$I$89,3,0)*0.475*44/12</f>
        <v>1.5435601868297022E-10</v>
      </c>
      <c r="ED159" s="22">
        <f t="shared" si="178"/>
        <v>23.750786517022185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2.5715962692629546E-13</v>
      </c>
      <c r="P160" s="13">
        <f t="shared" si="141"/>
        <v>3.4610450122128953E-12</v>
      </c>
      <c r="Q160" s="20">
        <f t="shared" si="162"/>
        <v>6.4758730798340893E-12</v>
      </c>
      <c r="R160" s="59">
        <f t="shared" si="109"/>
        <v>293.33333333333979</v>
      </c>
      <c r="S160" s="59">
        <f ca="1">AVERAGE(OFFSET($R$3,0,0,'Données projet'!$E$9+1,1))-AVERAGE(OFFSET($H$3,0,0,'Données projet'!$E$9+1,1))</f>
        <v>344.4940855044307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5.8679399027312642E-19</v>
      </c>
      <c r="AC160" s="22">
        <f t="shared" si="163"/>
        <v>5.8679399027312642E-19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-1.1439169611549005E-13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246.71489737733248</v>
      </c>
      <c r="AO160" s="59">
        <f t="shared" si="144"/>
        <v>185.03615139960783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-2.7489477361086758E-14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211.98817606983374</v>
      </c>
      <c r="BJ160" s="59">
        <f t="shared" si="146"/>
        <v>154.0840647586964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-2.8421709430404007E-14</v>
      </c>
      <c r="BZ160" s="13">
        <f>BY160*VLOOKUP('Données projet'!$B$12,Paramètres!$A$1:$I$89,3,0)*VLOOKUP('Données projet'!$B$12,Paramètres!$A$1:$I$89,5,0)</f>
        <v>-3.0593128030886874E-14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231.89176215692947</v>
      </c>
      <c r="CE160" s="59">
        <f t="shared" si="148"/>
        <v>166.97658184507787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2.2737367544323206E-13</v>
      </c>
      <c r="CU160" s="17">
        <f>CT160*VLOOKUP('Données projet'!$B$13,Paramètres!$A$1:$I$89,3,0)*VLOOKUP('Données projet'!$B$13,Paramètres!$A$1:$I$89,5,0)</f>
        <v>1.7735146684572101E-13</v>
      </c>
      <c r="CV160" s="13">
        <f t="shared" si="173"/>
        <v>2.4924271921531257E-12</v>
      </c>
      <c r="CW160" s="20">
        <f t="shared" si="174"/>
        <v>4.6498644977563242E-12</v>
      </c>
      <c r="CX160" s="59">
        <f t="shared" si="122"/>
        <v>293.33333333333798</v>
      </c>
      <c r="CY160" s="59">
        <f ca="1">AVERAGE(OFFSET($CX$3,0,0,'Données projet'!$E$13+1,1))-AVERAGE(OFFSET($H$3,0,0,'Données projet'!$E$13+1,1))</f>
        <v>274.37717856763146</v>
      </c>
      <c r="CZ160" s="59">
        <f t="shared" si="150"/>
        <v>264.17357326498581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1.6333864588613743E-18</v>
      </c>
      <c r="DI160" s="22">
        <f t="shared" si="175"/>
        <v>1.6333864588613743E-18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-1.7053025658242404E-13</v>
      </c>
      <c r="DP160" s="17">
        <f>DO160*VLOOKUP('Données projet'!$B$14,Paramètres!$A$1:$I$89,3,0)*VLOOKUP('Données projet'!$B$14,Paramètres!$A$1:$I$89,5,0)</f>
        <v>-1.383341441396624E-13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304.26232113495314</v>
      </c>
      <c r="DU160" s="59">
        <f t="shared" si="152"/>
        <v>297.47246687305056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22.94043994546718</v>
      </c>
      <c r="EB160" s="21">
        <f>EXP(-LN(2)/25)*EB159+(1-EXP(-LN(2)/25))/(LN(2)/25)*Calculateur!DW160*Calculateur!DY160*VLOOKUP('Données projet'!$B$14,Paramètres!$A$1:$I$89,3,0)*0.475*44/12</f>
        <v>0.34188904238764684</v>
      </c>
      <c r="EC160" s="21">
        <f>EXP(-LN(2)/2)*EC159+(1-EXP(-LN(2)/2))/(LN(2)/2)*DW160*DZ160*VLOOKUP('Données projet'!$B$14,Paramètres!$A$1:$I$89,3,0)*0.475*44/12</f>
        <v>1.0914618752768566E-10</v>
      </c>
      <c r="ED160" s="22">
        <f t="shared" si="178"/>
        <v>23.282328987963972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2.5715962692629546E-13</v>
      </c>
      <c r="P161" s="13">
        <f t="shared" si="141"/>
        <v>3.4610450122128953E-12</v>
      </c>
      <c r="Q161" s="20">
        <f t="shared" si="162"/>
        <v>6.4758730798340893E-12</v>
      </c>
      <c r="R161" s="59">
        <f t="shared" si="109"/>
        <v>293.33333333333979</v>
      </c>
      <c r="S161" s="59">
        <f ca="1">AVERAGE(OFFSET($R$3,0,0,'Données projet'!$E$9+1,1))-AVERAGE(OFFSET($H$3,0,0,'Données projet'!$E$9+1,1))</f>
        <v>344.4940855044307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4.149260096816407E-19</v>
      </c>
      <c r="AC161" s="22">
        <f t="shared" si="163"/>
        <v>4.149260096816407E-19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-1.1439169611549005E-13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246.71489737733248</v>
      </c>
      <c r="AO161" s="59">
        <f t="shared" si="144"/>
        <v>185.03615139960783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-2.7489477361086758E-14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211.98817606983374</v>
      </c>
      <c r="BJ161" s="59">
        <f t="shared" si="146"/>
        <v>154.0840647586964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-2.8421709430404007E-14</v>
      </c>
      <c r="BZ161" s="13">
        <f>BY161*VLOOKUP('Données projet'!$B$12,Paramètres!$A$1:$I$89,3,0)*VLOOKUP('Données projet'!$B$12,Paramètres!$A$1:$I$89,5,0)</f>
        <v>-3.0593128030886874E-14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231.89176215692947</v>
      </c>
      <c r="CE161" s="59">
        <f t="shared" si="148"/>
        <v>166.97658184507787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2.2737367544323206E-13</v>
      </c>
      <c r="CU161" s="17">
        <f>CT161*VLOOKUP('Données projet'!$B$13,Paramètres!$A$1:$I$89,3,0)*VLOOKUP('Données projet'!$B$13,Paramètres!$A$1:$I$89,5,0)</f>
        <v>1.7735146684572101E-13</v>
      </c>
      <c r="CV161" s="13">
        <f t="shared" si="173"/>
        <v>2.4924271921531257E-12</v>
      </c>
      <c r="CW161" s="20">
        <f t="shared" si="174"/>
        <v>4.6498644977563242E-12</v>
      </c>
      <c r="CX161" s="59">
        <f t="shared" si="122"/>
        <v>293.33333333333798</v>
      </c>
      <c r="CY161" s="59">
        <f ca="1">AVERAGE(OFFSET($CX$3,0,0,'Données projet'!$E$13+1,1))-AVERAGE(OFFSET($H$3,0,0,'Données projet'!$E$13+1,1))</f>
        <v>274.37717856763146</v>
      </c>
      <c r="CZ161" s="59">
        <f t="shared" si="150"/>
        <v>264.17357326498581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1.1549786413591595E-18</v>
      </c>
      <c r="DI161" s="22">
        <f t="shared" si="175"/>
        <v>1.1549786413591595E-18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-1.7053025658242404E-13</v>
      </c>
      <c r="DP161" s="17">
        <f>DO161*VLOOKUP('Données projet'!$B$14,Paramètres!$A$1:$I$89,3,0)*VLOOKUP('Données projet'!$B$14,Paramètres!$A$1:$I$89,5,0)</f>
        <v>-1.383341441396624E-13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304.26232113495314</v>
      </c>
      <c r="DU161" s="59">
        <f t="shared" si="152"/>
        <v>297.47246687305056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22.490591910423312</v>
      </c>
      <c r="EB161" s="21">
        <f>EXP(-LN(2)/25)*EB160+(1-EXP(-LN(2)/25))/(LN(2)/25)*Calculateur!DW161*Calculateur!DY161*VLOOKUP('Données projet'!$B$14,Paramètres!$A$1:$I$89,3,0)*0.475*44/12</f>
        <v>0.33254006854439327</v>
      </c>
      <c r="EC161" s="21">
        <f>EXP(-LN(2)/2)*EC160+(1-EXP(-LN(2)/2))/(LN(2)/2)*DW161*DZ161*VLOOKUP('Données projet'!$B$14,Paramètres!$A$1:$I$89,3,0)*0.475*44/12</f>
        <v>7.7178009341485108E-11</v>
      </c>
      <c r="ED161" s="22">
        <f t="shared" si="178"/>
        <v>22.823131979044884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2.5715962692629546E-13</v>
      </c>
      <c r="P162" s="13">
        <f t="shared" si="141"/>
        <v>3.4610450122128953E-12</v>
      </c>
      <c r="Q162" s="20">
        <f t="shared" si="162"/>
        <v>6.4758730798340893E-12</v>
      </c>
      <c r="R162" s="59">
        <f t="shared" si="109"/>
        <v>293.33333333333979</v>
      </c>
      <c r="S162" s="59">
        <f ca="1">AVERAGE(OFFSET($R$3,0,0,'Données projet'!$E$9+1,1))-AVERAGE(OFFSET($H$3,0,0,'Données projet'!$E$9+1,1))</f>
        <v>344.4940855044307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2.9339699513656321E-19</v>
      </c>
      <c r="AC162" s="22">
        <f t="shared" si="163"/>
        <v>2.9339699513656321E-19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-1.1439169611549005E-13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246.71489737733248</v>
      </c>
      <c r="AO162" s="59">
        <f t="shared" si="144"/>
        <v>185.03615139960783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-2.7489477361086758E-14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211.98817606983374</v>
      </c>
      <c r="BJ162" s="59">
        <f t="shared" si="146"/>
        <v>154.0840647586964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-2.8421709430404007E-14</v>
      </c>
      <c r="BZ162" s="13">
        <f>BY162*VLOOKUP('Données projet'!$B$12,Paramètres!$A$1:$I$89,3,0)*VLOOKUP('Données projet'!$B$12,Paramètres!$A$1:$I$89,5,0)</f>
        <v>-3.0593128030886874E-14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231.89176215692947</v>
      </c>
      <c r="CE162" s="59">
        <f t="shared" si="148"/>
        <v>166.97658184507787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2.2737367544323206E-13</v>
      </c>
      <c r="CU162" s="17">
        <f>CT162*VLOOKUP('Données projet'!$B$13,Paramètres!$A$1:$I$89,3,0)*VLOOKUP('Données projet'!$B$13,Paramètres!$A$1:$I$89,5,0)</f>
        <v>1.7735146684572101E-13</v>
      </c>
      <c r="CV162" s="13">
        <f t="shared" si="173"/>
        <v>2.4924271921531257E-12</v>
      </c>
      <c r="CW162" s="20">
        <f t="shared" si="174"/>
        <v>4.6498644977563242E-12</v>
      </c>
      <c r="CX162" s="59">
        <f t="shared" si="122"/>
        <v>293.33333333333798</v>
      </c>
      <c r="CY162" s="59">
        <f ca="1">AVERAGE(OFFSET($CX$3,0,0,'Données projet'!$E$13+1,1))-AVERAGE(OFFSET($H$3,0,0,'Données projet'!$E$13+1,1))</f>
        <v>274.37717856763146</v>
      </c>
      <c r="CZ162" s="59">
        <f t="shared" si="150"/>
        <v>264.17357326498581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8.1669322943068713E-19</v>
      </c>
      <c r="DI162" s="22">
        <f t="shared" si="175"/>
        <v>8.1669322943068713E-19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-1.7053025658242404E-13</v>
      </c>
      <c r="DP162" s="17">
        <f>DO162*VLOOKUP('Données projet'!$B$14,Paramètres!$A$1:$I$89,3,0)*VLOOKUP('Données projet'!$B$14,Paramètres!$A$1:$I$89,5,0)</f>
        <v>-1.383341441396624E-13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304.26232113495314</v>
      </c>
      <c r="DU162" s="59">
        <f t="shared" si="152"/>
        <v>297.47246687305056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22.049565120966445</v>
      </c>
      <c r="EB162" s="21">
        <f>EXP(-LN(2)/25)*EB161+(1-EXP(-LN(2)/25))/(LN(2)/25)*Calculateur!DW162*Calculateur!DY162*VLOOKUP('Données projet'!$B$14,Paramètres!$A$1:$I$89,3,0)*0.475*44/12</f>
        <v>0.32344674288252467</v>
      </c>
      <c r="EC162" s="21">
        <f>EXP(-LN(2)/2)*EC161+(1-EXP(-LN(2)/2))/(LN(2)/2)*DW162*DZ162*VLOOKUP('Données projet'!$B$14,Paramètres!$A$1:$I$89,3,0)*0.475*44/12</f>
        <v>5.4573093763842831E-11</v>
      </c>
      <c r="ED162" s="22">
        <f t="shared" si="178"/>
        <v>22.373011863903542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2.5715962692629546E-13</v>
      </c>
      <c r="P163" s="13">
        <f t="shared" si="141"/>
        <v>3.4610450122128953E-12</v>
      </c>
      <c r="Q163" s="20">
        <f t="shared" si="162"/>
        <v>6.4758730798340893E-12</v>
      </c>
      <c r="R163" s="59">
        <f t="shared" si="109"/>
        <v>293.33333333333979</v>
      </c>
      <c r="S163" s="59">
        <f ca="1">AVERAGE(OFFSET($R$3,0,0,'Données projet'!$E$9+1,1))-AVERAGE(OFFSET($H$3,0,0,'Données projet'!$E$9+1,1))</f>
        <v>344.4940855044307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2.0746300484082035E-19</v>
      </c>
      <c r="AC163" s="22">
        <f t="shared" si="163"/>
        <v>2.0746300484082035E-19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-1.1439169611549005E-13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246.71489737733248</v>
      </c>
      <c r="AO163" s="59">
        <f t="shared" si="144"/>
        <v>185.03615139960783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-2.7489477361086758E-14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211.98817606983374</v>
      </c>
      <c r="BJ163" s="59">
        <f t="shared" si="146"/>
        <v>154.0840647586964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-2.8421709430404007E-14</v>
      </c>
      <c r="BZ163" s="13">
        <f>BY163*VLOOKUP('Données projet'!$B$12,Paramètres!$A$1:$I$89,3,0)*VLOOKUP('Données projet'!$B$12,Paramètres!$A$1:$I$89,5,0)</f>
        <v>-3.0593128030886874E-14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231.89176215692947</v>
      </c>
      <c r="CE163" s="59">
        <f t="shared" si="148"/>
        <v>166.97658184507787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2.2737367544323206E-13</v>
      </c>
      <c r="CU163" s="17">
        <f>CT163*VLOOKUP('Données projet'!$B$13,Paramètres!$A$1:$I$89,3,0)*VLOOKUP('Données projet'!$B$13,Paramètres!$A$1:$I$89,5,0)</f>
        <v>1.7735146684572101E-13</v>
      </c>
      <c r="CV163" s="13">
        <f t="shared" si="173"/>
        <v>2.4924271921531257E-12</v>
      </c>
      <c r="CW163" s="20">
        <f t="shared" si="174"/>
        <v>4.6498644977563242E-12</v>
      </c>
      <c r="CX163" s="59">
        <f t="shared" si="122"/>
        <v>293.33333333333798</v>
      </c>
      <c r="CY163" s="59">
        <f ca="1">AVERAGE(OFFSET($CX$3,0,0,'Données projet'!$E$13+1,1))-AVERAGE(OFFSET($H$3,0,0,'Données projet'!$E$13+1,1))</f>
        <v>274.37717856763146</v>
      </c>
      <c r="CZ163" s="59">
        <f t="shared" si="150"/>
        <v>264.17357326498581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5.7748932067957973E-19</v>
      </c>
      <c r="DI163" s="22">
        <f t="shared" si="175"/>
        <v>5.7748932067957973E-19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-1.7053025658242404E-13</v>
      </c>
      <c r="DP163" s="17">
        <f>DO163*VLOOKUP('Données projet'!$B$14,Paramètres!$A$1:$I$89,3,0)*VLOOKUP('Données projet'!$B$14,Paramètres!$A$1:$I$89,5,0)</f>
        <v>-1.383341441396624E-13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304.26232113495314</v>
      </c>
      <c r="DU163" s="59">
        <f t="shared" si="152"/>
        <v>297.47246687305056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21.617186597851049</v>
      </c>
      <c r="EB163" s="21">
        <f>EXP(-LN(2)/25)*EB162+(1-EXP(-LN(2)/25))/(LN(2)/25)*Calculateur!DW163*Calculateur!DY163*VLOOKUP('Données projet'!$B$14,Paramètres!$A$1:$I$89,3,0)*0.475*44/12</f>
        <v>0.31460207468907708</v>
      </c>
      <c r="EC163" s="21">
        <f>EXP(-LN(2)/2)*EC162+(1-EXP(-LN(2)/2))/(LN(2)/2)*DW163*DZ163*VLOOKUP('Données projet'!$B$14,Paramètres!$A$1:$I$89,3,0)*0.475*44/12</f>
        <v>3.8589004670742554E-11</v>
      </c>
      <c r="ED163" s="22">
        <f t="shared" si="178"/>
        <v>21.931788672578715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2.5715962692629546E-13</v>
      </c>
      <c r="P164" s="13">
        <f t="shared" si="141"/>
        <v>3.4610450122128953E-12</v>
      </c>
      <c r="Q164" s="20">
        <f t="shared" si="162"/>
        <v>6.4758730798340893E-12</v>
      </c>
      <c r="R164" s="59">
        <f t="shared" si="109"/>
        <v>293.33333333333979</v>
      </c>
      <c r="S164" s="59">
        <f ca="1">AVERAGE(OFFSET($R$3,0,0,'Données projet'!$E$9+1,1))-AVERAGE(OFFSET($H$3,0,0,'Données projet'!$E$9+1,1))</f>
        <v>344.4940855044307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1.466984975682816E-19</v>
      </c>
      <c r="AC164" s="22">
        <f t="shared" si="163"/>
        <v>1.466984975682816E-19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-1.1439169611549005E-13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246.71489737733248</v>
      </c>
      <c r="AO164" s="59">
        <f t="shared" si="144"/>
        <v>185.03615139960783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-2.7489477361086758E-14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211.98817606983374</v>
      </c>
      <c r="BJ164" s="59">
        <f t="shared" si="146"/>
        <v>154.0840647586964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-2.8421709430404007E-14</v>
      </c>
      <c r="BZ164" s="13">
        <f>BY164*VLOOKUP('Données projet'!$B$12,Paramètres!$A$1:$I$89,3,0)*VLOOKUP('Données projet'!$B$12,Paramètres!$A$1:$I$89,5,0)</f>
        <v>-3.0593128030886874E-14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231.89176215692947</v>
      </c>
      <c r="CE164" s="59">
        <f t="shared" si="148"/>
        <v>166.97658184507787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2.2737367544323206E-13</v>
      </c>
      <c r="CU164" s="17">
        <f>CT164*VLOOKUP('Données projet'!$B$13,Paramètres!$A$1:$I$89,3,0)*VLOOKUP('Données projet'!$B$13,Paramètres!$A$1:$I$89,5,0)</f>
        <v>1.7735146684572101E-13</v>
      </c>
      <c r="CV164" s="13">
        <f t="shared" si="173"/>
        <v>2.4924271921531257E-12</v>
      </c>
      <c r="CW164" s="20">
        <f t="shared" si="174"/>
        <v>4.6498644977563242E-12</v>
      </c>
      <c r="CX164" s="59">
        <f t="shared" si="122"/>
        <v>293.33333333333798</v>
      </c>
      <c r="CY164" s="59">
        <f ca="1">AVERAGE(OFFSET($CX$3,0,0,'Données projet'!$E$13+1,1))-AVERAGE(OFFSET($H$3,0,0,'Données projet'!$E$13+1,1))</f>
        <v>274.37717856763146</v>
      </c>
      <c r="CZ164" s="59">
        <f t="shared" si="150"/>
        <v>264.17357326498581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4.0834661471534356E-19</v>
      </c>
      <c r="DI164" s="22">
        <f t="shared" si="175"/>
        <v>4.0834661471534356E-19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-1.7053025658242404E-13</v>
      </c>
      <c r="DP164" s="17">
        <f>DO164*VLOOKUP('Données projet'!$B$14,Paramètres!$A$1:$I$89,3,0)*VLOOKUP('Données projet'!$B$14,Paramètres!$A$1:$I$89,5,0)</f>
        <v>-1.383341441396624E-13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304.26232113495314</v>
      </c>
      <c r="DU164" s="59">
        <f t="shared" si="152"/>
        <v>297.47246687305056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21.193286753849087</v>
      </c>
      <c r="EB164" s="21">
        <f>EXP(-LN(2)/25)*EB163+(1-EXP(-LN(2)/25))/(LN(2)/25)*Calculateur!DW164*Calculateur!DY164*VLOOKUP('Données projet'!$B$14,Paramètres!$A$1:$I$89,3,0)*0.475*44/12</f>
        <v>0.30599926441250019</v>
      </c>
      <c r="EC164" s="21">
        <f>EXP(-LN(2)/2)*EC163+(1-EXP(-LN(2)/2))/(LN(2)/2)*DW164*DZ164*VLOOKUP('Données projet'!$B$14,Paramètres!$A$1:$I$89,3,0)*0.475*44/12</f>
        <v>2.7286546881921416E-11</v>
      </c>
      <c r="ED164" s="22">
        <f t="shared" si="178"/>
        <v>21.499286018288871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2.5715962692629546E-13</v>
      </c>
      <c r="P165" s="13">
        <f t="shared" si="141"/>
        <v>3.4610450122128953E-12</v>
      </c>
      <c r="Q165" s="20">
        <f t="shared" si="162"/>
        <v>6.4758730798340893E-12</v>
      </c>
      <c r="R165" s="59">
        <f t="shared" si="109"/>
        <v>293.33333333333979</v>
      </c>
      <c r="S165" s="59">
        <f ca="1">AVERAGE(OFFSET($R$3,0,0,'Données projet'!$E$9+1,1))-AVERAGE(OFFSET($H$3,0,0,'Données projet'!$E$9+1,1))</f>
        <v>344.4940855044307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1.0373150242041018E-19</v>
      </c>
      <c r="AC165" s="22">
        <f t="shared" si="163"/>
        <v>1.0373150242041018E-19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-1.1439169611549005E-13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246.71489737733248</v>
      </c>
      <c r="AO165" s="59">
        <f t="shared" si="144"/>
        <v>185.03615139960783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-2.7489477361086758E-14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211.98817606983374</v>
      </c>
      <c r="BJ165" s="59">
        <f t="shared" si="146"/>
        <v>154.0840647586964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-2.8421709430404007E-14</v>
      </c>
      <c r="BZ165" s="13">
        <f>BY165*VLOOKUP('Données projet'!$B$12,Paramètres!$A$1:$I$89,3,0)*VLOOKUP('Données projet'!$B$12,Paramètres!$A$1:$I$89,5,0)</f>
        <v>-3.0593128030886874E-14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231.89176215692947</v>
      </c>
      <c r="CE165" s="59">
        <f t="shared" si="148"/>
        <v>166.97658184507787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2.2737367544323206E-13</v>
      </c>
      <c r="CU165" s="17">
        <f>CT165*VLOOKUP('Données projet'!$B$13,Paramètres!$A$1:$I$89,3,0)*VLOOKUP('Données projet'!$B$13,Paramètres!$A$1:$I$89,5,0)</f>
        <v>1.7735146684572101E-13</v>
      </c>
      <c r="CV165" s="13">
        <f t="shared" si="173"/>
        <v>2.4924271921531257E-12</v>
      </c>
      <c r="CW165" s="20">
        <f t="shared" si="174"/>
        <v>4.6498644977563242E-12</v>
      </c>
      <c r="CX165" s="59">
        <f t="shared" si="122"/>
        <v>293.33333333333798</v>
      </c>
      <c r="CY165" s="59">
        <f ca="1">AVERAGE(OFFSET($CX$3,0,0,'Données projet'!$E$13+1,1))-AVERAGE(OFFSET($H$3,0,0,'Données projet'!$E$13+1,1))</f>
        <v>274.37717856763146</v>
      </c>
      <c r="CZ165" s="59">
        <f t="shared" si="150"/>
        <v>264.17357326498581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2.8874466033978986E-19</v>
      </c>
      <c r="DI165" s="22">
        <f t="shared" si="175"/>
        <v>2.8874466033978986E-19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-1.7053025658242404E-13</v>
      </c>
      <c r="DP165" s="17">
        <f>DO165*VLOOKUP('Données projet'!$B$14,Paramètres!$A$1:$I$89,3,0)*VLOOKUP('Données projet'!$B$14,Paramètres!$A$1:$I$89,5,0)</f>
        <v>-1.383341441396624E-13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304.26232113495314</v>
      </c>
      <c r="DU165" s="59">
        <f t="shared" si="152"/>
        <v>297.47246687305056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20.777699327234629</v>
      </c>
      <c r="EB165" s="21">
        <f>EXP(-LN(2)/25)*EB164+(1-EXP(-LN(2)/25))/(LN(2)/25)*Calculateur!DW165*Calculateur!DY165*VLOOKUP('Données projet'!$B$14,Paramètres!$A$1:$I$89,3,0)*0.475*44/12</f>
        <v>0.29763169843533843</v>
      </c>
      <c r="EC165" s="21">
        <f>EXP(-LN(2)/2)*EC164+(1-EXP(-LN(2)/2))/(LN(2)/2)*DW165*DZ165*VLOOKUP('Données projet'!$B$14,Paramètres!$A$1:$I$89,3,0)*0.475*44/12</f>
        <v>1.9294502335371277E-11</v>
      </c>
      <c r="ED165" s="22">
        <f t="shared" si="178"/>
        <v>21.075331025689263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2.5715962692629546E-13</v>
      </c>
      <c r="P166" s="13">
        <f t="shared" si="141"/>
        <v>3.4610450122128953E-12</v>
      </c>
      <c r="Q166" s="20">
        <f t="shared" si="162"/>
        <v>6.4758730798340893E-12</v>
      </c>
      <c r="R166" s="59">
        <f t="shared" si="109"/>
        <v>293.33333333333979</v>
      </c>
      <c r="S166" s="59">
        <f ca="1">AVERAGE(OFFSET($R$3,0,0,'Données projet'!$E$9+1,1))-AVERAGE(OFFSET($H$3,0,0,'Données projet'!$E$9+1,1))</f>
        <v>344.4940855044307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7.3349248784140802E-20</v>
      </c>
      <c r="AC166" s="22">
        <f t="shared" si="163"/>
        <v>7.3349248784140802E-20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-1.1439169611549005E-13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246.71489737733248</v>
      </c>
      <c r="AO166" s="59">
        <f t="shared" si="144"/>
        <v>185.03615139960783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-2.7489477361086758E-14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211.98817606983374</v>
      </c>
      <c r="BJ166" s="59">
        <f t="shared" si="146"/>
        <v>154.0840647586964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-2.8421709430404007E-14</v>
      </c>
      <c r="BZ166" s="13">
        <f>BY166*VLOOKUP('Données projet'!$B$12,Paramètres!$A$1:$I$89,3,0)*VLOOKUP('Données projet'!$B$12,Paramètres!$A$1:$I$89,5,0)</f>
        <v>-3.0593128030886874E-14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231.89176215692947</v>
      </c>
      <c r="CE166" s="59">
        <f t="shared" si="148"/>
        <v>166.97658184507787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2.2737367544323206E-13</v>
      </c>
      <c r="CU166" s="17">
        <f>CT166*VLOOKUP('Données projet'!$B$13,Paramètres!$A$1:$I$89,3,0)*VLOOKUP('Données projet'!$B$13,Paramètres!$A$1:$I$89,5,0)</f>
        <v>1.7735146684572101E-13</v>
      </c>
      <c r="CV166" s="13">
        <f t="shared" si="173"/>
        <v>2.4924271921531257E-12</v>
      </c>
      <c r="CW166" s="20">
        <f t="shared" si="174"/>
        <v>4.6498644977563242E-12</v>
      </c>
      <c r="CX166" s="59">
        <f t="shared" si="122"/>
        <v>293.33333333333798</v>
      </c>
      <c r="CY166" s="59">
        <f ca="1">AVERAGE(OFFSET($CX$3,0,0,'Données projet'!$E$13+1,1))-AVERAGE(OFFSET($H$3,0,0,'Données projet'!$E$13+1,1))</f>
        <v>274.37717856763146</v>
      </c>
      <c r="CZ166" s="59">
        <f t="shared" si="150"/>
        <v>264.17357326498581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2.0417330735767178E-19</v>
      </c>
      <c r="DI166" s="22">
        <f t="shared" si="175"/>
        <v>2.0417330735767178E-19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-1.7053025658242404E-13</v>
      </c>
      <c r="DP166" s="17">
        <f>DO166*VLOOKUP('Données projet'!$B$14,Paramètres!$A$1:$I$89,3,0)*VLOOKUP('Données projet'!$B$14,Paramètres!$A$1:$I$89,5,0)</f>
        <v>-1.383341441396624E-13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304.26232113495314</v>
      </c>
      <c r="DU166" s="59">
        <f t="shared" si="152"/>
        <v>297.47246687305056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20.37026131657278</v>
      </c>
      <c r="EB166" s="21">
        <f>EXP(-LN(2)/25)*EB165+(1-EXP(-LN(2)/25))/(LN(2)/25)*Calculateur!DW166*Calculateur!DY166*VLOOKUP('Données projet'!$B$14,Paramètres!$A$1:$I$89,3,0)*0.475*44/12</f>
        <v>0.28949294398985331</v>
      </c>
      <c r="EC166" s="21">
        <f>EXP(-LN(2)/2)*EC165+(1-EXP(-LN(2)/2))/(LN(2)/2)*DW166*DZ166*VLOOKUP('Données projet'!$B$14,Paramètres!$A$1:$I$89,3,0)*0.475*44/12</f>
        <v>1.3643273440960708E-11</v>
      </c>
      <c r="ED166" s="22">
        <f t="shared" si="178"/>
        <v>20.659754260576275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2.5715962692629546E-13</v>
      </c>
      <c r="P167" s="13">
        <f t="shared" si="141"/>
        <v>3.4610450122128953E-12</v>
      </c>
      <c r="Q167" s="20">
        <f t="shared" si="162"/>
        <v>6.4758730798340893E-12</v>
      </c>
      <c r="R167" s="59">
        <f t="shared" si="109"/>
        <v>293.33333333333979</v>
      </c>
      <c r="S167" s="59">
        <f ca="1">AVERAGE(OFFSET($R$3,0,0,'Données projet'!$E$9+1,1))-AVERAGE(OFFSET($H$3,0,0,'Données projet'!$E$9+1,1))</f>
        <v>344.4940855044307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5.1865751210205088E-20</v>
      </c>
      <c r="AC167" s="22">
        <f t="shared" si="163"/>
        <v>5.1865751210205088E-20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-1.1439169611549005E-13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246.71489737733248</v>
      </c>
      <c r="AO167" s="59">
        <f t="shared" si="144"/>
        <v>185.03615139960783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-2.7489477361086758E-14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211.98817606983374</v>
      </c>
      <c r="BJ167" s="59">
        <f t="shared" si="146"/>
        <v>154.0840647586964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-2.8421709430404007E-14</v>
      </c>
      <c r="BZ167" s="13">
        <f>BY167*VLOOKUP('Données projet'!$B$12,Paramètres!$A$1:$I$89,3,0)*VLOOKUP('Données projet'!$B$12,Paramètres!$A$1:$I$89,5,0)</f>
        <v>-3.0593128030886874E-14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231.89176215692947</v>
      </c>
      <c r="CE167" s="59">
        <f t="shared" si="148"/>
        <v>166.97658184507787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2.2737367544323206E-13</v>
      </c>
      <c r="CU167" s="17">
        <f>CT167*VLOOKUP('Données projet'!$B$13,Paramètres!$A$1:$I$89,3,0)*VLOOKUP('Données projet'!$B$13,Paramètres!$A$1:$I$89,5,0)</f>
        <v>1.7735146684572101E-13</v>
      </c>
      <c r="CV167" s="13">
        <f t="shared" si="173"/>
        <v>2.4924271921531257E-12</v>
      </c>
      <c r="CW167" s="20">
        <f t="shared" si="174"/>
        <v>4.6498644977563242E-12</v>
      </c>
      <c r="CX167" s="59">
        <f t="shared" si="122"/>
        <v>293.33333333333798</v>
      </c>
      <c r="CY167" s="59">
        <f ca="1">AVERAGE(OFFSET($CX$3,0,0,'Données projet'!$E$13+1,1))-AVERAGE(OFFSET($H$3,0,0,'Données projet'!$E$13+1,1))</f>
        <v>274.37717856763146</v>
      </c>
      <c r="CZ167" s="59">
        <f t="shared" si="150"/>
        <v>264.17357326498581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1.4437233016989493E-19</v>
      </c>
      <c r="DI167" s="22">
        <f t="shared" si="175"/>
        <v>1.4437233016989493E-19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-1.7053025658242404E-13</v>
      </c>
      <c r="DP167" s="17">
        <f>DO167*VLOOKUP('Données projet'!$B$14,Paramètres!$A$1:$I$89,3,0)*VLOOKUP('Données projet'!$B$14,Paramètres!$A$1:$I$89,5,0)</f>
        <v>-1.383341441396624E-13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304.26232113495314</v>
      </c>
      <c r="DU167" s="59">
        <f t="shared" si="152"/>
        <v>297.47246687305056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19.970812916787359</v>
      </c>
      <c r="EB167" s="21">
        <f>EXP(-LN(2)/25)*EB166+(1-EXP(-LN(2)/25))/(LN(2)/25)*Calculateur!DW167*Calculateur!DY167*VLOOKUP('Données projet'!$B$14,Paramètres!$A$1:$I$89,3,0)*0.475*44/12</f>
        <v>0.28157674421267848</v>
      </c>
      <c r="EC167" s="21">
        <f>EXP(-LN(2)/2)*EC166+(1-EXP(-LN(2)/2))/(LN(2)/2)*DW167*DZ167*VLOOKUP('Données projet'!$B$14,Paramètres!$A$1:$I$89,3,0)*0.475*44/12</f>
        <v>9.6472511676856385E-12</v>
      </c>
      <c r="ED167" s="22">
        <f t="shared" si="178"/>
        <v>20.252389661009683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2.5715962692629546E-13</v>
      </c>
      <c r="P168" s="13">
        <f t="shared" si="141"/>
        <v>3.4610450122128953E-12</v>
      </c>
      <c r="Q168" s="20">
        <f t="shared" si="162"/>
        <v>6.4758730798340893E-12</v>
      </c>
      <c r="R168" s="59">
        <f t="shared" si="109"/>
        <v>293.33333333333979</v>
      </c>
      <c r="S168" s="59">
        <f ca="1">AVERAGE(OFFSET($R$3,0,0,'Données projet'!$E$9+1,1))-AVERAGE(OFFSET($H$3,0,0,'Données projet'!$E$9+1,1))</f>
        <v>344.4940855044307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3.6674624392070401E-20</v>
      </c>
      <c r="AC168" s="22">
        <f t="shared" si="163"/>
        <v>3.6674624392070401E-20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-1.1439169611549005E-13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246.71489737733248</v>
      </c>
      <c r="AO168" s="59">
        <f t="shared" si="144"/>
        <v>185.03615139960783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-2.7489477361086758E-14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211.98817606983374</v>
      </c>
      <c r="BJ168" s="59">
        <f t="shared" si="146"/>
        <v>154.0840647586964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-2.8421709430404007E-14</v>
      </c>
      <c r="BZ168" s="13">
        <f>BY168*VLOOKUP('Données projet'!$B$12,Paramètres!$A$1:$I$89,3,0)*VLOOKUP('Données projet'!$B$12,Paramètres!$A$1:$I$89,5,0)</f>
        <v>-3.0593128030886874E-14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231.89176215692947</v>
      </c>
      <c r="CE168" s="59">
        <f t="shared" si="148"/>
        <v>166.97658184507787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2.2737367544323206E-13</v>
      </c>
      <c r="CU168" s="17">
        <f>CT168*VLOOKUP('Données projet'!$B$13,Paramètres!$A$1:$I$89,3,0)*VLOOKUP('Données projet'!$B$13,Paramètres!$A$1:$I$89,5,0)</f>
        <v>1.7735146684572101E-13</v>
      </c>
      <c r="CV168" s="13">
        <f t="shared" si="173"/>
        <v>2.4924271921531257E-12</v>
      </c>
      <c r="CW168" s="20">
        <f t="shared" si="174"/>
        <v>4.6498644977563242E-12</v>
      </c>
      <c r="CX168" s="59">
        <f t="shared" si="122"/>
        <v>293.33333333333798</v>
      </c>
      <c r="CY168" s="59">
        <f ca="1">AVERAGE(OFFSET($CX$3,0,0,'Données projet'!$E$13+1,1))-AVERAGE(OFFSET($H$3,0,0,'Données projet'!$E$13+1,1))</f>
        <v>274.37717856763146</v>
      </c>
      <c r="CZ168" s="59">
        <f t="shared" si="150"/>
        <v>264.17357326498581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1.0208665367883589E-19</v>
      </c>
      <c r="DI168" s="22">
        <f t="shared" si="175"/>
        <v>1.0208665367883589E-19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-1.7053025658242404E-13</v>
      </c>
      <c r="DP168" s="17">
        <f>DO168*VLOOKUP('Données projet'!$B$14,Paramètres!$A$1:$I$89,3,0)*VLOOKUP('Données projet'!$B$14,Paramètres!$A$1:$I$89,5,0)</f>
        <v>-1.383341441396624E-13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304.26232113495314</v>
      </c>
      <c r="DU168" s="59">
        <f t="shared" si="152"/>
        <v>297.47246687305056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19.579197456482266</v>
      </c>
      <c r="EB168" s="21">
        <f>EXP(-LN(2)/25)*EB167+(1-EXP(-LN(2)/25))/(LN(2)/25)*Calculateur!DW168*Calculateur!DY168*VLOOKUP('Données projet'!$B$14,Paramètres!$A$1:$I$89,3,0)*0.475*44/12</f>
        <v>0.27387701333470538</v>
      </c>
      <c r="EC168" s="21">
        <f>EXP(-LN(2)/2)*EC167+(1-EXP(-LN(2)/2))/(LN(2)/2)*DW168*DZ168*VLOOKUP('Données projet'!$B$14,Paramètres!$A$1:$I$89,3,0)*0.475*44/12</f>
        <v>6.8216367204803539E-12</v>
      </c>
      <c r="ED168" s="22">
        <f t="shared" si="178"/>
        <v>19.853074469823792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2.5715962692629546E-13</v>
      </c>
      <c r="P169" s="13">
        <f t="shared" si="141"/>
        <v>3.4610450122128953E-12</v>
      </c>
      <c r="Q169" s="20">
        <f t="shared" si="162"/>
        <v>6.4758730798340893E-12</v>
      </c>
      <c r="R169" s="59">
        <f t="shared" si="109"/>
        <v>293.33333333333979</v>
      </c>
      <c r="S169" s="59">
        <f ca="1">AVERAGE(OFFSET($R$3,0,0,'Données projet'!$E$9+1,1))-AVERAGE(OFFSET($H$3,0,0,'Données projet'!$E$9+1,1))</f>
        <v>344.4940855044307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2.5932875605102544E-20</v>
      </c>
      <c r="AC169" s="22">
        <f t="shared" si="163"/>
        <v>2.5932875605102544E-20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-1.1439169611549005E-13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246.71489737733248</v>
      </c>
      <c r="AO169" s="59">
        <f t="shared" si="144"/>
        <v>185.03615139960783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-2.7489477361086758E-14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211.98817606983374</v>
      </c>
      <c r="BJ169" s="59">
        <f t="shared" si="146"/>
        <v>154.0840647586964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-2.8421709430404007E-14</v>
      </c>
      <c r="BZ169" s="13">
        <f>BY169*VLOOKUP('Données projet'!$B$12,Paramètres!$A$1:$I$89,3,0)*VLOOKUP('Données projet'!$B$12,Paramètres!$A$1:$I$89,5,0)</f>
        <v>-3.0593128030886874E-14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231.89176215692947</v>
      </c>
      <c r="CE169" s="59">
        <f t="shared" si="148"/>
        <v>166.97658184507787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2.2737367544323206E-13</v>
      </c>
      <c r="CU169" s="17">
        <f>CT169*VLOOKUP('Données projet'!$B$13,Paramètres!$A$1:$I$89,3,0)*VLOOKUP('Données projet'!$B$13,Paramètres!$A$1:$I$89,5,0)</f>
        <v>1.7735146684572101E-13</v>
      </c>
      <c r="CV169" s="13">
        <f t="shared" si="173"/>
        <v>2.4924271921531257E-12</v>
      </c>
      <c r="CW169" s="20">
        <f t="shared" si="174"/>
        <v>4.6498644977563242E-12</v>
      </c>
      <c r="CX169" s="59">
        <f t="shared" si="122"/>
        <v>293.33333333333798</v>
      </c>
      <c r="CY169" s="59">
        <f ca="1">AVERAGE(OFFSET($CX$3,0,0,'Données projet'!$E$13+1,1))-AVERAGE(OFFSET($H$3,0,0,'Données projet'!$E$13+1,1))</f>
        <v>274.37717856763146</v>
      </c>
      <c r="CZ169" s="59">
        <f t="shared" si="150"/>
        <v>264.17357326498581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7.2186165084947466E-20</v>
      </c>
      <c r="DI169" s="22">
        <f t="shared" si="175"/>
        <v>7.2186165084947466E-20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-1.7053025658242404E-13</v>
      </c>
      <c r="DP169" s="17">
        <f>DO169*VLOOKUP('Données projet'!$B$14,Paramètres!$A$1:$I$89,3,0)*VLOOKUP('Données projet'!$B$14,Paramètres!$A$1:$I$89,5,0)</f>
        <v>-1.383341441396624E-13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304.26232113495314</v>
      </c>
      <c r="DU169" s="59">
        <f t="shared" si="152"/>
        <v>297.47246687305056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19.19526133649191</v>
      </c>
      <c r="EB169" s="21">
        <f>EXP(-LN(2)/25)*EB168+(1-EXP(-LN(2)/25))/(LN(2)/25)*Calculateur!DW169*Calculateur!DY169*VLOOKUP('Données projet'!$B$14,Paramètres!$A$1:$I$89,3,0)*0.475*44/12</f>
        <v>0.26638783200250166</v>
      </c>
      <c r="EC169" s="21">
        <f>EXP(-LN(2)/2)*EC168+(1-EXP(-LN(2)/2))/(LN(2)/2)*DW169*DZ169*VLOOKUP('Données projet'!$B$14,Paramètres!$A$1:$I$89,3,0)*0.475*44/12</f>
        <v>4.8236255838428192E-12</v>
      </c>
      <c r="ED169" s="22">
        <f t="shared" si="178"/>
        <v>19.461649168499235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2.5715962692629546E-13</v>
      </c>
      <c r="P170" s="13">
        <f t="shared" si="141"/>
        <v>3.4610450122128953E-12</v>
      </c>
      <c r="Q170" s="20">
        <f t="shared" si="162"/>
        <v>6.4758730798340893E-12</v>
      </c>
      <c r="R170" s="59">
        <f t="shared" si="109"/>
        <v>293.33333333333979</v>
      </c>
      <c r="S170" s="59">
        <f ca="1">AVERAGE(OFFSET($R$3,0,0,'Données projet'!$E$9+1,1))-AVERAGE(OFFSET($H$3,0,0,'Données projet'!$E$9+1,1))</f>
        <v>344.4940855044307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1.8337312196035201E-20</v>
      </c>
      <c r="AC170" s="22">
        <f t="shared" si="163"/>
        <v>1.8337312196035201E-20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-1.1439169611549005E-13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246.71489737733248</v>
      </c>
      <c r="AO170" s="59">
        <f t="shared" si="144"/>
        <v>185.03615139960783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-2.7489477361086758E-14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211.98817606983374</v>
      </c>
      <c r="BJ170" s="59">
        <f t="shared" si="146"/>
        <v>154.0840647586964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-2.8421709430404007E-14</v>
      </c>
      <c r="BZ170" s="13">
        <f>BY170*VLOOKUP('Données projet'!$B$12,Paramètres!$A$1:$I$89,3,0)*VLOOKUP('Données projet'!$B$12,Paramètres!$A$1:$I$89,5,0)</f>
        <v>-3.0593128030886874E-14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231.89176215692947</v>
      </c>
      <c r="CE170" s="59">
        <f t="shared" si="148"/>
        <v>166.97658184507787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2.2737367544323206E-13</v>
      </c>
      <c r="CU170" s="17">
        <f>CT170*VLOOKUP('Données projet'!$B$13,Paramètres!$A$1:$I$89,3,0)*VLOOKUP('Données projet'!$B$13,Paramètres!$A$1:$I$89,5,0)</f>
        <v>1.7735146684572101E-13</v>
      </c>
      <c r="CV170" s="13">
        <f t="shared" si="173"/>
        <v>2.4924271921531257E-12</v>
      </c>
      <c r="CW170" s="20">
        <f t="shared" si="174"/>
        <v>4.6498644977563242E-12</v>
      </c>
      <c r="CX170" s="59">
        <f t="shared" si="122"/>
        <v>293.33333333333798</v>
      </c>
      <c r="CY170" s="59">
        <f ca="1">AVERAGE(OFFSET($CX$3,0,0,'Données projet'!$E$13+1,1))-AVERAGE(OFFSET($H$3,0,0,'Données projet'!$E$13+1,1))</f>
        <v>274.37717856763146</v>
      </c>
      <c r="CZ170" s="59">
        <f t="shared" si="150"/>
        <v>264.17357326498581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5.1043326839417945E-20</v>
      </c>
      <c r="DI170" s="22">
        <f t="shared" si="175"/>
        <v>5.1043326839417945E-20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-1.7053025658242404E-13</v>
      </c>
      <c r="DP170" s="17">
        <f>DO170*VLOOKUP('Données projet'!$B$14,Paramètres!$A$1:$I$89,3,0)*VLOOKUP('Données projet'!$B$14,Paramètres!$A$1:$I$89,5,0)</f>
        <v>-1.383341441396624E-13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304.26232113495314</v>
      </c>
      <c r="DU170" s="59">
        <f t="shared" si="152"/>
        <v>297.47246687305056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18.818853969636656</v>
      </c>
      <c r="EB170" s="21">
        <f>EXP(-LN(2)/25)*EB169+(1-EXP(-LN(2)/25))/(LN(2)/25)*Calculateur!DW170*Calculateur!DY170*VLOOKUP('Données projet'!$B$14,Paramètres!$A$1:$I$89,3,0)*0.475*44/12</f>
        <v>0.259103442727666</v>
      </c>
      <c r="EC170" s="21">
        <f>EXP(-LN(2)/2)*EC169+(1-EXP(-LN(2)/2))/(LN(2)/2)*DW170*DZ170*VLOOKUP('Données projet'!$B$14,Paramètres!$A$1:$I$89,3,0)*0.475*44/12</f>
        <v>3.410818360240177E-12</v>
      </c>
      <c r="ED170" s="22">
        <f t="shared" si="178"/>
        <v>19.077957412367734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2.5715962692629546E-13</v>
      </c>
      <c r="P171" s="13">
        <f t="shared" si="141"/>
        <v>3.4610450122128953E-12</v>
      </c>
      <c r="Q171" s="20">
        <f t="shared" si="162"/>
        <v>6.4758730798340893E-12</v>
      </c>
      <c r="R171" s="59">
        <f t="shared" si="109"/>
        <v>293.33333333333979</v>
      </c>
      <c r="S171" s="59">
        <f ca="1">AVERAGE(OFFSET($R$3,0,0,'Données projet'!$E$9+1,1))-AVERAGE(OFFSET($H$3,0,0,'Données projet'!$E$9+1,1))</f>
        <v>344.4940855044307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1.2966437802551272E-20</v>
      </c>
      <c r="AC171" s="22">
        <f t="shared" si="163"/>
        <v>1.2966437802551272E-20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-1.1439169611549005E-13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246.71489737733248</v>
      </c>
      <c r="AO171" s="59">
        <f t="shared" si="144"/>
        <v>185.03615139960783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-2.7489477361086758E-14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211.98817606983374</v>
      </c>
      <c r="BJ171" s="59">
        <f t="shared" si="146"/>
        <v>154.0840647586964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-2.8421709430404007E-14</v>
      </c>
      <c r="BZ171" s="13">
        <f>BY171*VLOOKUP('Données projet'!$B$12,Paramètres!$A$1:$I$89,3,0)*VLOOKUP('Données projet'!$B$12,Paramètres!$A$1:$I$89,5,0)</f>
        <v>-3.0593128030886874E-14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231.89176215692947</v>
      </c>
      <c r="CE171" s="59">
        <f t="shared" si="148"/>
        <v>166.97658184507787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2.2737367544323206E-13</v>
      </c>
      <c r="CU171" s="17">
        <f>CT171*VLOOKUP('Données projet'!$B$13,Paramètres!$A$1:$I$89,3,0)*VLOOKUP('Données projet'!$B$13,Paramètres!$A$1:$I$89,5,0)</f>
        <v>1.7735146684572101E-13</v>
      </c>
      <c r="CV171" s="13">
        <f t="shared" si="173"/>
        <v>2.4924271921531257E-12</v>
      </c>
      <c r="CW171" s="20">
        <f t="shared" si="174"/>
        <v>4.6498644977563242E-12</v>
      </c>
      <c r="CX171" s="59">
        <f t="shared" si="122"/>
        <v>293.33333333333798</v>
      </c>
      <c r="CY171" s="59">
        <f ca="1">AVERAGE(OFFSET($CX$3,0,0,'Données projet'!$E$13+1,1))-AVERAGE(OFFSET($H$3,0,0,'Données projet'!$E$13+1,1))</f>
        <v>274.37717856763146</v>
      </c>
      <c r="CZ171" s="59">
        <f t="shared" si="150"/>
        <v>264.17357326498581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3.6093082542473733E-20</v>
      </c>
      <c r="DI171" s="22">
        <f t="shared" si="175"/>
        <v>3.6093082542473733E-20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-1.7053025658242404E-13</v>
      </c>
      <c r="DP171" s="17">
        <f>DO171*VLOOKUP('Données projet'!$B$14,Paramètres!$A$1:$I$89,3,0)*VLOOKUP('Données projet'!$B$14,Paramètres!$A$1:$I$89,5,0)</f>
        <v>-1.383341441396624E-13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304.26232113495314</v>
      </c>
      <c r="DU171" s="59">
        <f t="shared" si="152"/>
        <v>297.47246687305056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18.449827721659609</v>
      </c>
      <c r="EB171" s="21">
        <f>EXP(-LN(2)/25)*EB170+(1-EXP(-LN(2)/25))/(LN(2)/25)*Calculateur!DW171*Calculateur!DY171*VLOOKUP('Données projet'!$B$14,Paramètres!$A$1:$I$89,3,0)*0.475*44/12</f>
        <v>0.25201824546062013</v>
      </c>
      <c r="EC171" s="21">
        <f>EXP(-LN(2)/2)*EC170+(1-EXP(-LN(2)/2))/(LN(2)/2)*DW171*DZ171*VLOOKUP('Données projet'!$B$14,Paramètres!$A$1:$I$89,3,0)*0.475*44/12</f>
        <v>2.4118127919214096E-12</v>
      </c>
      <c r="ED171" s="22">
        <f t="shared" si="178"/>
        <v>18.70184596712264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2.5715962692629546E-13</v>
      </c>
      <c r="P172" s="13">
        <f t="shared" si="141"/>
        <v>3.4610450122128953E-12</v>
      </c>
      <c r="Q172" s="20">
        <f t="shared" si="162"/>
        <v>6.4758730798340893E-12</v>
      </c>
      <c r="R172" s="59">
        <f t="shared" si="109"/>
        <v>293.33333333333979</v>
      </c>
      <c r="S172" s="59">
        <f ca="1">AVERAGE(OFFSET($R$3,0,0,'Données projet'!$E$9+1,1))-AVERAGE(OFFSET($H$3,0,0,'Données projet'!$E$9+1,1))</f>
        <v>344.4940855044307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9.1686560980176003E-21</v>
      </c>
      <c r="AC172" s="22">
        <f t="shared" si="163"/>
        <v>9.1686560980176003E-21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-1.1439169611549005E-13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246.71489737733248</v>
      </c>
      <c r="AO172" s="59">
        <f t="shared" si="144"/>
        <v>185.03615139960783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-2.7489477361086758E-14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211.98817606983374</v>
      </c>
      <c r="BJ172" s="59">
        <f t="shared" si="146"/>
        <v>154.0840647586964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-2.8421709430404007E-14</v>
      </c>
      <c r="BZ172" s="13">
        <f>BY172*VLOOKUP('Données projet'!$B$12,Paramètres!$A$1:$I$89,3,0)*VLOOKUP('Données projet'!$B$12,Paramètres!$A$1:$I$89,5,0)</f>
        <v>-3.0593128030886874E-14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231.89176215692947</v>
      </c>
      <c r="CE172" s="59">
        <f t="shared" si="148"/>
        <v>166.97658184507787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2.2737367544323206E-13</v>
      </c>
      <c r="CU172" s="17">
        <f>CT172*VLOOKUP('Données projet'!$B$13,Paramètres!$A$1:$I$89,3,0)*VLOOKUP('Données projet'!$B$13,Paramètres!$A$1:$I$89,5,0)</f>
        <v>1.7735146684572101E-13</v>
      </c>
      <c r="CV172" s="13">
        <f t="shared" si="173"/>
        <v>2.4924271921531257E-12</v>
      </c>
      <c r="CW172" s="20">
        <f t="shared" si="174"/>
        <v>4.6498644977563242E-12</v>
      </c>
      <c r="CX172" s="59">
        <f t="shared" si="122"/>
        <v>293.33333333333798</v>
      </c>
      <c r="CY172" s="59">
        <f ca="1">AVERAGE(OFFSET($CX$3,0,0,'Données projet'!$E$13+1,1))-AVERAGE(OFFSET($H$3,0,0,'Données projet'!$E$13+1,1))</f>
        <v>274.37717856763146</v>
      </c>
      <c r="CZ172" s="59">
        <f t="shared" si="150"/>
        <v>264.17357326498581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2.5521663419708973E-20</v>
      </c>
      <c r="DI172" s="22">
        <f t="shared" si="175"/>
        <v>2.5521663419708973E-20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-1.7053025658242404E-13</v>
      </c>
      <c r="DP172" s="17">
        <f>DO172*VLOOKUP('Données projet'!$B$14,Paramètres!$A$1:$I$89,3,0)*VLOOKUP('Données projet'!$B$14,Paramètres!$A$1:$I$89,5,0)</f>
        <v>-1.383341441396624E-13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304.26232113495314</v>
      </c>
      <c r="DU172" s="59">
        <f t="shared" si="152"/>
        <v>297.47246687305056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18.088037853321605</v>
      </c>
      <c r="EB172" s="21">
        <f>EXP(-LN(2)/25)*EB171+(1-EXP(-LN(2)/25))/(LN(2)/25)*Calculateur!DW172*Calculateur!DY172*VLOOKUP('Données projet'!$B$14,Paramètres!$A$1:$I$89,3,0)*0.475*44/12</f>
        <v>0.24512679328543593</v>
      </c>
      <c r="EC172" s="21">
        <f>EXP(-LN(2)/2)*EC171+(1-EXP(-LN(2)/2))/(LN(2)/2)*DW172*DZ172*VLOOKUP('Données projet'!$B$14,Paramètres!$A$1:$I$89,3,0)*0.475*44/12</f>
        <v>1.7054091801200885E-12</v>
      </c>
      <c r="ED172" s="22">
        <f t="shared" si="178"/>
        <v>18.333164646608747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2.5715962692629546E-13</v>
      </c>
      <c r="P173" s="13">
        <f t="shared" si="141"/>
        <v>3.4610450122128953E-12</v>
      </c>
      <c r="Q173" s="20">
        <f t="shared" si="162"/>
        <v>6.4758730798340893E-12</v>
      </c>
      <c r="R173" s="59">
        <f t="shared" si="109"/>
        <v>293.33333333333979</v>
      </c>
      <c r="S173" s="59">
        <f ca="1">AVERAGE(OFFSET($R$3,0,0,'Données projet'!$E$9+1,1))-AVERAGE(OFFSET($H$3,0,0,'Données projet'!$E$9+1,1))</f>
        <v>344.4940855044307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6.483218901275636E-21</v>
      </c>
      <c r="AC173" s="22">
        <f t="shared" si="163"/>
        <v>6.483218901275636E-21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-1.1439169611549005E-13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246.71489737733248</v>
      </c>
      <c r="AO173" s="59">
        <f t="shared" si="144"/>
        <v>185.03615139960783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-2.7489477361086758E-14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211.98817606983374</v>
      </c>
      <c r="BJ173" s="59">
        <f t="shared" si="146"/>
        <v>154.0840647586964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-2.8421709430404007E-14</v>
      </c>
      <c r="BZ173" s="13">
        <f>BY173*VLOOKUP('Données projet'!$B$12,Paramètres!$A$1:$I$89,3,0)*VLOOKUP('Données projet'!$B$12,Paramètres!$A$1:$I$89,5,0)</f>
        <v>-3.0593128030886874E-14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231.89176215692947</v>
      </c>
      <c r="CE173" s="59">
        <f t="shared" si="148"/>
        <v>166.97658184507787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2.2737367544323206E-13</v>
      </c>
      <c r="CU173" s="17">
        <f>CT173*VLOOKUP('Données projet'!$B$13,Paramètres!$A$1:$I$89,3,0)*VLOOKUP('Données projet'!$B$13,Paramètres!$A$1:$I$89,5,0)</f>
        <v>1.7735146684572101E-13</v>
      </c>
      <c r="CV173" s="13">
        <f t="shared" si="173"/>
        <v>2.4924271921531257E-12</v>
      </c>
      <c r="CW173" s="20">
        <f t="shared" si="174"/>
        <v>4.6498644977563242E-12</v>
      </c>
      <c r="CX173" s="59">
        <f t="shared" si="122"/>
        <v>293.33333333333798</v>
      </c>
      <c r="CY173" s="59">
        <f ca="1">AVERAGE(OFFSET($CX$3,0,0,'Données projet'!$E$13+1,1))-AVERAGE(OFFSET($H$3,0,0,'Données projet'!$E$13+1,1))</f>
        <v>274.37717856763146</v>
      </c>
      <c r="CZ173" s="59">
        <f t="shared" si="150"/>
        <v>264.17357326498581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1.8046541271236867E-20</v>
      </c>
      <c r="DI173" s="22">
        <f t="shared" si="175"/>
        <v>1.8046541271236867E-20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-1.7053025658242404E-13</v>
      </c>
      <c r="DP173" s="17">
        <f>DO173*VLOOKUP('Données projet'!$B$14,Paramètres!$A$1:$I$89,3,0)*VLOOKUP('Données projet'!$B$14,Paramètres!$A$1:$I$89,5,0)</f>
        <v>-1.383341441396624E-13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304.26232113495314</v>
      </c>
      <c r="DU173" s="59">
        <f t="shared" si="152"/>
        <v>297.47246687305056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17.733342463631679</v>
      </c>
      <c r="EB173" s="21">
        <f>EXP(-LN(2)/25)*EB172+(1-EXP(-LN(2)/25))/(LN(2)/25)*Calculateur!DW173*Calculateur!DY173*VLOOKUP('Données projet'!$B$14,Paramètres!$A$1:$I$89,3,0)*0.475*44/12</f>
        <v>0.23842378823238788</v>
      </c>
      <c r="EC173" s="21">
        <f>EXP(-LN(2)/2)*EC172+(1-EXP(-LN(2)/2))/(LN(2)/2)*DW173*DZ173*VLOOKUP('Données projet'!$B$14,Paramètres!$A$1:$I$89,3,0)*0.475*44/12</f>
        <v>1.2059063959607048E-12</v>
      </c>
      <c r="ED173" s="22">
        <f t="shared" si="178"/>
        <v>17.971766251865272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2.5715962692629546E-13</v>
      </c>
      <c r="P174" s="13">
        <f t="shared" si="141"/>
        <v>3.4610450122128953E-12</v>
      </c>
      <c r="Q174" s="20">
        <f t="shared" si="162"/>
        <v>6.4758730798340893E-12</v>
      </c>
      <c r="R174" s="59">
        <f t="shared" si="109"/>
        <v>293.33333333333979</v>
      </c>
      <c r="S174" s="59">
        <f ca="1">AVERAGE(OFFSET($R$3,0,0,'Données projet'!$E$9+1,1))-AVERAGE(OFFSET($H$3,0,0,'Données projet'!$E$9+1,1))</f>
        <v>344.4940855044307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4.5843280490088001E-21</v>
      </c>
      <c r="AC174" s="22">
        <f t="shared" si="163"/>
        <v>4.5843280490088001E-21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-1.1439169611549005E-13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246.71489737733248</v>
      </c>
      <c r="AO174" s="59">
        <f t="shared" si="144"/>
        <v>185.03615139960783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-2.7489477361086758E-14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211.98817606983374</v>
      </c>
      <c r="BJ174" s="59">
        <f t="shared" si="146"/>
        <v>154.0840647586964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-2.8421709430404007E-14</v>
      </c>
      <c r="BZ174" s="13">
        <f>BY174*VLOOKUP('Données projet'!$B$12,Paramètres!$A$1:$I$89,3,0)*VLOOKUP('Données projet'!$B$12,Paramètres!$A$1:$I$89,5,0)</f>
        <v>-3.0593128030886874E-14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231.89176215692947</v>
      </c>
      <c r="CE174" s="59">
        <f t="shared" si="148"/>
        <v>166.97658184507787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2.2737367544323206E-13</v>
      </c>
      <c r="CU174" s="17">
        <f>CT174*VLOOKUP('Données projet'!$B$13,Paramètres!$A$1:$I$89,3,0)*VLOOKUP('Données projet'!$B$13,Paramètres!$A$1:$I$89,5,0)</f>
        <v>1.7735146684572101E-13</v>
      </c>
      <c r="CV174" s="13">
        <f t="shared" si="173"/>
        <v>2.4924271921531257E-12</v>
      </c>
      <c r="CW174" s="20">
        <f t="shared" si="174"/>
        <v>4.6498644977563242E-12</v>
      </c>
      <c r="CX174" s="59">
        <f t="shared" si="122"/>
        <v>293.33333333333798</v>
      </c>
      <c r="CY174" s="59">
        <f ca="1">AVERAGE(OFFSET($CX$3,0,0,'Données projet'!$E$13+1,1))-AVERAGE(OFFSET($H$3,0,0,'Données projet'!$E$13+1,1))</f>
        <v>274.37717856763146</v>
      </c>
      <c r="CZ174" s="59">
        <f t="shared" si="150"/>
        <v>264.17357326498581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1.2760831709854486E-20</v>
      </c>
      <c r="DI174" s="22">
        <f t="shared" si="175"/>
        <v>1.2760831709854486E-20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-1.7053025658242404E-13</v>
      </c>
      <c r="DP174" s="17">
        <f>DO174*VLOOKUP('Données projet'!$B$14,Paramètres!$A$1:$I$89,3,0)*VLOOKUP('Données projet'!$B$14,Paramètres!$A$1:$I$89,5,0)</f>
        <v>-1.383341441396624E-13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304.26232113495314</v>
      </c>
      <c r="DU174" s="59">
        <f t="shared" si="152"/>
        <v>297.47246687305056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17.385602434190748</v>
      </c>
      <c r="EB174" s="21">
        <f>EXP(-LN(2)/25)*EB173+(1-EXP(-LN(2)/25))/(LN(2)/25)*Calculateur!DW174*Calculateur!DY174*VLOOKUP('Données projet'!$B$14,Paramètres!$A$1:$I$89,3,0)*0.475*44/12</f>
        <v>0.23190407720501113</v>
      </c>
      <c r="EC174" s="21">
        <f>EXP(-LN(2)/2)*EC173+(1-EXP(-LN(2)/2))/(LN(2)/2)*DW174*DZ174*VLOOKUP('Données projet'!$B$14,Paramètres!$A$1:$I$89,3,0)*0.475*44/12</f>
        <v>8.5270459006004424E-13</v>
      </c>
      <c r="ED174" s="22">
        <f t="shared" si="178"/>
        <v>17.617506511396613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2.5715962692629546E-13</v>
      </c>
      <c r="P175" s="13">
        <f t="shared" si="141"/>
        <v>3.4610450122128953E-12</v>
      </c>
      <c r="Q175" s="20">
        <f t="shared" si="162"/>
        <v>6.4758730798340893E-12</v>
      </c>
      <c r="R175" s="59">
        <f t="shared" si="109"/>
        <v>293.33333333333979</v>
      </c>
      <c r="S175" s="59">
        <f ca="1">AVERAGE(OFFSET($R$3,0,0,'Données projet'!$E$9+1,1))-AVERAGE(OFFSET($H$3,0,0,'Données projet'!$E$9+1,1))</f>
        <v>344.4940855044307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3.241609450637818E-21</v>
      </c>
      <c r="AC175" s="22">
        <f t="shared" si="163"/>
        <v>3.241609450637818E-21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-1.1439169611549005E-13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246.71489737733248</v>
      </c>
      <c r="AO175" s="59">
        <f t="shared" si="144"/>
        <v>185.03615139960783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-2.7489477361086758E-14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211.98817606983374</v>
      </c>
      <c r="BJ175" s="59">
        <f t="shared" si="146"/>
        <v>154.0840647586964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-2.8421709430404007E-14</v>
      </c>
      <c r="BZ175" s="13">
        <f>BY175*VLOOKUP('Données projet'!$B$12,Paramètres!$A$1:$I$89,3,0)*VLOOKUP('Données projet'!$B$12,Paramètres!$A$1:$I$89,5,0)</f>
        <v>-3.0593128030886874E-14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231.89176215692947</v>
      </c>
      <c r="CE175" s="59">
        <f t="shared" si="148"/>
        <v>166.97658184507787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2.2737367544323206E-13</v>
      </c>
      <c r="CU175" s="17">
        <f>CT175*VLOOKUP('Données projet'!$B$13,Paramètres!$A$1:$I$89,3,0)*VLOOKUP('Données projet'!$B$13,Paramètres!$A$1:$I$89,5,0)</f>
        <v>1.7735146684572101E-13</v>
      </c>
      <c r="CV175" s="13">
        <f t="shared" si="173"/>
        <v>2.4924271921531257E-12</v>
      </c>
      <c r="CW175" s="20">
        <f t="shared" si="174"/>
        <v>4.6498644977563242E-12</v>
      </c>
      <c r="CX175" s="59">
        <f t="shared" si="122"/>
        <v>293.33333333333798</v>
      </c>
      <c r="CY175" s="59">
        <f ca="1">AVERAGE(OFFSET($CX$3,0,0,'Données projet'!$E$13+1,1))-AVERAGE(OFFSET($H$3,0,0,'Données projet'!$E$13+1,1))</f>
        <v>274.37717856763146</v>
      </c>
      <c r="CZ175" s="59">
        <f t="shared" si="150"/>
        <v>264.17357326498581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9.0232706356184333E-21</v>
      </c>
      <c r="DI175" s="22">
        <f t="shared" si="175"/>
        <v>9.0232706356184333E-21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-1.7053025658242404E-13</v>
      </c>
      <c r="DP175" s="17">
        <f>DO175*VLOOKUP('Données projet'!$B$14,Paramètres!$A$1:$I$89,3,0)*VLOOKUP('Données projet'!$B$14,Paramètres!$A$1:$I$89,5,0)</f>
        <v>-1.383341441396624E-13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304.26232113495314</v>
      </c>
      <c r="DU175" s="59">
        <f t="shared" si="152"/>
        <v>297.47246687305056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17.044681374626677</v>
      </c>
      <c r="EB175" s="21">
        <f>EXP(-LN(2)/25)*EB174+(1-EXP(-LN(2)/25))/(LN(2)/25)*Calculateur!DW175*Calculateur!DY175*VLOOKUP('Données projet'!$B$14,Paramètres!$A$1:$I$89,3,0)*0.475*44/12</f>
        <v>0.22556264801853471</v>
      </c>
      <c r="EC175" s="21">
        <f>EXP(-LN(2)/2)*EC174+(1-EXP(-LN(2)/2))/(LN(2)/2)*DW175*DZ175*VLOOKUP('Données projet'!$B$14,Paramètres!$A$1:$I$89,3,0)*0.475*44/12</f>
        <v>6.029531979803524E-13</v>
      </c>
      <c r="ED175" s="22">
        <f t="shared" si="178"/>
        <v>17.270244022645816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2.5715962692629546E-13</v>
      </c>
      <c r="P176" s="13">
        <f t="shared" si="141"/>
        <v>3.4610450122128953E-12</v>
      </c>
      <c r="Q176" s="20">
        <f t="shared" si="162"/>
        <v>6.4758730798340893E-12</v>
      </c>
      <c r="R176" s="59">
        <f t="shared" si="109"/>
        <v>293.33333333333979</v>
      </c>
      <c r="S176" s="59">
        <f ca="1">AVERAGE(OFFSET($R$3,0,0,'Données projet'!$E$9+1,1))-AVERAGE(OFFSET($H$3,0,0,'Données projet'!$E$9+1,1))</f>
        <v>344.4940855044307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2.2921640245044001E-21</v>
      </c>
      <c r="AC176" s="22">
        <f t="shared" si="163"/>
        <v>2.2921640245044001E-21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-1.1439169611549005E-13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246.71489737733248</v>
      </c>
      <c r="AO176" s="59">
        <f t="shared" si="144"/>
        <v>185.03615139960783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-2.7489477361086758E-14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211.98817606983374</v>
      </c>
      <c r="BJ176" s="59">
        <f t="shared" si="146"/>
        <v>154.0840647586964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-2.8421709430404007E-14</v>
      </c>
      <c r="BZ176" s="13">
        <f>BY176*VLOOKUP('Données projet'!$B$12,Paramètres!$A$1:$I$89,3,0)*VLOOKUP('Données projet'!$B$12,Paramètres!$A$1:$I$89,5,0)</f>
        <v>-3.0593128030886874E-14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231.89176215692947</v>
      </c>
      <c r="CE176" s="59">
        <f t="shared" si="148"/>
        <v>166.97658184507787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2.2737367544323206E-13</v>
      </c>
      <c r="CU176" s="17">
        <f>CT176*VLOOKUP('Données projet'!$B$13,Paramètres!$A$1:$I$89,3,0)*VLOOKUP('Données projet'!$B$13,Paramètres!$A$1:$I$89,5,0)</f>
        <v>1.7735146684572101E-13</v>
      </c>
      <c r="CV176" s="13">
        <f t="shared" si="173"/>
        <v>2.4924271921531257E-12</v>
      </c>
      <c r="CW176" s="20">
        <f t="shared" si="174"/>
        <v>4.6498644977563242E-12</v>
      </c>
      <c r="CX176" s="59">
        <f t="shared" si="122"/>
        <v>293.33333333333798</v>
      </c>
      <c r="CY176" s="59">
        <f ca="1">AVERAGE(OFFSET($CX$3,0,0,'Données projet'!$E$13+1,1))-AVERAGE(OFFSET($H$3,0,0,'Données projet'!$E$13+1,1))</f>
        <v>274.37717856763146</v>
      </c>
      <c r="CZ176" s="59">
        <f t="shared" si="150"/>
        <v>264.17357326498581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6.3804158549272432E-21</v>
      </c>
      <c r="DI176" s="22">
        <f t="shared" si="175"/>
        <v>6.3804158549272432E-21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-1.7053025658242404E-13</v>
      </c>
      <c r="DP176" s="17">
        <f>DO176*VLOOKUP('Données projet'!$B$14,Paramètres!$A$1:$I$89,3,0)*VLOOKUP('Données projet'!$B$14,Paramètres!$A$1:$I$89,5,0)</f>
        <v>-1.383341441396624E-13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304.26232113495314</v>
      </c>
      <c r="DU176" s="59">
        <f t="shared" si="152"/>
        <v>297.47246687305056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16.710445569099345</v>
      </c>
      <c r="EB176" s="21">
        <f>EXP(-LN(2)/25)*EB175+(1-EXP(-LN(2)/25))/(LN(2)/25)*Calculateur!DW176*Calculateur!DY176*VLOOKUP('Données projet'!$B$14,Paramètres!$A$1:$I$89,3,0)*0.475*44/12</f>
        <v>0.21939462554664374</v>
      </c>
      <c r="EC176" s="21">
        <f>EXP(-LN(2)/2)*EC175+(1-EXP(-LN(2)/2))/(LN(2)/2)*DW176*DZ176*VLOOKUP('Données projet'!$B$14,Paramètres!$A$1:$I$89,3,0)*0.475*44/12</f>
        <v>4.2635229503002212E-13</v>
      </c>
      <c r="ED176" s="22">
        <f t="shared" si="178"/>
        <v>16.929840194646417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2.5715962692629546E-13</v>
      </c>
      <c r="P177" s="13">
        <f t="shared" si="141"/>
        <v>3.4610450122128953E-12</v>
      </c>
      <c r="Q177" s="20">
        <f t="shared" si="162"/>
        <v>6.4758730798340893E-12</v>
      </c>
      <c r="R177" s="59">
        <f t="shared" si="109"/>
        <v>293.33333333333979</v>
      </c>
      <c r="S177" s="59">
        <f ca="1">AVERAGE(OFFSET($R$3,0,0,'Données projet'!$E$9+1,1))-AVERAGE(OFFSET($H$3,0,0,'Données projet'!$E$9+1,1))</f>
        <v>344.4940855044307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1.620804725318909E-21</v>
      </c>
      <c r="AC177" s="22">
        <f t="shared" si="163"/>
        <v>1.620804725318909E-21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-1.1439169611549005E-13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246.71489737733248</v>
      </c>
      <c r="AO177" s="59">
        <f t="shared" si="144"/>
        <v>185.03615139960783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-2.7489477361086758E-14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211.98817606983374</v>
      </c>
      <c r="BJ177" s="59">
        <f t="shared" si="146"/>
        <v>154.0840647586964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-2.8421709430404007E-14</v>
      </c>
      <c r="BZ177" s="13">
        <f>BY177*VLOOKUP('Données projet'!$B$12,Paramètres!$A$1:$I$89,3,0)*VLOOKUP('Données projet'!$B$12,Paramètres!$A$1:$I$89,5,0)</f>
        <v>-3.0593128030886874E-14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231.89176215692947</v>
      </c>
      <c r="CE177" s="59">
        <f t="shared" si="148"/>
        <v>166.97658184507787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2.2737367544323206E-13</v>
      </c>
      <c r="CU177" s="17">
        <f>CT177*VLOOKUP('Données projet'!$B$13,Paramètres!$A$1:$I$89,3,0)*VLOOKUP('Données projet'!$B$13,Paramètres!$A$1:$I$89,5,0)</f>
        <v>1.7735146684572101E-13</v>
      </c>
      <c r="CV177" s="13">
        <f t="shared" si="173"/>
        <v>2.4924271921531257E-12</v>
      </c>
      <c r="CW177" s="20">
        <f t="shared" si="174"/>
        <v>4.6498644977563242E-12</v>
      </c>
      <c r="CX177" s="59">
        <f t="shared" si="122"/>
        <v>293.33333333333798</v>
      </c>
      <c r="CY177" s="59">
        <f ca="1">AVERAGE(OFFSET($CX$3,0,0,'Données projet'!$E$13+1,1))-AVERAGE(OFFSET($H$3,0,0,'Données projet'!$E$13+1,1))</f>
        <v>274.37717856763146</v>
      </c>
      <c r="CZ177" s="59">
        <f t="shared" si="150"/>
        <v>264.17357326498581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4.5116353178092166E-21</v>
      </c>
      <c r="DI177" s="22">
        <f t="shared" si="175"/>
        <v>4.5116353178092166E-21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-1.7053025658242404E-13</v>
      </c>
      <c r="DP177" s="17">
        <f>DO177*VLOOKUP('Données projet'!$B$14,Paramètres!$A$1:$I$89,3,0)*VLOOKUP('Données projet'!$B$14,Paramètres!$A$1:$I$89,5,0)</f>
        <v>-1.383341441396624E-13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304.26232113495314</v>
      </c>
      <c r="DU177" s="59">
        <f t="shared" si="152"/>
        <v>297.47246687305056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16.382763923854693</v>
      </c>
      <c r="EB177" s="21">
        <f>EXP(-LN(2)/25)*EB176+(1-EXP(-LN(2)/25))/(LN(2)/25)*Calculateur!DW177*Calculateur!DY177*VLOOKUP('Données projet'!$B$14,Paramètres!$A$1:$I$89,3,0)*0.475*44/12</f>
        <v>0.21339526797360883</v>
      </c>
      <c r="EC177" s="21">
        <f>EXP(-LN(2)/2)*EC176+(1-EXP(-LN(2)/2))/(LN(2)/2)*DW177*DZ177*VLOOKUP('Données projet'!$B$14,Paramètres!$A$1:$I$89,3,0)*0.475*44/12</f>
        <v>3.014765989901762E-13</v>
      </c>
      <c r="ED177" s="22">
        <f t="shared" si="178"/>
        <v>16.596159191828605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2.5715962692629546E-13</v>
      </c>
      <c r="P178" s="13">
        <f t="shared" si="141"/>
        <v>3.4610450122128953E-12</v>
      </c>
      <c r="Q178" s="20">
        <f t="shared" si="162"/>
        <v>6.4758730798340893E-12</v>
      </c>
      <c r="R178" s="59">
        <f t="shared" si="109"/>
        <v>293.33333333333979</v>
      </c>
      <c r="S178" s="59">
        <f ca="1">AVERAGE(OFFSET($R$3,0,0,'Données projet'!$E$9+1,1))-AVERAGE(OFFSET($H$3,0,0,'Données projet'!$E$9+1,1))</f>
        <v>344.4940855044307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1.1460820122522E-21</v>
      </c>
      <c r="AC178" s="22">
        <f t="shared" si="163"/>
        <v>1.1460820122522E-21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-1.1439169611549005E-13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246.71489737733248</v>
      </c>
      <c r="AO178" s="59">
        <f t="shared" si="144"/>
        <v>185.03615139960783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-2.7489477361086758E-14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211.98817606983374</v>
      </c>
      <c r="BJ178" s="59">
        <f t="shared" si="146"/>
        <v>154.0840647586964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-2.8421709430404007E-14</v>
      </c>
      <c r="BZ178" s="13">
        <f>BY178*VLOOKUP('Données projet'!$B$12,Paramètres!$A$1:$I$89,3,0)*VLOOKUP('Données projet'!$B$12,Paramètres!$A$1:$I$89,5,0)</f>
        <v>-3.0593128030886874E-14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231.89176215692947</v>
      </c>
      <c r="CE178" s="59">
        <f t="shared" si="148"/>
        <v>166.97658184507787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2.2737367544323206E-13</v>
      </c>
      <c r="CU178" s="17">
        <f>CT178*VLOOKUP('Données projet'!$B$13,Paramètres!$A$1:$I$89,3,0)*VLOOKUP('Données projet'!$B$13,Paramètres!$A$1:$I$89,5,0)</f>
        <v>1.7735146684572101E-13</v>
      </c>
      <c r="CV178" s="13">
        <f t="shared" si="173"/>
        <v>2.4924271921531257E-12</v>
      </c>
      <c r="CW178" s="20">
        <f t="shared" si="174"/>
        <v>4.6498644977563242E-12</v>
      </c>
      <c r="CX178" s="59">
        <f t="shared" si="122"/>
        <v>293.33333333333798</v>
      </c>
      <c r="CY178" s="59">
        <f ca="1">AVERAGE(OFFSET($CX$3,0,0,'Données projet'!$E$13+1,1))-AVERAGE(OFFSET($H$3,0,0,'Données projet'!$E$13+1,1))</f>
        <v>274.37717856763146</v>
      </c>
      <c r="CZ178" s="59">
        <f t="shared" si="150"/>
        <v>264.17357326498581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3.1902079274636216E-21</v>
      </c>
      <c r="DI178" s="22">
        <f t="shared" si="175"/>
        <v>3.1902079274636216E-21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-1.7053025658242404E-13</v>
      </c>
      <c r="DP178" s="17">
        <f>DO178*VLOOKUP('Données projet'!$B$14,Paramètres!$A$1:$I$89,3,0)*VLOOKUP('Données projet'!$B$14,Paramètres!$A$1:$I$89,5,0)</f>
        <v>-1.383341441396624E-13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304.26232113495314</v>
      </c>
      <c r="DU178" s="59">
        <f t="shared" si="152"/>
        <v>297.47246687305056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16.061507915807219</v>
      </c>
      <c r="EB178" s="21">
        <f>EXP(-LN(2)/25)*EB177+(1-EXP(-LN(2)/25))/(LN(2)/25)*Calculateur!DW178*Calculateur!DY178*VLOOKUP('Données projet'!$B$14,Paramètres!$A$1:$I$89,3,0)*0.475*44/12</f>
        <v>0.20755996314890107</v>
      </c>
      <c r="EC178" s="21">
        <f>EXP(-LN(2)/2)*EC177+(1-EXP(-LN(2)/2))/(LN(2)/2)*DW178*DZ178*VLOOKUP('Données projet'!$B$14,Paramètres!$A$1:$I$89,3,0)*0.475*44/12</f>
        <v>2.1317614751501106E-13</v>
      </c>
      <c r="ED178" s="22">
        <f t="shared" si="178"/>
        <v>16.269067878956335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2.5715962692629546E-13</v>
      </c>
      <c r="P179" s="13">
        <f t="shared" si="141"/>
        <v>3.4610450122128953E-12</v>
      </c>
      <c r="Q179" s="20">
        <f t="shared" si="162"/>
        <v>6.4758730798340893E-12</v>
      </c>
      <c r="R179" s="59">
        <f t="shared" si="109"/>
        <v>293.33333333333979</v>
      </c>
      <c r="S179" s="59">
        <f ca="1">AVERAGE(OFFSET($R$3,0,0,'Données projet'!$E$9+1,1))-AVERAGE(OFFSET($H$3,0,0,'Données projet'!$E$9+1,1))</f>
        <v>344.4940855044307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8.104023626594545E-22</v>
      </c>
      <c r="AC179" s="22">
        <f t="shared" si="163"/>
        <v>8.104023626594545E-22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-1.1439169611549005E-13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246.71489737733248</v>
      </c>
      <c r="AO179" s="59">
        <f t="shared" si="144"/>
        <v>185.03615139960783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-2.7489477361086758E-14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211.98817606983374</v>
      </c>
      <c r="BJ179" s="59">
        <f t="shared" si="146"/>
        <v>154.0840647586964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-2.8421709430404007E-14</v>
      </c>
      <c r="BZ179" s="13">
        <f>BY179*VLOOKUP('Données projet'!$B$12,Paramètres!$A$1:$I$89,3,0)*VLOOKUP('Données projet'!$B$12,Paramètres!$A$1:$I$89,5,0)</f>
        <v>-3.0593128030886874E-14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231.89176215692947</v>
      </c>
      <c r="CE179" s="59">
        <f t="shared" si="148"/>
        <v>166.97658184507787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2.2737367544323206E-13</v>
      </c>
      <c r="CU179" s="17">
        <f>CT179*VLOOKUP('Données projet'!$B$13,Paramètres!$A$1:$I$89,3,0)*VLOOKUP('Données projet'!$B$13,Paramètres!$A$1:$I$89,5,0)</f>
        <v>1.7735146684572101E-13</v>
      </c>
      <c r="CV179" s="13">
        <f t="shared" si="173"/>
        <v>2.4924271921531257E-12</v>
      </c>
      <c r="CW179" s="20">
        <f t="shared" si="174"/>
        <v>4.6498644977563242E-12</v>
      </c>
      <c r="CX179" s="59">
        <f t="shared" si="122"/>
        <v>293.33333333333798</v>
      </c>
      <c r="CY179" s="59">
        <f ca="1">AVERAGE(OFFSET($CX$3,0,0,'Données projet'!$E$13+1,1))-AVERAGE(OFFSET($H$3,0,0,'Données projet'!$E$13+1,1))</f>
        <v>274.37717856763146</v>
      </c>
      <c r="CZ179" s="59">
        <f t="shared" si="150"/>
        <v>264.17357326498581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2.2558176589046083E-21</v>
      </c>
      <c r="DI179" s="22">
        <f t="shared" si="175"/>
        <v>2.2558176589046083E-21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-1.7053025658242404E-13</v>
      </c>
      <c r="DP179" s="17">
        <f>DO179*VLOOKUP('Données projet'!$B$14,Paramètres!$A$1:$I$89,3,0)*VLOOKUP('Données projet'!$B$14,Paramètres!$A$1:$I$89,5,0)</f>
        <v>-1.383341441396624E-13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304.26232113495314</v>
      </c>
      <c r="DU179" s="59">
        <f t="shared" si="152"/>
        <v>297.47246687305056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15.746551542130739</v>
      </c>
      <c r="EB179" s="21">
        <f>EXP(-LN(2)/25)*EB178+(1-EXP(-LN(2)/25))/(LN(2)/25)*Calculateur!DW179*Calculateur!DY179*VLOOKUP('Données projet'!$B$14,Paramètres!$A$1:$I$89,3,0)*0.475*44/12</f>
        <v>0.20188422504149028</v>
      </c>
      <c r="EC179" s="21">
        <f>EXP(-LN(2)/2)*EC178+(1-EXP(-LN(2)/2))/(LN(2)/2)*DW179*DZ179*VLOOKUP('Données projet'!$B$14,Paramètres!$A$1:$I$89,3,0)*0.475*44/12</f>
        <v>1.507382994950881E-13</v>
      </c>
      <c r="ED179" s="22">
        <f t="shared" si="178"/>
        <v>15.948435767172381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2.5715962692629546E-13</v>
      </c>
      <c r="P180" s="13">
        <f t="shared" si="141"/>
        <v>3.4610450122128953E-12</v>
      </c>
      <c r="Q180" s="20">
        <f t="shared" si="162"/>
        <v>6.4758730798340893E-12</v>
      </c>
      <c r="R180" s="59">
        <f t="shared" si="109"/>
        <v>293.33333333333979</v>
      </c>
      <c r="S180" s="59">
        <f ca="1">AVERAGE(OFFSET($R$3,0,0,'Données projet'!$E$9+1,1))-AVERAGE(OFFSET($H$3,0,0,'Données projet'!$E$9+1,1))</f>
        <v>344.4940855044307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5.7304100612610002E-22</v>
      </c>
      <c r="AC180" s="22">
        <f t="shared" si="163"/>
        <v>5.7304100612610002E-22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-1.1439169611549005E-13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246.71489737733248</v>
      </c>
      <c r="AO180" s="59">
        <f t="shared" si="144"/>
        <v>185.03615139960783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-2.7489477361086758E-14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211.98817606983374</v>
      </c>
      <c r="BJ180" s="59">
        <f t="shared" si="146"/>
        <v>154.0840647586964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-2.8421709430404007E-14</v>
      </c>
      <c r="BZ180" s="13">
        <f>BY180*VLOOKUP('Données projet'!$B$12,Paramètres!$A$1:$I$89,3,0)*VLOOKUP('Données projet'!$B$12,Paramètres!$A$1:$I$89,5,0)</f>
        <v>-3.0593128030886874E-14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231.89176215692947</v>
      </c>
      <c r="CE180" s="59">
        <f t="shared" si="148"/>
        <v>166.97658184507787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2.2737367544323206E-13</v>
      </c>
      <c r="CU180" s="17">
        <f>CT180*VLOOKUP('Données projet'!$B$13,Paramètres!$A$1:$I$89,3,0)*VLOOKUP('Données projet'!$B$13,Paramètres!$A$1:$I$89,5,0)</f>
        <v>1.7735146684572101E-13</v>
      </c>
      <c r="CV180" s="13">
        <f t="shared" si="173"/>
        <v>2.4924271921531257E-12</v>
      </c>
      <c r="CW180" s="20">
        <f t="shared" si="174"/>
        <v>4.6498644977563242E-12</v>
      </c>
      <c r="CX180" s="59">
        <f t="shared" si="122"/>
        <v>293.33333333333798</v>
      </c>
      <c r="CY180" s="59">
        <f ca="1">AVERAGE(OFFSET($CX$3,0,0,'Données projet'!$E$13+1,1))-AVERAGE(OFFSET($H$3,0,0,'Données projet'!$E$13+1,1))</f>
        <v>274.37717856763146</v>
      </c>
      <c r="CZ180" s="59">
        <f t="shared" si="150"/>
        <v>264.17357326498581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1.5951039637318108E-21</v>
      </c>
      <c r="DI180" s="22">
        <f t="shared" si="175"/>
        <v>1.5951039637318108E-21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-1.7053025658242404E-13</v>
      </c>
      <c r="DP180" s="17">
        <f>DO180*VLOOKUP('Données projet'!$B$14,Paramètres!$A$1:$I$89,3,0)*VLOOKUP('Données projet'!$B$14,Paramètres!$A$1:$I$89,5,0)</f>
        <v>-1.383341441396624E-13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304.26232113495314</v>
      </c>
      <c r="DU180" s="59">
        <f t="shared" si="152"/>
        <v>297.47246687305056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15.437771270837635</v>
      </c>
      <c r="EB180" s="21">
        <f>EXP(-LN(2)/25)*EB179+(1-EXP(-LN(2)/25))/(LN(2)/25)*Calculateur!DW180*Calculateur!DY180*VLOOKUP('Données projet'!$B$14,Paramètres!$A$1:$I$89,3,0)*0.475*44/12</f>
        <v>0.19636369029110076</v>
      </c>
      <c r="EC180" s="21">
        <f>EXP(-LN(2)/2)*EC179+(1-EXP(-LN(2)/2))/(LN(2)/2)*DW180*DZ180*VLOOKUP('Données projet'!$B$14,Paramètres!$A$1:$I$89,3,0)*0.475*44/12</f>
        <v>1.0658807375750553E-13</v>
      </c>
      <c r="ED180" s="22">
        <f t="shared" si="178"/>
        <v>15.634134961128842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2.5715962692629546E-13</v>
      </c>
      <c r="P181" s="13">
        <f t="shared" si="141"/>
        <v>3.4610450122128953E-12</v>
      </c>
      <c r="Q181" s="20">
        <f t="shared" si="162"/>
        <v>6.4758730798340893E-12</v>
      </c>
      <c r="R181" s="59">
        <f t="shared" si="109"/>
        <v>293.33333333333979</v>
      </c>
      <c r="S181" s="59">
        <f ca="1">AVERAGE(OFFSET($R$3,0,0,'Données projet'!$E$9+1,1))-AVERAGE(OFFSET($H$3,0,0,'Données projet'!$E$9+1,1))</f>
        <v>344.4940855044307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4.0520118132972725E-22</v>
      </c>
      <c r="AC181" s="22">
        <f t="shared" si="163"/>
        <v>4.0520118132972725E-22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-1.1439169611549005E-13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246.71489737733248</v>
      </c>
      <c r="AO181" s="59">
        <f t="shared" si="144"/>
        <v>185.03615139960783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-2.7489477361086758E-14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211.98817606983374</v>
      </c>
      <c r="BJ181" s="59">
        <f t="shared" si="146"/>
        <v>154.0840647586964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-2.8421709430404007E-14</v>
      </c>
      <c r="BZ181" s="13">
        <f>BY181*VLOOKUP('Données projet'!$B$12,Paramètres!$A$1:$I$89,3,0)*VLOOKUP('Données projet'!$B$12,Paramètres!$A$1:$I$89,5,0)</f>
        <v>-3.0593128030886874E-14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231.89176215692947</v>
      </c>
      <c r="CE181" s="59">
        <f t="shared" si="148"/>
        <v>166.97658184507787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2.2737367544323206E-13</v>
      </c>
      <c r="CU181" s="17">
        <f>CT181*VLOOKUP('Données projet'!$B$13,Paramètres!$A$1:$I$89,3,0)*VLOOKUP('Données projet'!$B$13,Paramètres!$A$1:$I$89,5,0)</f>
        <v>1.7735146684572101E-13</v>
      </c>
      <c r="CV181" s="13">
        <f t="shared" si="173"/>
        <v>2.4924271921531257E-12</v>
      </c>
      <c r="CW181" s="20">
        <f t="shared" si="174"/>
        <v>4.6498644977563242E-12</v>
      </c>
      <c r="CX181" s="59">
        <f t="shared" si="122"/>
        <v>293.33333333333798</v>
      </c>
      <c r="CY181" s="59">
        <f ca="1">AVERAGE(OFFSET($CX$3,0,0,'Données projet'!$E$13+1,1))-AVERAGE(OFFSET($H$3,0,0,'Données projet'!$E$13+1,1))</f>
        <v>274.37717856763146</v>
      </c>
      <c r="CZ181" s="59">
        <f t="shared" si="150"/>
        <v>264.17357326498581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1.1279088294523042E-21</v>
      </c>
      <c r="DI181" s="22">
        <f t="shared" si="175"/>
        <v>1.1279088294523042E-21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-1.7053025658242404E-13</v>
      </c>
      <c r="DP181" s="17">
        <f>DO181*VLOOKUP('Données projet'!$B$14,Paramètres!$A$1:$I$89,3,0)*VLOOKUP('Données projet'!$B$14,Paramètres!$A$1:$I$89,5,0)</f>
        <v>-1.383341441396624E-13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304.26232113495314</v>
      </c>
      <c r="DU181" s="59">
        <f t="shared" si="152"/>
        <v>297.47246687305056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15.135045992327219</v>
      </c>
      <c r="EB181" s="21">
        <f>EXP(-LN(2)/25)*EB180+(1-EXP(-LN(2)/25))/(LN(2)/25)*Calculateur!DW181*Calculateur!DY181*VLOOKUP('Données projet'!$B$14,Paramètres!$A$1:$I$89,3,0)*0.475*44/12</f>
        <v>0.19099411485377293</v>
      </c>
      <c r="EC181" s="21">
        <f>EXP(-LN(2)/2)*EC180+(1-EXP(-LN(2)/2))/(LN(2)/2)*DW181*DZ181*VLOOKUP('Données projet'!$B$14,Paramètres!$A$1:$I$89,3,0)*0.475*44/12</f>
        <v>7.536914974754405E-14</v>
      </c>
      <c r="ED181" s="22">
        <f t="shared" si="178"/>
        <v>15.326040107181067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2.5715962692629546E-13</v>
      </c>
      <c r="P182" s="13">
        <f t="shared" si="141"/>
        <v>3.4610450122128953E-12</v>
      </c>
      <c r="Q182" s="20">
        <f t="shared" si="162"/>
        <v>6.4758730798340893E-12</v>
      </c>
      <c r="R182" s="59">
        <f t="shared" si="109"/>
        <v>293.33333333333979</v>
      </c>
      <c r="S182" s="59">
        <f ca="1">AVERAGE(OFFSET($R$3,0,0,'Données projet'!$E$9+1,1))-AVERAGE(OFFSET($H$3,0,0,'Données projet'!$E$9+1,1))</f>
        <v>344.4940855044307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2.8652050306305001E-22</v>
      </c>
      <c r="AC182" s="22">
        <f t="shared" si="163"/>
        <v>2.8652050306305001E-22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-1.1439169611549005E-13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246.71489737733248</v>
      </c>
      <c r="AO182" s="59">
        <f t="shared" si="144"/>
        <v>185.03615139960783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-2.7489477361086758E-14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211.98817606983374</v>
      </c>
      <c r="BJ182" s="59">
        <f t="shared" si="146"/>
        <v>154.0840647586964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-2.8421709430404007E-14</v>
      </c>
      <c r="BZ182" s="13">
        <f>BY182*VLOOKUP('Données projet'!$B$12,Paramètres!$A$1:$I$89,3,0)*VLOOKUP('Données projet'!$B$12,Paramètres!$A$1:$I$89,5,0)</f>
        <v>-3.0593128030886874E-14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231.89176215692947</v>
      </c>
      <c r="CE182" s="59">
        <f t="shared" si="148"/>
        <v>166.97658184507787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2.2737367544323206E-13</v>
      </c>
      <c r="CU182" s="17">
        <f>CT182*VLOOKUP('Données projet'!$B$13,Paramètres!$A$1:$I$89,3,0)*VLOOKUP('Données projet'!$B$13,Paramètres!$A$1:$I$89,5,0)</f>
        <v>1.7735146684572101E-13</v>
      </c>
      <c r="CV182" s="13">
        <f t="shared" si="173"/>
        <v>2.4924271921531257E-12</v>
      </c>
      <c r="CW182" s="20">
        <f t="shared" si="174"/>
        <v>4.6498644977563242E-12</v>
      </c>
      <c r="CX182" s="59">
        <f t="shared" si="122"/>
        <v>293.33333333333798</v>
      </c>
      <c r="CY182" s="59">
        <f ca="1">AVERAGE(OFFSET($CX$3,0,0,'Données projet'!$E$13+1,1))-AVERAGE(OFFSET($H$3,0,0,'Données projet'!$E$13+1,1))</f>
        <v>274.37717856763146</v>
      </c>
      <c r="CZ182" s="59">
        <f t="shared" si="150"/>
        <v>264.17357326498581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7.975519818659054E-22</v>
      </c>
      <c r="DI182" s="22">
        <f t="shared" si="175"/>
        <v>7.975519818659054E-22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-1.7053025658242404E-13</v>
      </c>
      <c r="DP182" s="17">
        <f>DO182*VLOOKUP('Données projet'!$B$14,Paramètres!$A$1:$I$89,3,0)*VLOOKUP('Données projet'!$B$14,Paramètres!$A$1:$I$89,5,0)</f>
        <v>-1.383341441396624E-13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304.26232113495314</v>
      </c>
      <c r="DU182" s="59">
        <f t="shared" si="152"/>
        <v>297.47246687305056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14.838256971884206</v>
      </c>
      <c r="EB182" s="21">
        <f>EXP(-LN(2)/25)*EB181+(1-EXP(-LN(2)/25))/(LN(2)/25)*Calculateur!DW182*Calculateur!DY182*VLOOKUP('Données projet'!$B$14,Paramètres!$A$1:$I$89,3,0)*0.475*44/12</f>
        <v>0.18577137073915254</v>
      </c>
      <c r="EC182" s="21">
        <f>EXP(-LN(2)/2)*EC181+(1-EXP(-LN(2)/2))/(LN(2)/2)*DW182*DZ182*VLOOKUP('Données projet'!$B$14,Paramètres!$A$1:$I$89,3,0)*0.475*44/12</f>
        <v>5.3294036878752765E-14</v>
      </c>
      <c r="ED182" s="22">
        <f t="shared" si="178"/>
        <v>15.024028342623412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2.5715962692629546E-13</v>
      </c>
      <c r="P183" s="13">
        <f t="shared" si="141"/>
        <v>3.4610450122128953E-12</v>
      </c>
      <c r="Q183" s="20">
        <f t="shared" si="162"/>
        <v>6.4758730798340893E-12</v>
      </c>
      <c r="R183" s="59">
        <f t="shared" si="109"/>
        <v>293.33333333333979</v>
      </c>
      <c r="S183" s="59">
        <f ca="1">AVERAGE(OFFSET($R$3,0,0,'Données projet'!$E$9+1,1))-AVERAGE(OFFSET($H$3,0,0,'Données projet'!$E$9+1,1))</f>
        <v>344.4940855044307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2.0260059066486362E-22</v>
      </c>
      <c r="AC183" s="22">
        <f t="shared" si="163"/>
        <v>2.0260059066486362E-22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-1.1439169611549005E-13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246.71489737733248</v>
      </c>
      <c r="AO183" s="59">
        <f t="shared" si="144"/>
        <v>185.03615139960783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-2.7489477361086758E-14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211.98817606983374</v>
      </c>
      <c r="BJ183" s="59">
        <f t="shared" si="146"/>
        <v>154.0840647586964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-2.8421709430404007E-14</v>
      </c>
      <c r="BZ183" s="13">
        <f>BY183*VLOOKUP('Données projet'!$B$12,Paramètres!$A$1:$I$89,3,0)*VLOOKUP('Données projet'!$B$12,Paramètres!$A$1:$I$89,5,0)</f>
        <v>-3.0593128030886874E-14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231.89176215692947</v>
      </c>
      <c r="CE183" s="59">
        <f t="shared" si="148"/>
        <v>166.97658184507787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2.2737367544323206E-13</v>
      </c>
      <c r="CU183" s="17">
        <f>CT183*VLOOKUP('Données projet'!$B$13,Paramètres!$A$1:$I$89,3,0)*VLOOKUP('Données projet'!$B$13,Paramètres!$A$1:$I$89,5,0)</f>
        <v>1.7735146684572101E-13</v>
      </c>
      <c r="CV183" s="13">
        <f t="shared" si="173"/>
        <v>2.4924271921531257E-12</v>
      </c>
      <c r="CW183" s="20">
        <f t="shared" si="174"/>
        <v>4.6498644977563242E-12</v>
      </c>
      <c r="CX183" s="59">
        <f t="shared" si="122"/>
        <v>293.33333333333798</v>
      </c>
      <c r="CY183" s="59">
        <f ca="1">AVERAGE(OFFSET($CX$3,0,0,'Données projet'!$E$13+1,1))-AVERAGE(OFFSET($H$3,0,0,'Données projet'!$E$13+1,1))</f>
        <v>274.37717856763146</v>
      </c>
      <c r="CZ183" s="59">
        <f t="shared" si="150"/>
        <v>264.17357326498581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5.6395441472615208E-22</v>
      </c>
      <c r="DI183" s="22">
        <f t="shared" si="175"/>
        <v>5.6395441472615208E-22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-1.7053025658242404E-13</v>
      </c>
      <c r="DP183" s="17">
        <f>DO183*VLOOKUP('Données projet'!$B$14,Paramètres!$A$1:$I$89,3,0)*VLOOKUP('Données projet'!$B$14,Paramètres!$A$1:$I$89,5,0)</f>
        <v>-1.383341441396624E-13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304.26232113495314</v>
      </c>
      <c r="DU183" s="59">
        <f t="shared" si="152"/>
        <v>297.47246687305056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14.547287803108652</v>
      </c>
      <c r="EB183" s="21">
        <f>EXP(-LN(2)/25)*EB182+(1-EXP(-LN(2)/25))/(LN(2)/25)*Calculateur!DW183*Calculateur!DY183*VLOOKUP('Données projet'!$B$14,Paramètres!$A$1:$I$89,3,0)*0.475*44/12</f>
        <v>0.18069144283699862</v>
      </c>
      <c r="EC183" s="21">
        <f>EXP(-LN(2)/2)*EC182+(1-EXP(-LN(2)/2))/(LN(2)/2)*DW183*DZ183*VLOOKUP('Données projet'!$B$14,Paramètres!$A$1:$I$89,3,0)*0.475*44/12</f>
        <v>3.7684574873772025E-14</v>
      </c>
      <c r="ED183" s="22">
        <f t="shared" si="178"/>
        <v>14.727979245945688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2.5715962692629546E-13</v>
      </c>
      <c r="P184" s="13">
        <f t="shared" si="141"/>
        <v>3.4610450122128953E-12</v>
      </c>
      <c r="Q184" s="20">
        <f t="shared" si="162"/>
        <v>6.4758730798340893E-12</v>
      </c>
      <c r="R184" s="59">
        <f t="shared" si="109"/>
        <v>293.33333333333979</v>
      </c>
      <c r="S184" s="59">
        <f ca="1">AVERAGE(OFFSET($R$3,0,0,'Données projet'!$E$9+1,1))-AVERAGE(OFFSET($H$3,0,0,'Données projet'!$E$9+1,1))</f>
        <v>344.4940855044307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1.43260251531525E-22</v>
      </c>
      <c r="AC184" s="22">
        <f t="shared" si="163"/>
        <v>1.43260251531525E-22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-1.1439169611549005E-13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246.71489737733248</v>
      </c>
      <c r="AO184" s="59">
        <f t="shared" si="144"/>
        <v>185.03615139960783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-2.7489477361086758E-14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211.98817606983374</v>
      </c>
      <c r="BJ184" s="59">
        <f t="shared" si="146"/>
        <v>154.0840647586964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-2.8421709430404007E-14</v>
      </c>
      <c r="BZ184" s="13">
        <f>BY184*VLOOKUP('Données projet'!$B$12,Paramètres!$A$1:$I$89,3,0)*VLOOKUP('Données projet'!$B$12,Paramètres!$A$1:$I$89,5,0)</f>
        <v>-3.0593128030886874E-14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231.89176215692947</v>
      </c>
      <c r="CE184" s="59">
        <f t="shared" si="148"/>
        <v>166.97658184507787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2.2737367544323206E-13</v>
      </c>
      <c r="CU184" s="17">
        <f>CT184*VLOOKUP('Données projet'!$B$13,Paramètres!$A$1:$I$89,3,0)*VLOOKUP('Données projet'!$B$13,Paramètres!$A$1:$I$89,5,0)</f>
        <v>1.7735146684572101E-13</v>
      </c>
      <c r="CV184" s="13">
        <f t="shared" si="173"/>
        <v>2.4924271921531257E-12</v>
      </c>
      <c r="CW184" s="20">
        <f t="shared" si="174"/>
        <v>4.6498644977563242E-12</v>
      </c>
      <c r="CX184" s="59">
        <f t="shared" si="122"/>
        <v>293.33333333333798</v>
      </c>
      <c r="CY184" s="59">
        <f ca="1">AVERAGE(OFFSET($CX$3,0,0,'Données projet'!$E$13+1,1))-AVERAGE(OFFSET($H$3,0,0,'Données projet'!$E$13+1,1))</f>
        <v>274.37717856763146</v>
      </c>
      <c r="CZ184" s="59">
        <f t="shared" si="150"/>
        <v>264.17357326498581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3.987759909329527E-22</v>
      </c>
      <c r="DI184" s="22">
        <f t="shared" si="175"/>
        <v>3.987759909329527E-22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-1.7053025658242404E-13</v>
      </c>
      <c r="DP184" s="17">
        <f>DO184*VLOOKUP('Données projet'!$B$14,Paramètres!$A$1:$I$89,3,0)*VLOOKUP('Données projet'!$B$14,Paramètres!$A$1:$I$89,5,0)</f>
        <v>-1.383341441396624E-13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304.26232113495314</v>
      </c>
      <c r="DU184" s="59">
        <f t="shared" si="152"/>
        <v>297.47246687305056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14.262024362259119</v>
      </c>
      <c r="EB184" s="21">
        <f>EXP(-LN(2)/25)*EB183+(1-EXP(-LN(2)/25))/(LN(2)/25)*Calculateur!DW184*Calculateur!DY184*VLOOKUP('Données projet'!$B$14,Paramètres!$A$1:$I$89,3,0)*0.475*44/12</f>
        <v>0.17575042583047087</v>
      </c>
      <c r="EC184" s="21">
        <f>EXP(-LN(2)/2)*EC183+(1-EXP(-LN(2)/2))/(LN(2)/2)*DW184*DZ184*VLOOKUP('Données projet'!$B$14,Paramètres!$A$1:$I$89,3,0)*0.475*44/12</f>
        <v>2.6647018439376383E-14</v>
      </c>
      <c r="ED184" s="22">
        <f t="shared" si="178"/>
        <v>14.437774788089616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2.5715962692629546E-13</v>
      </c>
      <c r="P185" s="13">
        <f t="shared" si="141"/>
        <v>3.4610450122128953E-12</v>
      </c>
      <c r="Q185" s="20">
        <f t="shared" si="162"/>
        <v>6.4758730798340893E-12</v>
      </c>
      <c r="R185" s="59">
        <f t="shared" si="109"/>
        <v>293.33333333333979</v>
      </c>
      <c r="S185" s="59">
        <f ca="1">AVERAGE(OFFSET($R$3,0,0,'Données projet'!$E$9+1,1))-AVERAGE(OFFSET($H$3,0,0,'Données projet'!$E$9+1,1))</f>
        <v>344.4940855044307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1.0130029533243181E-22</v>
      </c>
      <c r="AC185" s="22">
        <f t="shared" si="163"/>
        <v>1.0130029533243181E-22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-1.1439169611549005E-13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246.71489737733248</v>
      </c>
      <c r="AO185" s="59">
        <f t="shared" si="144"/>
        <v>185.03615139960783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-2.7489477361086758E-14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211.98817606983374</v>
      </c>
      <c r="BJ185" s="59">
        <f t="shared" si="146"/>
        <v>154.0840647586964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-2.8421709430404007E-14</v>
      </c>
      <c r="BZ185" s="13">
        <f>BY185*VLOOKUP('Données projet'!$B$12,Paramètres!$A$1:$I$89,3,0)*VLOOKUP('Données projet'!$B$12,Paramètres!$A$1:$I$89,5,0)</f>
        <v>-3.0593128030886874E-14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231.89176215692947</v>
      </c>
      <c r="CE185" s="59">
        <f t="shared" si="148"/>
        <v>166.97658184507787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2.2737367544323206E-13</v>
      </c>
      <c r="CU185" s="17">
        <f>CT185*VLOOKUP('Données projet'!$B$13,Paramètres!$A$1:$I$89,3,0)*VLOOKUP('Données projet'!$B$13,Paramètres!$A$1:$I$89,5,0)</f>
        <v>1.7735146684572101E-13</v>
      </c>
      <c r="CV185" s="13">
        <f t="shared" si="173"/>
        <v>2.4924271921531257E-12</v>
      </c>
      <c r="CW185" s="20">
        <f t="shared" si="174"/>
        <v>4.6498644977563242E-12</v>
      </c>
      <c r="CX185" s="59">
        <f t="shared" si="122"/>
        <v>293.33333333333798</v>
      </c>
      <c r="CY185" s="59">
        <f ca="1">AVERAGE(OFFSET($CX$3,0,0,'Données projet'!$E$13+1,1))-AVERAGE(OFFSET($H$3,0,0,'Données projet'!$E$13+1,1))</f>
        <v>274.37717856763146</v>
      </c>
      <c r="CZ185" s="59">
        <f t="shared" si="150"/>
        <v>264.17357326498581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2.8197720736307604E-22</v>
      </c>
      <c r="DI185" s="22">
        <f t="shared" si="175"/>
        <v>2.8197720736307604E-22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-1.7053025658242404E-13</v>
      </c>
      <c r="DP185" s="17">
        <f>DO185*VLOOKUP('Données projet'!$B$14,Paramètres!$A$1:$I$89,3,0)*VLOOKUP('Données projet'!$B$14,Paramètres!$A$1:$I$89,5,0)</f>
        <v>-1.383341441396624E-13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304.26232113495314</v>
      </c>
      <c r="DU185" s="59">
        <f t="shared" si="152"/>
        <v>297.47246687305056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13.982354763491125</v>
      </c>
      <c r="EB185" s="21">
        <f>EXP(-LN(2)/25)*EB184+(1-EXP(-LN(2)/25))/(LN(2)/25)*Calculateur!DW185*Calculateur!DY185*VLOOKUP('Données projet'!$B$14,Paramètres!$A$1:$I$89,3,0)*0.475*44/12</f>
        <v>0.17094452119382345</v>
      </c>
      <c r="EC185" s="21">
        <f>EXP(-LN(2)/2)*EC184+(1-EXP(-LN(2)/2))/(LN(2)/2)*DW185*DZ185*VLOOKUP('Données projet'!$B$14,Paramètres!$A$1:$I$89,3,0)*0.475*44/12</f>
        <v>1.8842287436886013E-14</v>
      </c>
      <c r="ED185" s="22">
        <f t="shared" si="178"/>
        <v>14.153299284684968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2.5715962692629546E-13</v>
      </c>
      <c r="P186" s="13">
        <f t="shared" si="141"/>
        <v>3.4610450122128953E-12</v>
      </c>
      <c r="Q186" s="20">
        <f t="shared" si="162"/>
        <v>6.4758730798340893E-12</v>
      </c>
      <c r="R186" s="59">
        <f t="shared" si="109"/>
        <v>293.33333333333979</v>
      </c>
      <c r="S186" s="59">
        <f ca="1">AVERAGE(OFFSET($R$3,0,0,'Données projet'!$E$9+1,1))-AVERAGE(OFFSET($H$3,0,0,'Données projet'!$E$9+1,1))</f>
        <v>344.4940855044307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7.1630125765762502E-23</v>
      </c>
      <c r="AC186" s="22">
        <f t="shared" si="163"/>
        <v>7.1630125765762502E-23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-1.1439169611549005E-13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246.71489737733248</v>
      </c>
      <c r="AO186" s="59">
        <f t="shared" si="144"/>
        <v>185.03615139960783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-2.7489477361086758E-14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211.98817606983374</v>
      </c>
      <c r="BJ186" s="59">
        <f t="shared" si="146"/>
        <v>154.0840647586964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-2.8421709430404007E-14</v>
      </c>
      <c r="BZ186" s="13">
        <f>BY186*VLOOKUP('Données projet'!$B$12,Paramètres!$A$1:$I$89,3,0)*VLOOKUP('Données projet'!$B$12,Paramètres!$A$1:$I$89,5,0)</f>
        <v>-3.0593128030886874E-14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231.89176215692947</v>
      </c>
      <c r="CE186" s="59">
        <f t="shared" si="148"/>
        <v>166.97658184507787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2.2737367544323206E-13</v>
      </c>
      <c r="CU186" s="17">
        <f>CT186*VLOOKUP('Données projet'!$B$13,Paramètres!$A$1:$I$89,3,0)*VLOOKUP('Données projet'!$B$13,Paramètres!$A$1:$I$89,5,0)</f>
        <v>1.7735146684572101E-13</v>
      </c>
      <c r="CV186" s="13">
        <f t="shared" si="173"/>
        <v>2.4924271921531257E-12</v>
      </c>
      <c r="CW186" s="20">
        <f t="shared" si="174"/>
        <v>4.6498644977563242E-12</v>
      </c>
      <c r="CX186" s="59">
        <f t="shared" si="122"/>
        <v>293.33333333333798</v>
      </c>
      <c r="CY186" s="59">
        <f ca="1">AVERAGE(OFFSET($CX$3,0,0,'Données projet'!$E$13+1,1))-AVERAGE(OFFSET($H$3,0,0,'Données projet'!$E$13+1,1))</f>
        <v>274.37717856763146</v>
      </c>
      <c r="CZ186" s="59">
        <f t="shared" si="150"/>
        <v>264.17357326498581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1.9938799546647635E-22</v>
      </c>
      <c r="DI186" s="22">
        <f t="shared" si="175"/>
        <v>1.9938799546647635E-22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-1.7053025658242404E-13</v>
      </c>
      <c r="DP186" s="17">
        <f>DO186*VLOOKUP('Données projet'!$B$14,Paramètres!$A$1:$I$89,3,0)*VLOOKUP('Données projet'!$B$14,Paramètres!$A$1:$I$89,5,0)</f>
        <v>-1.383341441396624E-13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304.26232113495314</v>
      </c>
      <c r="DU186" s="59">
        <f t="shared" si="152"/>
        <v>297.47246687305056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13.708169314973361</v>
      </c>
      <c r="EB186" s="21">
        <f>EXP(-LN(2)/25)*EB185+(1-EXP(-LN(2)/25))/(LN(2)/25)*Calculateur!DW186*Calculateur!DY186*VLOOKUP('Données projet'!$B$14,Paramètres!$A$1:$I$89,3,0)*0.475*44/12</f>
        <v>0.16627003427219667</v>
      </c>
      <c r="EC186" s="21">
        <f>EXP(-LN(2)/2)*EC185+(1-EXP(-LN(2)/2))/(LN(2)/2)*DW186*DZ186*VLOOKUP('Données projet'!$B$14,Paramètres!$A$1:$I$89,3,0)*0.475*44/12</f>
        <v>1.3323509219688191E-14</v>
      </c>
      <c r="ED186" s="22">
        <f t="shared" si="178"/>
        <v>13.874439349245572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2.5715962692629546E-13</v>
      </c>
      <c r="P187" s="13">
        <f t="shared" si="141"/>
        <v>3.4610450122128953E-12</v>
      </c>
      <c r="Q187" s="20">
        <f t="shared" si="162"/>
        <v>6.4758730798340893E-12</v>
      </c>
      <c r="R187" s="59">
        <f t="shared" si="109"/>
        <v>293.33333333333979</v>
      </c>
      <c r="S187" s="59">
        <f ca="1">AVERAGE(OFFSET($R$3,0,0,'Données projet'!$E$9+1,1))-AVERAGE(OFFSET($H$3,0,0,'Données projet'!$E$9+1,1))</f>
        <v>344.4940855044307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5.0650147666215906E-23</v>
      </c>
      <c r="AC187" s="22">
        <f t="shared" si="163"/>
        <v>5.0650147666215906E-23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-1.1439169611549005E-13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246.71489737733248</v>
      </c>
      <c r="AO187" s="59">
        <f t="shared" si="144"/>
        <v>185.03615139960783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-2.7489477361086758E-14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211.98817606983374</v>
      </c>
      <c r="BJ187" s="59">
        <f t="shared" si="146"/>
        <v>154.0840647586964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-2.8421709430404007E-14</v>
      </c>
      <c r="BZ187" s="13">
        <f>BY187*VLOOKUP('Données projet'!$B$12,Paramètres!$A$1:$I$89,3,0)*VLOOKUP('Données projet'!$B$12,Paramètres!$A$1:$I$89,5,0)</f>
        <v>-3.0593128030886874E-14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231.89176215692947</v>
      </c>
      <c r="CE187" s="59">
        <f t="shared" si="148"/>
        <v>166.97658184507787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2.2737367544323206E-13</v>
      </c>
      <c r="CU187" s="17">
        <f>CT187*VLOOKUP('Données projet'!$B$13,Paramètres!$A$1:$I$89,3,0)*VLOOKUP('Données projet'!$B$13,Paramètres!$A$1:$I$89,5,0)</f>
        <v>1.7735146684572101E-13</v>
      </c>
      <c r="CV187" s="13">
        <f t="shared" si="173"/>
        <v>2.4924271921531257E-12</v>
      </c>
      <c r="CW187" s="20">
        <f t="shared" si="174"/>
        <v>4.6498644977563242E-12</v>
      </c>
      <c r="CX187" s="59">
        <f t="shared" si="122"/>
        <v>293.33333333333798</v>
      </c>
      <c r="CY187" s="59">
        <f ca="1">AVERAGE(OFFSET($CX$3,0,0,'Données projet'!$E$13+1,1))-AVERAGE(OFFSET($H$3,0,0,'Données projet'!$E$13+1,1))</f>
        <v>274.37717856763146</v>
      </c>
      <c r="CZ187" s="59">
        <f t="shared" si="150"/>
        <v>264.17357326498581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1.4098860368153802E-22</v>
      </c>
      <c r="DI187" s="22">
        <f t="shared" si="175"/>
        <v>1.4098860368153802E-22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-1.7053025658242404E-13</v>
      </c>
      <c r="DP187" s="17">
        <f>DO187*VLOOKUP('Données projet'!$B$14,Paramètres!$A$1:$I$89,3,0)*VLOOKUP('Données projet'!$B$14,Paramètres!$A$1:$I$89,5,0)</f>
        <v>-1.383341441396624E-13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304.26232113495314</v>
      </c>
      <c r="DU187" s="59">
        <f t="shared" si="152"/>
        <v>297.47246687305056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13.439360475864421</v>
      </c>
      <c r="EB187" s="21">
        <f>EXP(-LN(2)/25)*EB186+(1-EXP(-LN(2)/25))/(LN(2)/25)*Calculateur!DW187*Calculateur!DY187*VLOOKUP('Données projet'!$B$14,Paramètres!$A$1:$I$89,3,0)*0.475*44/12</f>
        <v>0.16172337144126236</v>
      </c>
      <c r="EC187" s="21">
        <f>EXP(-LN(2)/2)*EC186+(1-EXP(-LN(2)/2))/(LN(2)/2)*DW187*DZ187*VLOOKUP('Données projet'!$B$14,Paramètres!$A$1:$I$89,3,0)*0.475*44/12</f>
        <v>9.4211437184430063E-15</v>
      </c>
      <c r="ED187" s="22">
        <f t="shared" si="178"/>
        <v>13.601083847305691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2.5715962692629546E-13</v>
      </c>
      <c r="P188" s="13">
        <f t="shared" si="141"/>
        <v>3.4610450122128953E-12</v>
      </c>
      <c r="Q188" s="20">
        <f t="shared" si="162"/>
        <v>6.4758730798340893E-12</v>
      </c>
      <c r="R188" s="59">
        <f t="shared" si="109"/>
        <v>293.33333333333979</v>
      </c>
      <c r="S188" s="59">
        <f ca="1">AVERAGE(OFFSET($R$3,0,0,'Données projet'!$E$9+1,1))-AVERAGE(OFFSET($H$3,0,0,'Données projet'!$E$9+1,1))</f>
        <v>344.4940855044307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3.5815062882881251E-23</v>
      </c>
      <c r="AC188" s="22">
        <f t="shared" si="163"/>
        <v>3.5815062882881251E-23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-1.1439169611549005E-13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246.71489737733248</v>
      </c>
      <c r="AO188" s="59">
        <f t="shared" si="144"/>
        <v>185.03615139960783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-2.7489477361086758E-14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211.98817606983374</v>
      </c>
      <c r="BJ188" s="59">
        <f t="shared" si="146"/>
        <v>154.0840647586964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-2.8421709430404007E-14</v>
      </c>
      <c r="BZ188" s="13">
        <f>BY188*VLOOKUP('Données projet'!$B$12,Paramètres!$A$1:$I$89,3,0)*VLOOKUP('Données projet'!$B$12,Paramètres!$A$1:$I$89,5,0)</f>
        <v>-3.0593128030886874E-14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231.89176215692947</v>
      </c>
      <c r="CE188" s="59">
        <f t="shared" si="148"/>
        <v>166.97658184507787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2.2737367544323206E-13</v>
      </c>
      <c r="CU188" s="17">
        <f>CT188*VLOOKUP('Données projet'!$B$13,Paramètres!$A$1:$I$89,3,0)*VLOOKUP('Données projet'!$B$13,Paramètres!$A$1:$I$89,5,0)</f>
        <v>1.7735146684572101E-13</v>
      </c>
      <c r="CV188" s="13">
        <f t="shared" si="173"/>
        <v>2.4924271921531257E-12</v>
      </c>
      <c r="CW188" s="20">
        <f t="shared" si="174"/>
        <v>4.6498644977563242E-12</v>
      </c>
      <c r="CX188" s="59">
        <f t="shared" si="122"/>
        <v>293.33333333333798</v>
      </c>
      <c r="CY188" s="59">
        <f ca="1">AVERAGE(OFFSET($CX$3,0,0,'Données projet'!$E$13+1,1))-AVERAGE(OFFSET($H$3,0,0,'Données projet'!$E$13+1,1))</f>
        <v>274.37717856763146</v>
      </c>
      <c r="CZ188" s="59">
        <f t="shared" si="150"/>
        <v>264.17357326498581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9.9693997733238175E-23</v>
      </c>
      <c r="DI188" s="22">
        <f t="shared" si="175"/>
        <v>9.9693997733238175E-23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-1.7053025658242404E-13</v>
      </c>
      <c r="DP188" s="17">
        <f>DO188*VLOOKUP('Données projet'!$B$14,Paramètres!$A$1:$I$89,3,0)*VLOOKUP('Données projet'!$B$14,Paramètres!$A$1:$I$89,5,0)</f>
        <v>-1.383341441396624E-13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304.26232113495314</v>
      </c>
      <c r="DU188" s="59">
        <f t="shared" si="152"/>
        <v>297.47246687305056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13.175822814133204</v>
      </c>
      <c r="EB188" s="21">
        <f>EXP(-LN(2)/25)*EB187+(1-EXP(-LN(2)/25))/(LN(2)/25)*Calculateur!DW188*Calculateur!DY188*VLOOKUP('Données projet'!$B$14,Paramètres!$A$1:$I$89,3,0)*0.475*44/12</f>
        <v>0.15730103734453857</v>
      </c>
      <c r="EC188" s="21">
        <f>EXP(-LN(2)/2)*EC187+(1-EXP(-LN(2)/2))/(LN(2)/2)*DW188*DZ188*VLOOKUP('Données projet'!$B$14,Paramètres!$A$1:$I$89,3,0)*0.475*44/12</f>
        <v>6.6617546098440956E-15</v>
      </c>
      <c r="ED188" s="22">
        <f t="shared" si="178"/>
        <v>13.333123851477749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2.5715962692629546E-13</v>
      </c>
      <c r="P189" s="13">
        <f t="shared" si="141"/>
        <v>3.4610450122128953E-12</v>
      </c>
      <c r="Q189" s="20">
        <f t="shared" si="162"/>
        <v>6.4758730798340893E-12</v>
      </c>
      <c r="R189" s="59">
        <f t="shared" si="109"/>
        <v>293.33333333333979</v>
      </c>
      <c r="S189" s="59">
        <f ca="1">AVERAGE(OFFSET($R$3,0,0,'Données projet'!$E$9+1,1))-AVERAGE(OFFSET($H$3,0,0,'Données projet'!$E$9+1,1))</f>
        <v>344.4940855044307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2.5325073833107953E-23</v>
      </c>
      <c r="AC189" s="22">
        <f t="shared" si="163"/>
        <v>2.5325073833107953E-23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-1.1439169611549005E-13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246.71489737733248</v>
      </c>
      <c r="AO189" s="59">
        <f t="shared" si="144"/>
        <v>185.03615139960783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-2.7489477361086758E-14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211.98817606983374</v>
      </c>
      <c r="BJ189" s="59">
        <f t="shared" si="146"/>
        <v>154.0840647586964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-2.8421709430404007E-14</v>
      </c>
      <c r="BZ189" s="13">
        <f>BY189*VLOOKUP('Données projet'!$B$12,Paramètres!$A$1:$I$89,3,0)*VLOOKUP('Données projet'!$B$12,Paramètres!$A$1:$I$89,5,0)</f>
        <v>-3.0593128030886874E-14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231.89176215692947</v>
      </c>
      <c r="CE189" s="59">
        <f t="shared" si="148"/>
        <v>166.97658184507787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2.2737367544323206E-13</v>
      </c>
      <c r="CU189" s="17">
        <f>CT189*VLOOKUP('Données projet'!$B$13,Paramètres!$A$1:$I$89,3,0)*VLOOKUP('Données projet'!$B$13,Paramètres!$A$1:$I$89,5,0)</f>
        <v>1.7735146684572101E-13</v>
      </c>
      <c r="CV189" s="13">
        <f t="shared" si="173"/>
        <v>2.4924271921531257E-12</v>
      </c>
      <c r="CW189" s="20">
        <f t="shared" si="174"/>
        <v>4.6498644977563242E-12</v>
      </c>
      <c r="CX189" s="59">
        <f t="shared" si="122"/>
        <v>293.33333333333798</v>
      </c>
      <c r="CY189" s="59">
        <f ca="1">AVERAGE(OFFSET($CX$3,0,0,'Données projet'!$E$13+1,1))-AVERAGE(OFFSET($H$3,0,0,'Données projet'!$E$13+1,1))</f>
        <v>274.37717856763146</v>
      </c>
      <c r="CZ189" s="59">
        <f t="shared" si="150"/>
        <v>264.17357326498581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7.049430184076901E-23</v>
      </c>
      <c r="DI189" s="22">
        <f t="shared" si="175"/>
        <v>7.049430184076901E-23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-1.7053025658242404E-13</v>
      </c>
      <c r="DP189" s="17">
        <f>DO189*VLOOKUP('Données projet'!$B$14,Paramètres!$A$1:$I$89,3,0)*VLOOKUP('Données projet'!$B$14,Paramètres!$A$1:$I$89,5,0)</f>
        <v>-1.383341441396624E-13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304.26232113495314</v>
      </c>
      <c r="DU189" s="59">
        <f t="shared" si="152"/>
        <v>297.47246687305056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12.917452965206433</v>
      </c>
      <c r="EB189" s="21">
        <f>EXP(-LN(2)/25)*EB188+(1-EXP(-LN(2)/25))/(LN(2)/25)*Calculateur!DW189*Calculateur!DY189*VLOOKUP('Données projet'!$B$14,Paramètres!$A$1:$I$89,3,0)*0.475*44/12</f>
        <v>0.15299963220625012</v>
      </c>
      <c r="EC189" s="21">
        <f>EXP(-LN(2)/2)*EC188+(1-EXP(-LN(2)/2))/(LN(2)/2)*DW189*DZ189*VLOOKUP('Données projet'!$B$14,Paramètres!$A$1:$I$89,3,0)*0.475*44/12</f>
        <v>4.7105718592215032E-15</v>
      </c>
      <c r="ED189" s="22">
        <f t="shared" si="178"/>
        <v>13.070452597412688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2.5715962692629546E-13</v>
      </c>
      <c r="P190" s="13">
        <f t="shared" si="141"/>
        <v>3.4610450122128953E-12</v>
      </c>
      <c r="Q190" s="20">
        <f t="shared" si="162"/>
        <v>6.4758730798340893E-12</v>
      </c>
      <c r="R190" s="59">
        <f t="shared" si="109"/>
        <v>293.33333333333979</v>
      </c>
      <c r="S190" s="59">
        <f ca="1">AVERAGE(OFFSET($R$3,0,0,'Données projet'!$E$9+1,1))-AVERAGE(OFFSET($H$3,0,0,'Données projet'!$E$9+1,1))</f>
        <v>344.4940855044307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1.7907531441440626E-23</v>
      </c>
      <c r="AC190" s="22">
        <f t="shared" si="163"/>
        <v>1.7907531441440626E-23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-1.1439169611549005E-13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246.71489737733248</v>
      </c>
      <c r="AO190" s="59">
        <f t="shared" si="144"/>
        <v>185.03615139960783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-2.7489477361086758E-14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211.98817606983374</v>
      </c>
      <c r="BJ190" s="59">
        <f t="shared" si="146"/>
        <v>154.0840647586964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-2.8421709430404007E-14</v>
      </c>
      <c r="BZ190" s="13">
        <f>BY190*VLOOKUP('Données projet'!$B$12,Paramètres!$A$1:$I$89,3,0)*VLOOKUP('Données projet'!$B$12,Paramètres!$A$1:$I$89,5,0)</f>
        <v>-3.0593128030886874E-14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231.89176215692947</v>
      </c>
      <c r="CE190" s="59">
        <f t="shared" si="148"/>
        <v>166.97658184507787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2.2737367544323206E-13</v>
      </c>
      <c r="CU190" s="17">
        <f>CT190*VLOOKUP('Données projet'!$B$13,Paramètres!$A$1:$I$89,3,0)*VLOOKUP('Données projet'!$B$13,Paramètres!$A$1:$I$89,5,0)</f>
        <v>1.7735146684572101E-13</v>
      </c>
      <c r="CV190" s="13">
        <f t="shared" si="173"/>
        <v>2.4924271921531257E-12</v>
      </c>
      <c r="CW190" s="20">
        <f t="shared" si="174"/>
        <v>4.6498644977563242E-12</v>
      </c>
      <c r="CX190" s="59">
        <f t="shared" si="122"/>
        <v>293.33333333333798</v>
      </c>
      <c r="CY190" s="59">
        <f ca="1">AVERAGE(OFFSET($CX$3,0,0,'Données projet'!$E$13+1,1))-AVERAGE(OFFSET($H$3,0,0,'Données projet'!$E$13+1,1))</f>
        <v>274.37717856763146</v>
      </c>
      <c r="CZ190" s="59">
        <f t="shared" si="150"/>
        <v>264.17357326498581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4.9846998866619087E-23</v>
      </c>
      <c r="DI190" s="22">
        <f t="shared" si="175"/>
        <v>4.9846998866619087E-23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-1.7053025658242404E-13</v>
      </c>
      <c r="DP190" s="17">
        <f>DO190*VLOOKUP('Données projet'!$B$14,Paramètres!$A$1:$I$89,3,0)*VLOOKUP('Données projet'!$B$14,Paramètres!$A$1:$I$89,5,0)</f>
        <v>-1.383341441396624E-13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304.26232113495314</v>
      </c>
      <c r="DU190" s="59">
        <f t="shared" si="152"/>
        <v>297.47246687305056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12.664149591427069</v>
      </c>
      <c r="EB190" s="21">
        <f>EXP(-LN(2)/25)*EB189+(1-EXP(-LN(2)/25))/(LN(2)/25)*Calculateur!DW190*Calculateur!DY190*VLOOKUP('Données projet'!$B$14,Paramètres!$A$1:$I$89,3,0)*0.475*44/12</f>
        <v>0.14881584921766924</v>
      </c>
      <c r="EC190" s="21">
        <f>EXP(-LN(2)/2)*EC189+(1-EXP(-LN(2)/2))/(LN(2)/2)*DW190*DZ190*VLOOKUP('Données projet'!$B$14,Paramètres!$A$1:$I$89,3,0)*0.475*44/12</f>
        <v>3.3308773049220478E-15</v>
      </c>
      <c r="ED190" s="22">
        <f t="shared" si="178"/>
        <v>12.812965440644742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2.5715962692629546E-13</v>
      </c>
      <c r="P191" s="13">
        <f t="shared" si="141"/>
        <v>3.4610450122128953E-12</v>
      </c>
      <c r="Q191" s="20">
        <f t="shared" si="162"/>
        <v>6.4758730798340893E-12</v>
      </c>
      <c r="R191" s="59">
        <f t="shared" si="109"/>
        <v>293.33333333333979</v>
      </c>
      <c r="S191" s="59">
        <f ca="1">AVERAGE(OFFSET($R$3,0,0,'Données projet'!$E$9+1,1))-AVERAGE(OFFSET($H$3,0,0,'Données projet'!$E$9+1,1))</f>
        <v>344.4940855044307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1.2662536916553977E-23</v>
      </c>
      <c r="AC191" s="22">
        <f t="shared" si="163"/>
        <v>1.2662536916553977E-23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-1.1439169611549005E-13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246.71489737733248</v>
      </c>
      <c r="AO191" s="59">
        <f t="shared" si="144"/>
        <v>185.03615139960783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-2.7489477361086758E-14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211.98817606983374</v>
      </c>
      <c r="BJ191" s="59">
        <f t="shared" si="146"/>
        <v>154.0840647586964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-2.8421709430404007E-14</v>
      </c>
      <c r="BZ191" s="13">
        <f>BY191*VLOOKUP('Données projet'!$B$12,Paramètres!$A$1:$I$89,3,0)*VLOOKUP('Données projet'!$B$12,Paramètres!$A$1:$I$89,5,0)</f>
        <v>-3.0593128030886874E-14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231.89176215692947</v>
      </c>
      <c r="CE191" s="59">
        <f t="shared" si="148"/>
        <v>166.97658184507787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2.2737367544323206E-13</v>
      </c>
      <c r="CU191" s="17">
        <f>CT191*VLOOKUP('Données projet'!$B$13,Paramètres!$A$1:$I$89,3,0)*VLOOKUP('Données projet'!$B$13,Paramètres!$A$1:$I$89,5,0)</f>
        <v>1.7735146684572101E-13</v>
      </c>
      <c r="CV191" s="13">
        <f t="shared" si="173"/>
        <v>2.4924271921531257E-12</v>
      </c>
      <c r="CW191" s="20">
        <f t="shared" si="174"/>
        <v>4.6498644977563242E-12</v>
      </c>
      <c r="CX191" s="59">
        <f t="shared" si="122"/>
        <v>293.33333333333798</v>
      </c>
      <c r="CY191" s="59">
        <f ca="1">AVERAGE(OFFSET($CX$3,0,0,'Données projet'!$E$13+1,1))-AVERAGE(OFFSET($H$3,0,0,'Données projet'!$E$13+1,1))</f>
        <v>274.37717856763146</v>
      </c>
      <c r="CZ191" s="59">
        <f t="shared" si="150"/>
        <v>264.17357326498581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3.5247150920384505E-23</v>
      </c>
      <c r="DI191" s="22">
        <f t="shared" si="175"/>
        <v>3.5247150920384505E-23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-1.7053025658242404E-13</v>
      </c>
      <c r="DP191" s="17">
        <f>DO191*VLOOKUP('Données projet'!$B$14,Paramètres!$A$1:$I$89,3,0)*VLOOKUP('Données projet'!$B$14,Paramètres!$A$1:$I$89,5,0)</f>
        <v>-1.383341441396624E-13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304.26232113495314</v>
      </c>
      <c r="DU191" s="59">
        <f t="shared" si="152"/>
        <v>297.47246687305056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12.415813342307716</v>
      </c>
      <c r="EB191" s="21">
        <f>EXP(-LN(2)/25)*EB190+(1-EXP(-LN(2)/25))/(LN(2)/25)*Calculateur!DW191*Calculateur!DY191*VLOOKUP('Données projet'!$B$14,Paramètres!$A$1:$I$89,3,0)*0.475*44/12</f>
        <v>0.14474647199492668</v>
      </c>
      <c r="EC191" s="21">
        <f>EXP(-LN(2)/2)*EC190+(1-EXP(-LN(2)/2))/(LN(2)/2)*DW191*DZ191*VLOOKUP('Données projet'!$B$14,Paramètres!$A$1:$I$89,3,0)*0.475*44/12</f>
        <v>2.3552859296107516E-15</v>
      </c>
      <c r="ED191" s="22">
        <f t="shared" si="178"/>
        <v>12.560559814302644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2.5715962692629546E-13</v>
      </c>
      <c r="P192" s="13">
        <f t="shared" si="141"/>
        <v>3.4610450122128953E-12</v>
      </c>
      <c r="Q192" s="20">
        <f t="shared" si="162"/>
        <v>6.4758730798340893E-12</v>
      </c>
      <c r="R192" s="59">
        <f t="shared" si="109"/>
        <v>293.33333333333979</v>
      </c>
      <c r="S192" s="59">
        <f ca="1">AVERAGE(OFFSET($R$3,0,0,'Données projet'!$E$9+1,1))-AVERAGE(OFFSET($H$3,0,0,'Données projet'!$E$9+1,1))</f>
        <v>344.4940855044307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8.9537657207203128E-24</v>
      </c>
      <c r="AC192" s="22">
        <f t="shared" si="163"/>
        <v>8.9537657207203128E-24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-1.1439169611549005E-13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246.71489737733248</v>
      </c>
      <c r="AO192" s="59">
        <f t="shared" si="144"/>
        <v>185.03615139960783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-2.7489477361086758E-14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211.98817606983374</v>
      </c>
      <c r="BJ192" s="59">
        <f t="shared" si="146"/>
        <v>154.0840647586964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-2.8421709430404007E-14</v>
      </c>
      <c r="BZ192" s="13">
        <f>BY192*VLOOKUP('Données projet'!$B$12,Paramètres!$A$1:$I$89,3,0)*VLOOKUP('Données projet'!$B$12,Paramètres!$A$1:$I$89,5,0)</f>
        <v>-3.0593128030886874E-14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231.89176215692947</v>
      </c>
      <c r="CE192" s="59">
        <f t="shared" si="148"/>
        <v>166.97658184507787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2.2737367544323206E-13</v>
      </c>
      <c r="CU192" s="17">
        <f>CT192*VLOOKUP('Données projet'!$B$13,Paramètres!$A$1:$I$89,3,0)*VLOOKUP('Données projet'!$B$13,Paramètres!$A$1:$I$89,5,0)</f>
        <v>1.7735146684572101E-13</v>
      </c>
      <c r="CV192" s="13">
        <f t="shared" si="173"/>
        <v>2.4924271921531257E-12</v>
      </c>
      <c r="CW192" s="20">
        <f t="shared" si="174"/>
        <v>4.6498644977563242E-12</v>
      </c>
      <c r="CX192" s="59">
        <f t="shared" si="122"/>
        <v>293.33333333333798</v>
      </c>
      <c r="CY192" s="59">
        <f ca="1">AVERAGE(OFFSET($CX$3,0,0,'Données projet'!$E$13+1,1))-AVERAGE(OFFSET($H$3,0,0,'Données projet'!$E$13+1,1))</f>
        <v>274.37717856763146</v>
      </c>
      <c r="CZ192" s="59">
        <f t="shared" si="150"/>
        <v>264.17357326498581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2.4923499433309544E-23</v>
      </c>
      <c r="DI192" s="22">
        <f t="shared" si="175"/>
        <v>2.4923499433309544E-23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-1.7053025658242404E-13</v>
      </c>
      <c r="DP192" s="17">
        <f>DO192*VLOOKUP('Données projet'!$B$14,Paramètres!$A$1:$I$89,3,0)*VLOOKUP('Données projet'!$B$14,Paramètres!$A$1:$I$89,5,0)</f>
        <v>-1.383341441396624E-13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304.26232113495314</v>
      </c>
      <c r="DU192" s="59">
        <f t="shared" si="152"/>
        <v>297.47246687305056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12.17234681556344</v>
      </c>
      <c r="EB192" s="21">
        <f>EXP(-LN(2)/25)*EB191+(1-EXP(-LN(2)/25))/(LN(2)/25)*Calculateur!DW192*Calculateur!DY192*VLOOKUP('Données projet'!$B$14,Paramètres!$A$1:$I$89,3,0)*0.475*44/12</f>
        <v>0.14078837210633927</v>
      </c>
      <c r="EC192" s="21">
        <f>EXP(-LN(2)/2)*EC191+(1-EXP(-LN(2)/2))/(LN(2)/2)*DW192*DZ192*VLOOKUP('Données projet'!$B$14,Paramètres!$A$1:$I$89,3,0)*0.475*44/12</f>
        <v>1.6654386524610239E-15</v>
      </c>
      <c r="ED192" s="22">
        <f t="shared" si="178"/>
        <v>12.313135187669781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2.5715962692629546E-13</v>
      </c>
      <c r="P193" s="13">
        <f t="shared" si="141"/>
        <v>3.4610450122128953E-12</v>
      </c>
      <c r="Q193" s="20">
        <f t="shared" si="162"/>
        <v>6.4758730798340893E-12</v>
      </c>
      <c r="R193" s="59">
        <f t="shared" si="109"/>
        <v>293.33333333333979</v>
      </c>
      <c r="S193" s="59">
        <f ca="1">AVERAGE(OFFSET($R$3,0,0,'Données projet'!$E$9+1,1))-AVERAGE(OFFSET($H$3,0,0,'Données projet'!$E$9+1,1))</f>
        <v>344.4940855044307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6.3312684582769883E-24</v>
      </c>
      <c r="AC193" s="22">
        <f t="shared" si="163"/>
        <v>6.3312684582769883E-24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-1.1439169611549005E-13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246.71489737733248</v>
      </c>
      <c r="AO193" s="59">
        <f t="shared" si="144"/>
        <v>185.03615139960783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-2.7489477361086758E-14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211.98817606983374</v>
      </c>
      <c r="BJ193" s="59">
        <f t="shared" si="146"/>
        <v>154.0840647586964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-2.8421709430404007E-14</v>
      </c>
      <c r="BZ193" s="13">
        <f>BY193*VLOOKUP('Données projet'!$B$12,Paramètres!$A$1:$I$89,3,0)*VLOOKUP('Données projet'!$B$12,Paramètres!$A$1:$I$89,5,0)</f>
        <v>-3.0593128030886874E-14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231.89176215692947</v>
      </c>
      <c r="CE193" s="59">
        <f t="shared" si="148"/>
        <v>166.97658184507787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2.2737367544323206E-13</v>
      </c>
      <c r="CU193" s="17">
        <f>CT193*VLOOKUP('Données projet'!$B$13,Paramètres!$A$1:$I$89,3,0)*VLOOKUP('Données projet'!$B$13,Paramètres!$A$1:$I$89,5,0)</f>
        <v>1.7735146684572101E-13</v>
      </c>
      <c r="CV193" s="13">
        <f t="shared" si="173"/>
        <v>2.4924271921531257E-12</v>
      </c>
      <c r="CW193" s="20">
        <f t="shared" si="174"/>
        <v>4.6498644977563242E-12</v>
      </c>
      <c r="CX193" s="59">
        <f t="shared" si="122"/>
        <v>293.33333333333798</v>
      </c>
      <c r="CY193" s="59">
        <f ca="1">AVERAGE(OFFSET($CX$3,0,0,'Données projet'!$E$13+1,1))-AVERAGE(OFFSET($H$3,0,0,'Données projet'!$E$13+1,1))</f>
        <v>274.37717856763146</v>
      </c>
      <c r="CZ193" s="59">
        <f t="shared" si="150"/>
        <v>264.17357326498581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1.7623575460192252E-23</v>
      </c>
      <c r="DI193" s="22">
        <f t="shared" si="175"/>
        <v>1.7623575460192252E-23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-1.7053025658242404E-13</v>
      </c>
      <c r="DP193" s="17">
        <f>DO193*VLOOKUP('Données projet'!$B$14,Paramètres!$A$1:$I$89,3,0)*VLOOKUP('Données projet'!$B$14,Paramètres!$A$1:$I$89,5,0)</f>
        <v>-1.383341441396624E-13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304.26232113495314</v>
      </c>
      <c r="DU193" s="59">
        <f t="shared" si="152"/>
        <v>297.47246687305056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11.9336545189087</v>
      </c>
      <c r="EB193" s="21">
        <f>EXP(-LN(2)/25)*EB192+(1-EXP(-LN(2)/25))/(LN(2)/25)*Calculateur!DW193*Calculateur!DY193*VLOOKUP('Données projet'!$B$14,Paramètres!$A$1:$I$89,3,0)*0.475*44/12</f>
        <v>0.13693850666735272</v>
      </c>
      <c r="EC193" s="21">
        <f>EXP(-LN(2)/2)*EC192+(1-EXP(-LN(2)/2))/(LN(2)/2)*DW193*DZ193*VLOOKUP('Données projet'!$B$14,Paramètres!$A$1:$I$89,3,0)*0.475*44/12</f>
        <v>1.1776429648053758E-15</v>
      </c>
      <c r="ED193" s="22">
        <f t="shared" si="178"/>
        <v>12.070593025576054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2.5715962692629546E-13</v>
      </c>
      <c r="P194" s="13">
        <f t="shared" si="141"/>
        <v>3.4610450122128953E-12</v>
      </c>
      <c r="Q194" s="20">
        <f t="shared" si="162"/>
        <v>6.4758730798340893E-12</v>
      </c>
      <c r="R194" s="59">
        <f t="shared" si="109"/>
        <v>293.33333333333979</v>
      </c>
      <c r="S194" s="59">
        <f ca="1">AVERAGE(OFFSET($R$3,0,0,'Données projet'!$E$9+1,1))-AVERAGE(OFFSET($H$3,0,0,'Données projet'!$E$9+1,1))</f>
        <v>344.4940855044307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4.4768828603601564E-24</v>
      </c>
      <c r="AC194" s="22">
        <f t="shared" si="163"/>
        <v>4.4768828603601564E-24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-1.1439169611549005E-13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246.71489737733248</v>
      </c>
      <c r="AO194" s="59">
        <f t="shared" si="144"/>
        <v>185.03615139960783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-2.7489477361086758E-14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211.98817606983374</v>
      </c>
      <c r="BJ194" s="59">
        <f t="shared" si="146"/>
        <v>154.0840647586964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-2.8421709430404007E-14</v>
      </c>
      <c r="BZ194" s="13">
        <f>BY194*VLOOKUP('Données projet'!$B$12,Paramètres!$A$1:$I$89,3,0)*VLOOKUP('Données projet'!$B$12,Paramètres!$A$1:$I$89,5,0)</f>
        <v>-3.0593128030886874E-14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231.89176215692947</v>
      </c>
      <c r="CE194" s="59">
        <f t="shared" si="148"/>
        <v>166.97658184507787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2.2737367544323206E-13</v>
      </c>
      <c r="CU194" s="17">
        <f>CT194*VLOOKUP('Données projet'!$B$13,Paramètres!$A$1:$I$89,3,0)*VLOOKUP('Données projet'!$B$13,Paramètres!$A$1:$I$89,5,0)</f>
        <v>1.7735146684572101E-13</v>
      </c>
      <c r="CV194" s="13">
        <f t="shared" si="173"/>
        <v>2.4924271921531257E-12</v>
      </c>
      <c r="CW194" s="20">
        <f t="shared" si="174"/>
        <v>4.6498644977563242E-12</v>
      </c>
      <c r="CX194" s="59">
        <f t="shared" si="122"/>
        <v>293.33333333333798</v>
      </c>
      <c r="CY194" s="59">
        <f ca="1">AVERAGE(OFFSET($CX$3,0,0,'Données projet'!$E$13+1,1))-AVERAGE(OFFSET($H$3,0,0,'Données projet'!$E$13+1,1))</f>
        <v>274.37717856763146</v>
      </c>
      <c r="CZ194" s="59">
        <f t="shared" si="150"/>
        <v>264.17357326498581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1.2461749716654772E-23</v>
      </c>
      <c r="DI194" s="22">
        <f t="shared" si="175"/>
        <v>1.2461749716654772E-23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-1.7053025658242404E-13</v>
      </c>
      <c r="DP194" s="17">
        <f>DO194*VLOOKUP('Données projet'!$B$14,Paramètres!$A$1:$I$89,3,0)*VLOOKUP('Données projet'!$B$14,Paramètres!$A$1:$I$89,5,0)</f>
        <v>-1.383341441396624E-13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304.26232113495314</v>
      </c>
      <c r="DU194" s="59">
        <f t="shared" si="152"/>
        <v>297.47246687305056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11.699642832603434</v>
      </c>
      <c r="EB194" s="21">
        <f>EXP(-LN(2)/25)*EB193+(1-EXP(-LN(2)/25))/(LN(2)/25)*Calculateur!DW194*Calculateur!DY194*VLOOKUP('Données projet'!$B$14,Paramètres!$A$1:$I$89,3,0)*0.475*44/12</f>
        <v>0.13319391600125086</v>
      </c>
      <c r="EC194" s="21">
        <f>EXP(-LN(2)/2)*EC193+(1-EXP(-LN(2)/2))/(LN(2)/2)*DW194*DZ194*VLOOKUP('Données projet'!$B$14,Paramètres!$A$1:$I$89,3,0)*0.475*44/12</f>
        <v>8.3271932623051195E-16</v>
      </c>
      <c r="ED194" s="22">
        <f t="shared" si="178"/>
        <v>11.832836748604684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2.5715962692629546E-13</v>
      </c>
      <c r="P195" s="13">
        <f t="shared" si="141"/>
        <v>3.4610450122128953E-12</v>
      </c>
      <c r="Q195" s="20">
        <f t="shared" si="162"/>
        <v>6.4758730798340893E-12</v>
      </c>
      <c r="R195" s="59">
        <f t="shared" ref="R195:R203" si="191">Q195+(I195+J195)*44/12</f>
        <v>293.33333333333979</v>
      </c>
      <c r="S195" s="59">
        <f ca="1">AVERAGE(OFFSET($R$3,0,0,'Données projet'!$E$9+1,1))-AVERAGE(OFFSET($H$3,0,0,'Données projet'!$E$9+1,1))</f>
        <v>344.4940855044307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3.1656342291384941E-24</v>
      </c>
      <c r="AC195" s="22">
        <f t="shared" si="163"/>
        <v>3.1656342291384941E-24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-1.1439169611549005E-13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246.71489737733248</v>
      </c>
      <c r="AO195" s="59">
        <f t="shared" si="144"/>
        <v>185.03615139960783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-2.7489477361086758E-14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211.98817606983374</v>
      </c>
      <c r="BJ195" s="59">
        <f t="shared" si="146"/>
        <v>154.0840647586964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-2.8421709430404007E-14</v>
      </c>
      <c r="BZ195" s="13">
        <f>BY195*VLOOKUP('Données projet'!$B$12,Paramètres!$A$1:$I$89,3,0)*VLOOKUP('Données projet'!$B$12,Paramètres!$A$1:$I$89,5,0)</f>
        <v>-3.0593128030886874E-14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231.89176215692947</v>
      </c>
      <c r="CE195" s="59">
        <f t="shared" si="148"/>
        <v>166.97658184507787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2.2737367544323206E-13</v>
      </c>
      <c r="CU195" s="17">
        <f>CT195*VLOOKUP('Données projet'!$B$13,Paramètres!$A$1:$I$89,3,0)*VLOOKUP('Données projet'!$B$13,Paramètres!$A$1:$I$89,5,0)</f>
        <v>1.7735146684572101E-13</v>
      </c>
      <c r="CV195" s="13">
        <f t="shared" si="173"/>
        <v>2.4924271921531257E-12</v>
      </c>
      <c r="CW195" s="20">
        <f t="shared" si="174"/>
        <v>4.6498644977563242E-12</v>
      </c>
      <c r="CX195" s="59">
        <f t="shared" si="122"/>
        <v>293.33333333333798</v>
      </c>
      <c r="CY195" s="59">
        <f ca="1">AVERAGE(OFFSET($CX$3,0,0,'Données projet'!$E$13+1,1))-AVERAGE(OFFSET($H$3,0,0,'Données projet'!$E$13+1,1))</f>
        <v>274.37717856763146</v>
      </c>
      <c r="CZ195" s="59">
        <f t="shared" si="150"/>
        <v>264.17357326498581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8.8117877300961262E-24</v>
      </c>
      <c r="DI195" s="22">
        <f t="shared" si="175"/>
        <v>8.8117877300961262E-24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-1.7053025658242404E-13</v>
      </c>
      <c r="DP195" s="17">
        <f>DO195*VLOOKUP('Données projet'!$B$14,Paramètres!$A$1:$I$89,3,0)*VLOOKUP('Données projet'!$B$14,Paramètres!$A$1:$I$89,5,0)</f>
        <v>-1.383341441396624E-13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304.26232113495314</v>
      </c>
      <c r="DU195" s="59">
        <f t="shared" si="152"/>
        <v>297.47246687305056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11.470219972733579</v>
      </c>
      <c r="EB195" s="21">
        <f>EXP(-LN(2)/25)*EB194+(1-EXP(-LN(2)/25))/(LN(2)/25)*Calculateur!DW195*Calculateur!DY195*VLOOKUP('Données projet'!$B$14,Paramètres!$A$1:$I$89,3,0)*0.475*44/12</f>
        <v>0.12955172136383303</v>
      </c>
      <c r="EC195" s="21">
        <f>EXP(-LN(2)/2)*EC194+(1-EXP(-LN(2)/2))/(LN(2)/2)*DW195*DZ195*VLOOKUP('Données projet'!$B$14,Paramètres!$A$1:$I$89,3,0)*0.475*44/12</f>
        <v>5.8882148240268789E-16</v>
      </c>
      <c r="ED195" s="22">
        <f t="shared" si="178"/>
        <v>11.599771694097413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2.5715962692629546E-13</v>
      </c>
      <c r="P196" s="13">
        <f t="shared" si="141"/>
        <v>3.4610450122128953E-12</v>
      </c>
      <c r="Q196" s="20">
        <f t="shared" si="162"/>
        <v>6.4758730798340893E-12</v>
      </c>
      <c r="R196" s="59">
        <f t="shared" si="191"/>
        <v>293.33333333333979</v>
      </c>
      <c r="S196" s="59">
        <f ca="1">AVERAGE(OFFSET($R$3,0,0,'Données projet'!$E$9+1,1))-AVERAGE(OFFSET($H$3,0,0,'Données projet'!$E$9+1,1))</f>
        <v>344.4940855044307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2.2384414301800782E-24</v>
      </c>
      <c r="AC196" s="22">
        <f t="shared" si="163"/>
        <v>2.2384414301800782E-24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-1.1439169611549005E-13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246.71489737733248</v>
      </c>
      <c r="AO196" s="59">
        <f t="shared" si="144"/>
        <v>185.03615139960783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-2.7489477361086758E-14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211.98817606983374</v>
      </c>
      <c r="BJ196" s="59">
        <f t="shared" si="146"/>
        <v>154.0840647586964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-2.8421709430404007E-14</v>
      </c>
      <c r="BZ196" s="13">
        <f>BY196*VLOOKUP('Données projet'!$B$12,Paramètres!$A$1:$I$89,3,0)*VLOOKUP('Données projet'!$B$12,Paramètres!$A$1:$I$89,5,0)</f>
        <v>-3.0593128030886874E-14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231.89176215692947</v>
      </c>
      <c r="CE196" s="59">
        <f t="shared" si="148"/>
        <v>166.97658184507787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2.2737367544323206E-13</v>
      </c>
      <c r="CU196" s="17">
        <f>CT196*VLOOKUP('Données projet'!$B$13,Paramètres!$A$1:$I$89,3,0)*VLOOKUP('Données projet'!$B$13,Paramètres!$A$1:$I$89,5,0)</f>
        <v>1.7735146684572101E-13</v>
      </c>
      <c r="CV196" s="13">
        <f t="shared" si="173"/>
        <v>2.4924271921531257E-12</v>
      </c>
      <c r="CW196" s="20">
        <f t="shared" si="174"/>
        <v>4.6498644977563242E-12</v>
      </c>
      <c r="CX196" s="59">
        <f t="shared" ref="CX196:CX203" si="196">CW196+(CO196+CP196)*44/12</f>
        <v>293.33333333333798</v>
      </c>
      <c r="CY196" s="59">
        <f ca="1">AVERAGE(OFFSET($CX$3,0,0,'Données projet'!$E$13+1,1))-AVERAGE(OFFSET($H$3,0,0,'Données projet'!$E$13+1,1))</f>
        <v>274.37717856763146</v>
      </c>
      <c r="CZ196" s="59">
        <f t="shared" si="150"/>
        <v>264.17357326498581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6.2308748583273859E-24</v>
      </c>
      <c r="DI196" s="22">
        <f t="shared" si="175"/>
        <v>6.2308748583273859E-24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-1.7053025658242404E-13</v>
      </c>
      <c r="DP196" s="17">
        <f>DO196*VLOOKUP('Données projet'!$B$14,Paramètres!$A$1:$I$89,3,0)*VLOOKUP('Données projet'!$B$14,Paramètres!$A$1:$I$89,5,0)</f>
        <v>-1.383341441396624E-13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304.26232113495314</v>
      </c>
      <c r="DU196" s="59">
        <f t="shared" si="152"/>
        <v>297.47246687305056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11.245295955211645</v>
      </c>
      <c r="EB196" s="21">
        <f>EXP(-LN(2)/25)*EB195+(1-EXP(-LN(2)/25))/(LN(2)/25)*Calculateur!DW196*Calculateur!DY196*VLOOKUP('Données projet'!$B$14,Paramètres!$A$1:$I$89,3,0)*0.475*44/12</f>
        <v>0.12600912273031009</v>
      </c>
      <c r="EC196" s="21">
        <f>EXP(-LN(2)/2)*EC195+(1-EXP(-LN(2)/2))/(LN(2)/2)*DW196*DZ196*VLOOKUP('Données projet'!$B$14,Paramètres!$A$1:$I$89,3,0)*0.475*44/12</f>
        <v>4.1635966311525598E-16</v>
      </c>
      <c r="ED196" s="22">
        <f t="shared" si="178"/>
        <v>11.371305077941955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2.5715962692629546E-13</v>
      </c>
      <c r="P197" s="13">
        <f t="shared" ref="P197:P203" si="203">EXP(-1.0587+0.8836*LN(O197)+0.284)</f>
        <v>3.4610450122128953E-12</v>
      </c>
      <c r="Q197" s="20">
        <f t="shared" si="162"/>
        <v>6.4758730798340893E-12</v>
      </c>
      <c r="R197" s="59">
        <f t="shared" si="191"/>
        <v>293.33333333333979</v>
      </c>
      <c r="S197" s="59">
        <f ca="1">AVERAGE(OFFSET($R$3,0,0,'Données projet'!$E$9+1,1))-AVERAGE(OFFSET($H$3,0,0,'Données projet'!$E$9+1,1))</f>
        <v>344.4940855044307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1.5828171145692471E-24</v>
      </c>
      <c r="AC197" s="22">
        <f t="shared" si="163"/>
        <v>1.5828171145692471E-24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-1.1439169611549005E-13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246.71489737733248</v>
      </c>
      <c r="AO197" s="59">
        <f t="shared" ref="AO197:AO203" si="205">$AO$3</f>
        <v>185.03615139960783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-2.7489477361086758E-14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211.98817606983374</v>
      </c>
      <c r="BJ197" s="59">
        <f t="shared" ref="BJ197:BJ203" si="206">$BJ$3</f>
        <v>154.0840647586964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-2.8421709430404007E-14</v>
      </c>
      <c r="BZ197" s="13">
        <f>BY197*VLOOKUP('Données projet'!$B$12,Paramètres!$A$1:$I$89,3,0)*VLOOKUP('Données projet'!$B$12,Paramètres!$A$1:$I$89,5,0)</f>
        <v>-3.0593128030886874E-14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231.89176215692947</v>
      </c>
      <c r="CE197" s="59">
        <f t="shared" ref="CE197:CE203" si="207">$CE$3</f>
        <v>166.97658184507787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2.2737367544323206E-13</v>
      </c>
      <c r="CU197" s="17">
        <f>CT197*VLOOKUP('Données projet'!$B$13,Paramètres!$A$1:$I$89,3,0)*VLOOKUP('Données projet'!$B$13,Paramètres!$A$1:$I$89,5,0)</f>
        <v>1.7735146684572101E-13</v>
      </c>
      <c r="CV197" s="13">
        <f t="shared" si="173"/>
        <v>2.4924271921531257E-12</v>
      </c>
      <c r="CW197" s="20">
        <f t="shared" si="174"/>
        <v>4.6498644977563242E-12</v>
      </c>
      <c r="CX197" s="59">
        <f t="shared" si="196"/>
        <v>293.33333333333798</v>
      </c>
      <c r="CY197" s="59">
        <f ca="1">AVERAGE(OFFSET($CX$3,0,0,'Données projet'!$E$13+1,1))-AVERAGE(OFFSET($H$3,0,0,'Données projet'!$E$13+1,1))</f>
        <v>274.37717856763146</v>
      </c>
      <c r="CZ197" s="59">
        <f t="shared" ref="CZ197:CZ203" si="208">$CZ$3</f>
        <v>264.17357326498581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4.4058938650480631E-24</v>
      </c>
      <c r="DI197" s="22">
        <f t="shared" si="175"/>
        <v>4.4058938650480631E-24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-1.7053025658242404E-13</v>
      </c>
      <c r="DP197" s="17">
        <f>DO197*VLOOKUP('Données projet'!$B$14,Paramètres!$A$1:$I$89,3,0)*VLOOKUP('Données projet'!$B$14,Paramètres!$A$1:$I$89,5,0)</f>
        <v>-1.383341441396624E-13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304.26232113495314</v>
      </c>
      <c r="DU197" s="59">
        <f t="shared" ref="DU197:DU203" si="209">$DU$3</f>
        <v>297.47246687305056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11.024782560483212</v>
      </c>
      <c r="EB197" s="21">
        <f>EXP(-LN(2)/25)*EB196+(1-EXP(-LN(2)/25))/(LN(2)/25)*Calculateur!DW197*Calculateur!DY197*VLOOKUP('Données projet'!$B$14,Paramètres!$A$1:$I$89,3,0)*0.475*44/12</f>
        <v>0.12256339664271799</v>
      </c>
      <c r="EC197" s="21">
        <f>EXP(-LN(2)/2)*EC196+(1-EXP(-LN(2)/2))/(LN(2)/2)*DW197*DZ197*VLOOKUP('Données projet'!$B$14,Paramètres!$A$1:$I$89,3,0)*0.475*44/12</f>
        <v>2.9441074120134395E-16</v>
      </c>
      <c r="ED197" s="22">
        <f t="shared" si="178"/>
        <v>11.14734595712593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2.5715962692629546E-13</v>
      </c>
      <c r="P198" s="13">
        <f t="shared" si="203"/>
        <v>3.4610450122128953E-12</v>
      </c>
      <c r="Q198" s="20">
        <f t="shared" si="162"/>
        <v>6.4758730798340893E-12</v>
      </c>
      <c r="R198" s="59">
        <f t="shared" si="191"/>
        <v>293.33333333333979</v>
      </c>
      <c r="S198" s="59">
        <f ca="1">AVERAGE(OFFSET($R$3,0,0,'Données projet'!$E$9+1,1))-AVERAGE(OFFSET($H$3,0,0,'Données projet'!$E$9+1,1))</f>
        <v>344.4940855044307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1.1192207150900391E-24</v>
      </c>
      <c r="AC198" s="22">
        <f t="shared" si="163"/>
        <v>1.1192207150900391E-24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-1.1439169611549005E-13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246.71489737733248</v>
      </c>
      <c r="AO198" s="59">
        <f t="shared" si="205"/>
        <v>185.03615139960783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-2.7489477361086758E-14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211.98817606983374</v>
      </c>
      <c r="BJ198" s="59">
        <f t="shared" si="206"/>
        <v>154.0840647586964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-2.8421709430404007E-14</v>
      </c>
      <c r="BZ198" s="13">
        <f>BY198*VLOOKUP('Données projet'!$B$12,Paramètres!$A$1:$I$89,3,0)*VLOOKUP('Données projet'!$B$12,Paramètres!$A$1:$I$89,5,0)</f>
        <v>-3.0593128030886874E-14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231.89176215692947</v>
      </c>
      <c r="CE198" s="59">
        <f t="shared" si="207"/>
        <v>166.97658184507787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2.2737367544323206E-13</v>
      </c>
      <c r="CU198" s="17">
        <f>CT198*VLOOKUP('Données projet'!$B$13,Paramètres!$A$1:$I$89,3,0)*VLOOKUP('Données projet'!$B$13,Paramètres!$A$1:$I$89,5,0)</f>
        <v>1.7735146684572101E-13</v>
      </c>
      <c r="CV198" s="13">
        <f t="shared" si="173"/>
        <v>2.4924271921531257E-12</v>
      </c>
      <c r="CW198" s="20">
        <f t="shared" si="174"/>
        <v>4.6498644977563242E-12</v>
      </c>
      <c r="CX198" s="59">
        <f t="shared" si="196"/>
        <v>293.33333333333798</v>
      </c>
      <c r="CY198" s="59">
        <f ca="1">AVERAGE(OFFSET($CX$3,0,0,'Données projet'!$E$13+1,1))-AVERAGE(OFFSET($H$3,0,0,'Données projet'!$E$13+1,1))</f>
        <v>274.37717856763146</v>
      </c>
      <c r="CZ198" s="59">
        <f t="shared" si="208"/>
        <v>264.17357326498581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3.115437429163693E-24</v>
      </c>
      <c r="DI198" s="22">
        <f t="shared" si="175"/>
        <v>3.115437429163693E-24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-1.7053025658242404E-13</v>
      </c>
      <c r="DP198" s="17">
        <f>DO198*VLOOKUP('Données projet'!$B$14,Paramètres!$A$1:$I$89,3,0)*VLOOKUP('Données projet'!$B$14,Paramètres!$A$1:$I$89,5,0)</f>
        <v>-1.383341441396624E-13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304.26232113495314</v>
      </c>
      <c r="DU198" s="59">
        <f t="shared" si="209"/>
        <v>297.47246687305056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10.808593298925514</v>
      </c>
      <c r="EB198" s="21">
        <f>EXP(-LN(2)/25)*EB197+(1-EXP(-LN(2)/25))/(LN(2)/25)*Calculateur!DW198*Calculateur!DY198*VLOOKUP('Données projet'!$B$14,Paramètres!$A$1:$I$89,3,0)*0.475*44/12</f>
        <v>0.11921189411619397</v>
      </c>
      <c r="EC198" s="21">
        <f>EXP(-LN(2)/2)*EC197+(1-EXP(-LN(2)/2))/(LN(2)/2)*DW198*DZ198*VLOOKUP('Données projet'!$B$14,Paramètres!$A$1:$I$89,3,0)*0.475*44/12</f>
        <v>2.0817983155762799E-16</v>
      </c>
      <c r="ED198" s="22">
        <f t="shared" si="178"/>
        <v>10.927805193041708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2.5715962692629546E-13</v>
      </c>
      <c r="P199" s="13">
        <f t="shared" si="203"/>
        <v>3.4610450122128953E-12</v>
      </c>
      <c r="Q199" s="20">
        <f t="shared" si="162"/>
        <v>6.4758730798340893E-12</v>
      </c>
      <c r="R199" s="59">
        <f t="shared" si="191"/>
        <v>293.33333333333979</v>
      </c>
      <c r="S199" s="59">
        <f ca="1">AVERAGE(OFFSET($R$3,0,0,'Données projet'!$E$9+1,1))-AVERAGE(OFFSET($H$3,0,0,'Données projet'!$E$9+1,1))</f>
        <v>344.4940855044307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7.9140855728462353E-25</v>
      </c>
      <c r="AC199" s="22">
        <f t="shared" si="163"/>
        <v>7.9140855728462353E-25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-1.1439169611549005E-13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246.71489737733248</v>
      </c>
      <c r="AO199" s="59">
        <f t="shared" si="205"/>
        <v>185.03615139960783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-2.7489477361086758E-14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211.98817606983374</v>
      </c>
      <c r="BJ199" s="59">
        <f t="shared" si="206"/>
        <v>154.0840647586964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-2.8421709430404007E-14</v>
      </c>
      <c r="BZ199" s="13">
        <f>BY199*VLOOKUP('Données projet'!$B$12,Paramètres!$A$1:$I$89,3,0)*VLOOKUP('Données projet'!$B$12,Paramètres!$A$1:$I$89,5,0)</f>
        <v>-3.0593128030886874E-14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231.89176215692947</v>
      </c>
      <c r="CE199" s="59">
        <f t="shared" si="207"/>
        <v>166.97658184507787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2.2737367544323206E-13</v>
      </c>
      <c r="CU199" s="17">
        <f>CT199*VLOOKUP('Données projet'!$B$13,Paramètres!$A$1:$I$89,3,0)*VLOOKUP('Données projet'!$B$13,Paramètres!$A$1:$I$89,5,0)</f>
        <v>1.7735146684572101E-13</v>
      </c>
      <c r="CV199" s="13">
        <f t="shared" si="173"/>
        <v>2.4924271921531257E-12</v>
      </c>
      <c r="CW199" s="20">
        <f t="shared" si="174"/>
        <v>4.6498644977563242E-12</v>
      </c>
      <c r="CX199" s="59">
        <f t="shared" si="196"/>
        <v>293.33333333333798</v>
      </c>
      <c r="CY199" s="59">
        <f ca="1">AVERAGE(OFFSET($CX$3,0,0,'Données projet'!$E$13+1,1))-AVERAGE(OFFSET($H$3,0,0,'Données projet'!$E$13+1,1))</f>
        <v>274.37717856763146</v>
      </c>
      <c r="CZ199" s="59">
        <f t="shared" si="208"/>
        <v>264.17357326498581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2.2029469325240316E-24</v>
      </c>
      <c r="DI199" s="22">
        <f t="shared" si="175"/>
        <v>2.2029469325240316E-24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-1.7053025658242404E-13</v>
      </c>
      <c r="DP199" s="17">
        <f>DO199*VLOOKUP('Données projet'!$B$14,Paramètres!$A$1:$I$89,3,0)*VLOOKUP('Données projet'!$B$14,Paramètres!$A$1:$I$89,5,0)</f>
        <v>-1.383341441396624E-13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304.26232113495314</v>
      </c>
      <c r="DU199" s="59">
        <f t="shared" si="209"/>
        <v>297.47246687305056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10.596643376924533</v>
      </c>
      <c r="EB199" s="21">
        <f>EXP(-LN(2)/25)*EB198+(1-EXP(-LN(2)/25))/(LN(2)/25)*Calculateur!DW199*Calculateur!DY199*VLOOKUP('Données projet'!$B$14,Paramètres!$A$1:$I$89,3,0)*0.475*44/12</f>
        <v>0.11595203860250559</v>
      </c>
      <c r="EC199" s="21">
        <f>EXP(-LN(2)/2)*EC198+(1-EXP(-LN(2)/2))/(LN(2)/2)*DW199*DZ199*VLOOKUP('Données projet'!$B$14,Paramètres!$A$1:$I$89,3,0)*0.475*44/12</f>
        <v>1.4720537060067197E-16</v>
      </c>
      <c r="ED199" s="22">
        <f t="shared" si="178"/>
        <v>10.712595415527039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2.5715962692629546E-13</v>
      </c>
      <c r="P200" s="13">
        <f t="shared" si="203"/>
        <v>3.4610450122128953E-12</v>
      </c>
      <c r="Q200" s="20">
        <f t="shared" si="162"/>
        <v>6.4758730798340893E-12</v>
      </c>
      <c r="R200" s="59">
        <f t="shared" si="191"/>
        <v>293.33333333333979</v>
      </c>
      <c r="S200" s="59">
        <f ca="1">AVERAGE(OFFSET($R$3,0,0,'Données projet'!$E$9+1,1))-AVERAGE(OFFSET($H$3,0,0,'Données projet'!$E$9+1,1))</f>
        <v>344.4940855044307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5.5961035754501955E-25</v>
      </c>
      <c r="AC200" s="22">
        <f t="shared" si="163"/>
        <v>5.5961035754501955E-25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-1.1439169611549005E-13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246.71489737733248</v>
      </c>
      <c r="AO200" s="59">
        <f t="shared" si="205"/>
        <v>185.03615139960783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-2.7489477361086758E-14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211.98817606983374</v>
      </c>
      <c r="BJ200" s="59">
        <f t="shared" si="206"/>
        <v>154.0840647586964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-2.8421709430404007E-14</v>
      </c>
      <c r="BZ200" s="13">
        <f>BY200*VLOOKUP('Données projet'!$B$12,Paramètres!$A$1:$I$89,3,0)*VLOOKUP('Données projet'!$B$12,Paramètres!$A$1:$I$89,5,0)</f>
        <v>-3.0593128030886874E-14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231.89176215692947</v>
      </c>
      <c r="CE200" s="59">
        <f t="shared" si="207"/>
        <v>166.97658184507787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2.2737367544323206E-13</v>
      </c>
      <c r="CU200" s="17">
        <f>CT200*VLOOKUP('Données projet'!$B$13,Paramètres!$A$1:$I$89,3,0)*VLOOKUP('Données projet'!$B$13,Paramètres!$A$1:$I$89,5,0)</f>
        <v>1.7735146684572101E-13</v>
      </c>
      <c r="CV200" s="13">
        <f t="shared" si="173"/>
        <v>2.4924271921531257E-12</v>
      </c>
      <c r="CW200" s="20">
        <f t="shared" si="174"/>
        <v>4.6498644977563242E-12</v>
      </c>
      <c r="CX200" s="59">
        <f t="shared" si="196"/>
        <v>293.33333333333798</v>
      </c>
      <c r="CY200" s="59">
        <f ca="1">AVERAGE(OFFSET($CX$3,0,0,'Données projet'!$E$13+1,1))-AVERAGE(OFFSET($H$3,0,0,'Données projet'!$E$13+1,1))</f>
        <v>274.37717856763146</v>
      </c>
      <c r="CZ200" s="59">
        <f t="shared" si="208"/>
        <v>264.17357326498581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1.5577187145818465E-24</v>
      </c>
      <c r="DI200" s="22">
        <f t="shared" si="175"/>
        <v>1.5577187145818465E-24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-1.7053025658242404E-13</v>
      </c>
      <c r="DP200" s="17">
        <f>DO200*VLOOKUP('Données projet'!$B$14,Paramètres!$A$1:$I$89,3,0)*VLOOKUP('Données projet'!$B$14,Paramètres!$A$1:$I$89,5,0)</f>
        <v>-1.383341441396624E-13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304.26232113495314</v>
      </c>
      <c r="DU200" s="59">
        <f t="shared" si="209"/>
        <v>297.47246687305056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10.388849663617304</v>
      </c>
      <c r="EB200" s="21">
        <f>EXP(-LN(2)/25)*EB199+(1-EXP(-LN(2)/25))/(LN(2)/25)*Calculateur!DW200*Calculateur!DY200*VLOOKUP('Données projet'!$B$14,Paramètres!$A$1:$I$89,3,0)*0.475*44/12</f>
        <v>0.11278132400926738</v>
      </c>
      <c r="EC200" s="21">
        <f>EXP(-LN(2)/2)*EC199+(1-EXP(-LN(2)/2))/(LN(2)/2)*DW200*DZ200*VLOOKUP('Données projet'!$B$14,Paramètres!$A$1:$I$89,3,0)*0.475*44/12</f>
        <v>1.0408991577881399E-16</v>
      </c>
      <c r="ED200" s="22">
        <f t="shared" si="178"/>
        <v>10.501630987626571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2.5715962692629546E-13</v>
      </c>
      <c r="P201" s="13">
        <f t="shared" si="203"/>
        <v>3.4610450122128953E-12</v>
      </c>
      <c r="Q201" s="20">
        <f t="shared" si="162"/>
        <v>6.4758730798340893E-12</v>
      </c>
      <c r="R201" s="59">
        <f t="shared" si="191"/>
        <v>293.33333333333979</v>
      </c>
      <c r="S201" s="59">
        <f ca="1">AVERAGE(OFFSET($R$3,0,0,'Données projet'!$E$9+1,1))-AVERAGE(OFFSET($H$3,0,0,'Données projet'!$E$9+1,1))</f>
        <v>344.4940855044307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3.9570427864231177E-25</v>
      </c>
      <c r="AC201" s="22">
        <f t="shared" si="163"/>
        <v>3.9570427864231177E-25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-1.1439169611549005E-13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246.71489737733248</v>
      </c>
      <c r="AO201" s="59">
        <f t="shared" si="205"/>
        <v>185.03615139960783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-2.7489477361086758E-14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211.98817606983374</v>
      </c>
      <c r="BJ201" s="59">
        <f t="shared" si="206"/>
        <v>154.0840647586964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-2.8421709430404007E-14</v>
      </c>
      <c r="BZ201" s="13">
        <f>BY201*VLOOKUP('Données projet'!$B$12,Paramètres!$A$1:$I$89,3,0)*VLOOKUP('Données projet'!$B$12,Paramètres!$A$1:$I$89,5,0)</f>
        <v>-3.0593128030886874E-14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231.89176215692947</v>
      </c>
      <c r="CE201" s="59">
        <f t="shared" si="207"/>
        <v>166.97658184507787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2.2737367544323206E-13</v>
      </c>
      <c r="CU201" s="17">
        <f>CT201*VLOOKUP('Données projet'!$B$13,Paramètres!$A$1:$I$89,3,0)*VLOOKUP('Données projet'!$B$13,Paramètres!$A$1:$I$89,5,0)</f>
        <v>1.7735146684572101E-13</v>
      </c>
      <c r="CV201" s="13">
        <f t="shared" si="173"/>
        <v>2.4924271921531257E-12</v>
      </c>
      <c r="CW201" s="20">
        <f t="shared" si="174"/>
        <v>4.6498644977563242E-12</v>
      </c>
      <c r="CX201" s="59">
        <f t="shared" si="196"/>
        <v>293.33333333333798</v>
      </c>
      <c r="CY201" s="59">
        <f ca="1">AVERAGE(OFFSET($CX$3,0,0,'Données projet'!$E$13+1,1))-AVERAGE(OFFSET($H$3,0,0,'Données projet'!$E$13+1,1))</f>
        <v>274.37717856763146</v>
      </c>
      <c r="CZ201" s="59">
        <f t="shared" si="208"/>
        <v>264.17357326498581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1.1014734662620158E-24</v>
      </c>
      <c r="DI201" s="22">
        <f t="shared" si="175"/>
        <v>1.1014734662620158E-24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-1.7053025658242404E-13</v>
      </c>
      <c r="DP201" s="17">
        <f>DO201*VLOOKUP('Données projet'!$B$14,Paramètres!$A$1:$I$89,3,0)*VLOOKUP('Données projet'!$B$14,Paramètres!$A$1:$I$89,5,0)</f>
        <v>-1.383341441396624E-13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304.26232113495314</v>
      </c>
      <c r="DU201" s="59">
        <f t="shared" si="209"/>
        <v>297.47246687305056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10.185130658286379</v>
      </c>
      <c r="EB201" s="21">
        <f>EXP(-LN(2)/25)*EB200+(1-EXP(-LN(2)/25))/(LN(2)/25)*Calculateur!DW201*Calculateur!DY201*VLOOKUP('Données projet'!$B$14,Paramètres!$A$1:$I$89,3,0)*0.475*44/12</f>
        <v>0.1096973127733219</v>
      </c>
      <c r="EC201" s="21">
        <f>EXP(-LN(2)/2)*EC200+(1-EXP(-LN(2)/2))/(LN(2)/2)*DW201*DZ201*VLOOKUP('Données projet'!$B$14,Paramètres!$A$1:$I$89,3,0)*0.475*44/12</f>
        <v>7.3602685300335987E-17</v>
      </c>
      <c r="ED201" s="22">
        <f t="shared" si="178"/>
        <v>10.294827971059702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2.5715962692629546E-13</v>
      </c>
      <c r="P202" s="13">
        <f t="shared" si="203"/>
        <v>3.4610450122128953E-12</v>
      </c>
      <c r="Q202" s="20">
        <f t="shared" si="162"/>
        <v>6.4758730798340893E-12</v>
      </c>
      <c r="R202" s="59">
        <f t="shared" si="191"/>
        <v>293.33333333333979</v>
      </c>
      <c r="S202" s="59">
        <f ca="1">AVERAGE(OFFSET($R$3,0,0,'Données projet'!$E$9+1,1))-AVERAGE(OFFSET($H$3,0,0,'Données projet'!$E$9+1,1))</f>
        <v>344.4940855044307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2.7980517877250977E-25</v>
      </c>
      <c r="AC202" s="22">
        <f t="shared" si="163"/>
        <v>2.7980517877250977E-25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-1.1439169611549005E-13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246.71489737733248</v>
      </c>
      <c r="AO202" s="59">
        <f t="shared" si="205"/>
        <v>185.03615139960783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-2.7489477361086758E-14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211.98817606983374</v>
      </c>
      <c r="BJ202" s="59">
        <f t="shared" si="206"/>
        <v>154.0840647586964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-2.8421709430404007E-14</v>
      </c>
      <c r="BZ202" s="13">
        <f>BY202*VLOOKUP('Données projet'!$B$12,Paramètres!$A$1:$I$89,3,0)*VLOOKUP('Données projet'!$B$12,Paramètres!$A$1:$I$89,5,0)</f>
        <v>-3.0593128030886874E-14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231.89176215692947</v>
      </c>
      <c r="CE202" s="59">
        <f t="shared" si="207"/>
        <v>166.97658184507787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2.2737367544323206E-13</v>
      </c>
      <c r="CU202" s="17">
        <f>CT202*VLOOKUP('Données projet'!$B$13,Paramètres!$A$1:$I$89,3,0)*VLOOKUP('Données projet'!$B$13,Paramètres!$A$1:$I$89,5,0)</f>
        <v>1.7735146684572101E-13</v>
      </c>
      <c r="CV202" s="13">
        <f t="shared" si="173"/>
        <v>2.4924271921531257E-12</v>
      </c>
      <c r="CW202" s="20">
        <f t="shared" si="174"/>
        <v>4.6498644977563242E-12</v>
      </c>
      <c r="CX202" s="59">
        <f t="shared" si="196"/>
        <v>293.33333333333798</v>
      </c>
      <c r="CY202" s="59">
        <f ca="1">AVERAGE(OFFSET($CX$3,0,0,'Données projet'!$E$13+1,1))-AVERAGE(OFFSET($H$3,0,0,'Données projet'!$E$13+1,1))</f>
        <v>274.37717856763146</v>
      </c>
      <c r="CZ202" s="59">
        <f t="shared" si="208"/>
        <v>264.17357326498581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7.7885935729092324E-25</v>
      </c>
      <c r="DI202" s="22">
        <f t="shared" si="175"/>
        <v>7.7885935729092324E-25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-1.7053025658242404E-13</v>
      </c>
      <c r="DP202" s="17">
        <f>DO202*VLOOKUP('Données projet'!$B$14,Paramètres!$A$1:$I$89,3,0)*VLOOKUP('Données projet'!$B$14,Paramètres!$A$1:$I$89,5,0)</f>
        <v>-1.383341441396624E-13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304.26232113495314</v>
      </c>
      <c r="DU202" s="59">
        <f t="shared" si="209"/>
        <v>297.47246687305056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9.985406458393669</v>
      </c>
      <c r="EB202" s="21">
        <f>EXP(-LN(2)/25)*EB201+(1-EXP(-LN(2)/25))/(LN(2)/25)*Calculateur!DW202*Calculateur!DY202*VLOOKUP('Données projet'!$B$14,Paramètres!$A$1:$I$89,3,0)*0.475*44/12</f>
        <v>0.10669763398680444</v>
      </c>
      <c r="EC202" s="21">
        <f>EXP(-LN(2)/2)*EC201+(1-EXP(-LN(2)/2))/(LN(2)/2)*DW202*DZ202*VLOOKUP('Données projet'!$B$14,Paramètres!$A$1:$I$89,3,0)*0.475*44/12</f>
        <v>5.2044957889406997E-17</v>
      </c>
      <c r="ED202" s="22">
        <f t="shared" si="178"/>
        <v>10.092104092380474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2.5715962692629546E-13</v>
      </c>
      <c r="P203" s="13">
        <f t="shared" si="203"/>
        <v>3.4610450122128953E-12</v>
      </c>
      <c r="Q203" s="20">
        <f t="shared" si="162"/>
        <v>6.4758730798340893E-12</v>
      </c>
      <c r="R203" s="59">
        <f t="shared" si="191"/>
        <v>293.33333333333979</v>
      </c>
      <c r="S203" s="59">
        <f ca="1">AVERAGE(OFFSET($R$3,0,0,'Données projet'!$E$9+1,1))-AVERAGE(OFFSET($H$3,0,0,'Données projet'!$E$9+1,1))</f>
        <v>344.4940855044307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1.9785213932115588E-25</v>
      </c>
      <c r="AC203" s="22">
        <f t="shared" si="163"/>
        <v>1.9785213932115588E-25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-1.1439169611549005E-13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246.71489737733248</v>
      </c>
      <c r="AO203" s="59">
        <f t="shared" si="205"/>
        <v>185.03615139960783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-2.7489477361086758E-14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211.98817606983374</v>
      </c>
      <c r="BJ203" s="59">
        <f t="shared" si="206"/>
        <v>154.0840647586964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-2.8421709430404007E-14</v>
      </c>
      <c r="BZ203" s="13">
        <f>BY203*VLOOKUP('Données projet'!$B$12,Paramètres!$A$1:$I$89,3,0)*VLOOKUP('Données projet'!$B$12,Paramètres!$A$1:$I$89,5,0)</f>
        <v>-3.0593128030886874E-14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231.89176215692947</v>
      </c>
      <c r="CE203" s="59">
        <f t="shared" si="207"/>
        <v>166.97658184507787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2.2737367544323206E-13</v>
      </c>
      <c r="CU203" s="17">
        <f>CT203*VLOOKUP('Données projet'!$B$13,Paramètres!$A$1:$I$89,3,0)*VLOOKUP('Données projet'!$B$13,Paramètres!$A$1:$I$89,5,0)</f>
        <v>1.7735146684572101E-13</v>
      </c>
      <c r="CV203" s="13">
        <f t="shared" si="173"/>
        <v>2.4924271921531257E-12</v>
      </c>
      <c r="CW203" s="20">
        <f t="shared" si="174"/>
        <v>4.6498644977563242E-12</v>
      </c>
      <c r="CX203" s="59">
        <f t="shared" si="196"/>
        <v>293.33333333333798</v>
      </c>
      <c r="CY203" s="59">
        <f ca="1">AVERAGE(OFFSET($CX$3,0,0,'Données projet'!$E$13+1,1))-AVERAGE(OFFSET($H$3,0,0,'Données projet'!$E$13+1,1))</f>
        <v>274.37717856763146</v>
      </c>
      <c r="CZ203" s="59">
        <f t="shared" si="208"/>
        <v>264.17357326498581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5.5073673313100789E-25</v>
      </c>
      <c r="DI203" s="22">
        <f t="shared" si="175"/>
        <v>5.5073673313100789E-25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-1.7053025658242404E-13</v>
      </c>
      <c r="DP203" s="17">
        <f>DO203*VLOOKUP('Données projet'!$B$14,Paramètres!$A$1:$I$89,3,0)*VLOOKUP('Données projet'!$B$14,Paramètres!$A$1:$I$89,5,0)</f>
        <v>-1.383341441396624E-13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304.26232113495314</v>
      </c>
      <c r="DU203" s="59">
        <f t="shared" si="209"/>
        <v>297.47246687305056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9.7895987282411223</v>
      </c>
      <c r="EB203" s="21">
        <f>EXP(-LN(2)/25)*EB202+(1-EXP(-LN(2)/25))/(LN(2)/25)*Calculateur!DW203*Calculateur!DY203*VLOOKUP('Données projet'!$B$14,Paramètres!$A$1:$I$89,3,0)*0.475*44/12</f>
        <v>0.10377998157445056</v>
      </c>
      <c r="EC203" s="21">
        <f>EXP(-LN(2)/2)*EC202+(1-EXP(-LN(2)/2))/(LN(2)/2)*DW203*DZ203*VLOOKUP('Données projet'!$B$14,Paramètres!$A$1:$I$89,3,0)*0.475*44/12</f>
        <v>3.6801342650167993E-17</v>
      </c>
      <c r="ED203" s="22">
        <f t="shared" si="178"/>
        <v>9.8933787098155737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1.2240347367580502</v>
      </c>
      <c r="BA205" s="82">
        <f>EXP(LN('Données projet'!B88)/'Données projet'!A88)</f>
        <v>1.1422113165588705</v>
      </c>
      <c r="BV205" s="82">
        <f>EXP(LN('Données projet'!B114)/'Données projet'!A114)</f>
        <v>1.1422113165588705</v>
      </c>
      <c r="CQ205" s="82">
        <f>EXP(LN('Données projet'!B140)/'Données projet'!A140)</f>
        <v>1.1966732973638288</v>
      </c>
      <c r="DL205" s="82">
        <f>EXP(LN('Données projet'!B166)/'Données projet'!A166)</f>
        <v>1.2721747796233518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1.6500000000000001</v>
      </c>
      <c r="C6" s="147">
        <f ca="1">IF(OR('Données projet'!B9="",'Données projet'!C9="",'Données projet'!C9=0%),0,Calculateur!S3)</f>
        <v>344.4940855044307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381.75983337460133</v>
      </c>
      <c r="G6" s="147">
        <f ca="1">F6*(100%-'Données projet'!$C$24)*(100%-'Données projet'!$C$25)*(100%-'Données projet'!$C$26)*(100%-'Données projet'!$C$27)</f>
        <v>343.58385003714119</v>
      </c>
      <c r="H6" s="148">
        <f>IF(OR('Données projet'!B9="",'Données projet'!C9="",'Données projet'!C9=0%),0,AVERAGE(Calculateur!$AC$3:$AC$33)*B6)</f>
        <v>0.81607595617153583</v>
      </c>
      <c r="I6" s="149">
        <f>H6*(100%-'Données projet'!$C$24)*(100%-'Données projet'!$C$25)*(100%-'Données projet'!$C$26)*(100%-'Données projet'!$C$27)</f>
        <v>0.73446836055438225</v>
      </c>
      <c r="J6" s="150">
        <f>IF(OR('Données projet'!B9="",'Données projet'!C9="",'Données projet'!C9=0%),0,SUM(Calculateur!$V$3:$V$33)*VLOOKUP('Données projet'!$B$9,Paramètres!$A$1:$I$89,9,0)*B6)</f>
        <v>11.9625</v>
      </c>
      <c r="K6" s="151">
        <f>J6*(100%-'Données projet'!$C$24)*(100%-'Données projet'!$C$25)*(100%-'Données projet'!$C$26)*(100%-'Données projet'!$C$27)</f>
        <v>10.766250000000001</v>
      </c>
      <c r="L6" s="152">
        <f ca="1">G6+I6+K6</f>
        <v>355.08456839769559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Tilleul</v>
      </c>
      <c r="B7" s="154">
        <f>'Données projet'!D10</f>
        <v>0.26400000000000001</v>
      </c>
      <c r="C7" s="147">
        <f ca="1">IF(OR('Données projet'!B10="",'Données projet'!C10="",'Données projet'!C10=0%),0,Calculateur!AN3)</f>
        <v>246.71489737733248</v>
      </c>
      <c r="D7" s="147">
        <f>IF(OR('Données projet'!B10="",'Données projet'!C10="",'Données projet'!C10=0%),0,Calculateur!AO3)</f>
        <v>185.03615139960783</v>
      </c>
      <c r="E7" s="147">
        <f t="shared" ref="E7:E15" ca="1" si="0">MIN(C7,D7)</f>
        <v>185.03615139960783</v>
      </c>
      <c r="F7" s="147">
        <f t="shared" ref="F7:F15" ca="1" si="1">E7*B7</f>
        <v>48.849543969496473</v>
      </c>
      <c r="G7" s="147">
        <f ca="1">F7*(100%-'Données projet'!$C$24)*(100%-'Données projet'!$C$25)*(100%-'Données projet'!$C$26)*(100%-'Données projet'!$C$27)</f>
        <v>43.964589572546828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2.8380000000000001</v>
      </c>
      <c r="K7" s="151">
        <f>J7*(100%-'Données projet'!$C$24)*(100%-'Données projet'!$C$25)*(100%-'Données projet'!$C$26)*(100%-'Données projet'!$C$27)</f>
        <v>2.5542000000000002</v>
      </c>
      <c r="L7" s="152">
        <f t="shared" ref="L7:L15" ca="1" si="2">G7+I7+K7</f>
        <v>46.518789572546829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Alisier torminal</v>
      </c>
      <c r="B8" s="154">
        <f>'Données projet'!D11</f>
        <v>8.8000000000000009E-2</v>
      </c>
      <c r="C8" s="147">
        <f ca="1">IF(OR('Données projet'!B11="",'Données projet'!C11="",'Données projet'!C11=0%),0,Calculateur!BI3)</f>
        <v>211.98817606983374</v>
      </c>
      <c r="D8" s="147">
        <f>IF(OR('Données projet'!B11="",'Données projet'!C11="",'Données projet'!C11=0%),0,Calculateur!BJ3)</f>
        <v>154.0840647586964</v>
      </c>
      <c r="E8" s="147">
        <f t="shared" ca="1" si="0"/>
        <v>154.0840647586964</v>
      </c>
      <c r="F8" s="147">
        <f t="shared" ca="1" si="1"/>
        <v>13.559397698765284</v>
      </c>
      <c r="G8" s="147">
        <f ca="1">F8*(100%-'Données projet'!$C$24)*(100%-'Données projet'!$C$25)*(100%-'Données projet'!$C$26)*(100%-'Données projet'!$C$27)</f>
        <v>12.203457928888756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0.19800000000000001</v>
      </c>
      <c r="K8" s="151">
        <f>J8*(100%-'Données projet'!$C$24)*(100%-'Données projet'!$C$25)*(100%-'Données projet'!$C$26)*(100%-'Données projet'!$C$27)</f>
        <v>0.17820000000000003</v>
      </c>
      <c r="L8" s="152">
        <f t="shared" ca="1" si="2"/>
        <v>12.381657928888757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Cormier</v>
      </c>
      <c r="B9" s="154">
        <f>'Données projet'!D12</f>
        <v>8.8000000000000009E-2</v>
      </c>
      <c r="C9" s="147">
        <f ca="1">IF(OR('Données projet'!B12="",'Données projet'!C12="",'Données projet'!C12=0%),0,Calculateur!CD3)</f>
        <v>231.89176215692947</v>
      </c>
      <c r="D9" s="147">
        <f>IF(OR('Données projet'!B12="",'Données projet'!C12="",'Données projet'!C12=0%),0,Calculateur!CE3)</f>
        <v>166.97658184507787</v>
      </c>
      <c r="E9" s="147">
        <f t="shared" ca="1" si="0"/>
        <v>166.97658184507787</v>
      </c>
      <c r="F9" s="147">
        <f t="shared" ca="1" si="1"/>
        <v>14.693939202366854</v>
      </c>
      <c r="G9" s="147">
        <f ca="1">F9*(100%-'Données projet'!$C$24)*(100%-'Données projet'!$C$25)*(100%-'Données projet'!$C$26)*(100%-'Données projet'!$C$27)</f>
        <v>13.224545282130169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0.19800000000000001</v>
      </c>
      <c r="K9" s="151">
        <f>J9*(100%-'Données projet'!$C$24)*(100%-'Données projet'!$C$25)*(100%-'Données projet'!$C$26)*(100%-'Données projet'!$C$27)</f>
        <v>0.17820000000000003</v>
      </c>
      <c r="L9" s="152">
        <f t="shared" ca="1" si="2"/>
        <v>13.402745282130169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Merisier</v>
      </c>
      <c r="B10" s="154">
        <f>'Données projet'!D13</f>
        <v>8.8000000000000009E-2</v>
      </c>
      <c r="C10" s="147">
        <f ca="1">IF(OR('Données projet'!B13="",'Données projet'!C13="",'Données projet'!C13=0%),0,Calculateur!CY3)</f>
        <v>274.37717856763146</v>
      </c>
      <c r="D10" s="147">
        <f>IF(OR('Données projet'!B13="",'Données projet'!C13="",'Données projet'!C13=0%),0,Calculateur!CZ3)</f>
        <v>264.17357326498581</v>
      </c>
      <c r="E10" s="147">
        <f t="shared" ca="1" si="0"/>
        <v>264.17357326498581</v>
      </c>
      <c r="F10" s="147">
        <f t="shared" ca="1" si="1"/>
        <v>23.247274447318752</v>
      </c>
      <c r="G10" s="147">
        <f ca="1">F10*(100%-'Données projet'!$C$24)*(100%-'Données projet'!$C$25)*(100%-'Données projet'!$C$26)*(100%-'Données projet'!$C$27)</f>
        <v>20.922547002586878</v>
      </c>
      <c r="H10" s="155">
        <f>IF(OR('Données projet'!B13="",'Données projet'!C13="",'Données projet'!C13=0%),0,AVERAGE(Calculateur!$DI$3:$DI$33)*B10)</f>
        <v>0.22489343440055121</v>
      </c>
      <c r="I10" s="149">
        <f>H10*(100%-'Données projet'!$C$24)*(100%-'Données projet'!$C$25)*(100%-'Données projet'!$C$26)*(100%-'Données projet'!$C$27)</f>
        <v>0.20240409096049608</v>
      </c>
      <c r="J10" s="150">
        <f>IF(OR('Données projet'!B13="",'Données projet'!C13="",'Données projet'!C13=0%),0,SUM(Calculateur!$DB$3:$DB$33)*VLOOKUP('Données projet'!$B$13,Paramètres!$A$1:$I$89,9,0)*B10)</f>
        <v>1.1440000000000001</v>
      </c>
      <c r="K10" s="151">
        <f>J10*(100%-'Données projet'!$C$24)*(100%-'Données projet'!$C$25)*(100%-'Données projet'!$C$26)*(100%-'Données projet'!$C$27)</f>
        <v>1.0296000000000001</v>
      </c>
      <c r="L10" s="152">
        <f t="shared" ca="1" si="2"/>
        <v>22.154551093547372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Noyer</v>
      </c>
      <c r="B11" s="154">
        <f>'Données projet'!D14</f>
        <v>2.2000000000000002E-2</v>
      </c>
      <c r="C11" s="147">
        <f ca="1">IF(OR('Données projet'!B14="",'Données projet'!C14="",'Données projet'!C14=0%),0,Calculateur!DT3)</f>
        <v>304.26232113495314</v>
      </c>
      <c r="D11" s="147">
        <f>IF(OR('Données projet'!B14="",'Données projet'!C14="",'Données projet'!C14=0%),0,Calculateur!DU3)</f>
        <v>297.47246687305056</v>
      </c>
      <c r="E11" s="147">
        <f t="shared" ca="1" si="0"/>
        <v>297.47246687305056</v>
      </c>
      <c r="F11" s="147">
        <f t="shared" ca="1" si="1"/>
        <v>6.5443942712071133</v>
      </c>
      <c r="G11" s="147">
        <f ca="1">F11*(100%-'Données projet'!$C$24)*(100%-'Données projet'!$C$25)*(100%-'Données projet'!$C$26)*(100%-'Données projet'!$C$27)</f>
        <v>5.889954844086402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0.5445000000000001</v>
      </c>
      <c r="K11" s="151">
        <f>J11*(100%-'Données projet'!$C$24)*(100%-'Données projet'!$C$25)*(100%-'Données projet'!$C$26)*(100%-'Données projet'!$C$27)</f>
        <v>0.4900500000000001</v>
      </c>
      <c r="L11" s="152">
        <f t="shared" ca="1" si="2"/>
        <v>6.3800048440864021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488.65438296375584</v>
      </c>
      <c r="G16" s="166">
        <f t="shared" ca="1" si="3"/>
        <v>439.78894466738024</v>
      </c>
      <c r="H16" s="167">
        <f t="shared" si="3"/>
        <v>1.0409693905720871</v>
      </c>
      <c r="I16" s="167">
        <f t="shared" si="3"/>
        <v>0.9368724515148783</v>
      </c>
      <c r="J16" s="168">
        <f t="shared" si="3"/>
        <v>16.884999999999998</v>
      </c>
      <c r="K16" s="168">
        <f t="shared" si="3"/>
        <v>15.196500000000002</v>
      </c>
      <c r="L16" s="169">
        <f t="shared" ca="1" si="3"/>
        <v>455.92231711889514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Tilleul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Noyer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6" zoomScale="80" zoomScaleNormal="80" workbookViewId="0">
      <selection activeCell="I27" sqref="I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1025.1465191079303</v>
      </c>
      <c r="U10" s="178">
        <f>'Données projet'!D9</f>
        <v>1.6500000000000001</v>
      </c>
      <c r="V10" s="177">
        <f>U10*T10</f>
        <v>1691.4917565280853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Tilleul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546.81242522323873</v>
      </c>
      <c r="U11" s="178">
        <f>'Données projet'!D10</f>
        <v>0.26400000000000001</v>
      </c>
      <c r="V11" s="177">
        <f t="shared" ref="V11" si="0">U11*T11</f>
        <v>144.35848025893503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175.70383437720432</v>
      </c>
      <c r="U12" s="178">
        <f>'Données projet'!D11</f>
        <v>8.8000000000000009E-2</v>
      </c>
      <c r="V12" s="177">
        <f t="shared" ref="V12:V19" si="1">U12*T12</f>
        <v>15.461937425193982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175.70383437720432</v>
      </c>
      <c r="U13" s="178">
        <f>'Données projet'!D12</f>
        <v>8.8000000000000009E-2</v>
      </c>
      <c r="V13" s="177">
        <f t="shared" si="1"/>
        <v>15.461937425193982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1271.7754111698468</v>
      </c>
      <c r="U14" s="178">
        <f>'Données projet'!D13</f>
        <v>8.8000000000000009E-2</v>
      </c>
      <c r="V14" s="177">
        <f t="shared" si="1"/>
        <v>111.91623618294653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Noyer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1020.1818598206162</v>
      </c>
      <c r="U15" s="178">
        <f>'Données projet'!D14</f>
        <v>2.2000000000000002E-2</v>
      </c>
      <c r="V15" s="177">
        <f t="shared" si="1"/>
        <v>22.444000916053557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3757.8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3757.8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3757.8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v>2</v>
      </c>
      <c r="D23" s="182">
        <f>B23*C23</f>
        <v>16</v>
      </c>
      <c r="E23" s="193"/>
      <c r="F23" s="230"/>
      <c r="H23" s="190">
        <v>4</v>
      </c>
      <c r="I23" s="191">
        <v>3757.8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-34291.505793739321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v>3</v>
      </c>
      <c r="D24" s="182">
        <f t="shared" ref="D24:D42" si="2">B24*C24</f>
        <v>63</v>
      </c>
      <c r="E24" s="193"/>
      <c r="F24" s="233"/>
      <c r="H24" s="190">
        <v>5</v>
      </c>
      <c r="I24" s="191">
        <v>3757.8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6</v>
      </c>
      <c r="D25" s="182">
        <f t="shared" si="2"/>
        <v>252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-34291.505793739321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75</v>
      </c>
      <c r="D29" s="182">
        <f t="shared" si="2"/>
        <v>3150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100</v>
      </c>
      <c r="D30" s="182">
        <f t="shared" si="2"/>
        <v>4200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303</v>
      </c>
      <c r="C31" s="193">
        <v>130</v>
      </c>
      <c r="D31" s="182">
        <f t="shared" si="2"/>
        <v>39390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Tilleul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11</v>
      </c>
      <c r="C54" s="191">
        <v>1</v>
      </c>
      <c r="D54" s="179">
        <f>B54*C54</f>
        <v>11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15</v>
      </c>
      <c r="C55" s="191">
        <v>5</v>
      </c>
      <c r="D55" s="179">
        <f t="shared" ref="D55:D73" si="4">B55*C55</f>
        <v>75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17</v>
      </c>
      <c r="C56" s="191">
        <v>10</v>
      </c>
      <c r="D56" s="179">
        <f t="shared" si="4"/>
        <v>170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19</v>
      </c>
      <c r="C57" s="191">
        <v>30</v>
      </c>
      <c r="D57" s="179">
        <f t="shared" si="4"/>
        <v>570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20</v>
      </c>
      <c r="C58" s="191">
        <v>50</v>
      </c>
      <c r="D58" s="179">
        <f t="shared" si="4"/>
        <v>1000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21</v>
      </c>
      <c r="C59" s="191">
        <v>70</v>
      </c>
      <c r="D59" s="179">
        <f t="shared" si="4"/>
        <v>1470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22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22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22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22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70</v>
      </c>
      <c r="B64" s="181">
        <f>'Données projet'!D72</f>
        <v>22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75</v>
      </c>
      <c r="B65" s="181">
        <f>'Données projet'!D73</f>
        <v>22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80</v>
      </c>
      <c r="B66" s="181">
        <f>'Données projet'!D74</f>
        <v>21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85</v>
      </c>
      <c r="B67" s="181">
        <f>'Données projet'!D75</f>
        <v>20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90</v>
      </c>
      <c r="B68" s="181">
        <f>'Données projet'!D76</f>
        <v>20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95</v>
      </c>
      <c r="B69" s="181">
        <f>'Données projet'!D77</f>
        <v>19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100</v>
      </c>
      <c r="B70" s="181">
        <f>'Données projet'!D78</f>
        <v>271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30</v>
      </c>
      <c r="B85" s="181">
        <f>'Données projet'!D88</f>
        <v>9</v>
      </c>
      <c r="C85" s="191">
        <v>1</v>
      </c>
      <c r="D85" s="179">
        <f>B85*C85</f>
        <v>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35</v>
      </c>
      <c r="B86" s="181">
        <f>'Données projet'!D89</f>
        <v>8</v>
      </c>
      <c r="C86" s="191">
        <v>5</v>
      </c>
      <c r="D86" s="179">
        <f t="shared" ref="D86:D104" si="6">B86*C86</f>
        <v>40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9</v>
      </c>
      <c r="C87" s="191">
        <v>10</v>
      </c>
      <c r="D87" s="179">
        <f t="shared" si="6"/>
        <v>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45</v>
      </c>
      <c r="B88" s="181">
        <f>'Données projet'!D91</f>
        <v>9</v>
      </c>
      <c r="C88" s="191">
        <v>30</v>
      </c>
      <c r="D88" s="179">
        <f t="shared" si="6"/>
        <v>270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9</v>
      </c>
      <c r="C89" s="191">
        <v>50</v>
      </c>
      <c r="D89" s="179">
        <f t="shared" si="6"/>
        <v>450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55</v>
      </c>
      <c r="B90" s="181">
        <f>'Données projet'!D93</f>
        <v>10</v>
      </c>
      <c r="C90" s="191">
        <v>70</v>
      </c>
      <c r="D90" s="179">
        <f t="shared" si="6"/>
        <v>700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60</v>
      </c>
      <c r="B91" s="181">
        <f>'Données projet'!D94</f>
        <v>10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65</v>
      </c>
      <c r="B92" s="181">
        <f>'Données projet'!D95</f>
        <v>10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70</v>
      </c>
      <c r="B93" s="181">
        <f>'Données projet'!D96</f>
        <v>10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75</v>
      </c>
      <c r="B94" s="181">
        <f>'Données projet'!D97</f>
        <v>10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80</v>
      </c>
      <c r="B95" s="181">
        <f>'Données projet'!D98</f>
        <v>9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85</v>
      </c>
      <c r="B96" s="181">
        <f>'Données projet'!D99</f>
        <v>9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90</v>
      </c>
      <c r="B97" s="181">
        <f>'Données projet'!D100</f>
        <v>9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95</v>
      </c>
      <c r="B98" s="181">
        <f>'Données projet'!D101</f>
        <v>9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100</v>
      </c>
      <c r="B99" s="181">
        <f>'Données projet'!D102</f>
        <v>170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str">
        <f>IF(O108+1&lt;=MIN('Données projet'!$E$9:$E$18),O108+1,"STOP")</f>
        <v>STOP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30</v>
      </c>
      <c r="B116" s="181">
        <f>'Données projet'!D114</f>
        <v>9</v>
      </c>
      <c r="C116" s="191">
        <v>1</v>
      </c>
      <c r="D116" s="179">
        <f>B116*C116</f>
        <v>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35</v>
      </c>
      <c r="B117" s="181">
        <f>'Données projet'!D115</f>
        <v>8</v>
      </c>
      <c r="C117" s="191">
        <v>5</v>
      </c>
      <c r="D117" s="179">
        <f t="shared" ref="D117:D135" si="8">B117*C117</f>
        <v>40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9</v>
      </c>
      <c r="C118" s="191">
        <v>10</v>
      </c>
      <c r="D118" s="179">
        <f t="shared" si="8"/>
        <v>90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45</v>
      </c>
      <c r="B119" s="181">
        <f>'Données projet'!D117</f>
        <v>9</v>
      </c>
      <c r="C119" s="191">
        <v>30</v>
      </c>
      <c r="D119" s="179">
        <f t="shared" si="8"/>
        <v>270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50</v>
      </c>
      <c r="B120" s="181">
        <f>'Données projet'!D118</f>
        <v>9</v>
      </c>
      <c r="C120" s="191">
        <v>50</v>
      </c>
      <c r="D120" s="179">
        <f t="shared" si="8"/>
        <v>450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55</v>
      </c>
      <c r="B121" s="181">
        <f>'Données projet'!D119</f>
        <v>10</v>
      </c>
      <c r="C121" s="191">
        <v>70</v>
      </c>
      <c r="D121" s="179">
        <f t="shared" si="8"/>
        <v>700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60</v>
      </c>
      <c r="B122" s="181">
        <f>'Données projet'!D120</f>
        <v>10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65</v>
      </c>
      <c r="B123" s="181">
        <f>'Données projet'!D121</f>
        <v>10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70</v>
      </c>
      <c r="B124" s="181">
        <f>'Données projet'!D122</f>
        <v>10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75</v>
      </c>
      <c r="B125" s="181">
        <f>'Données projet'!D123</f>
        <v>10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80</v>
      </c>
      <c r="B126" s="181">
        <f>'Données projet'!D124</f>
        <v>9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85</v>
      </c>
      <c r="B127" s="181">
        <f>'Données projet'!D125</f>
        <v>9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90</v>
      </c>
      <c r="B128" s="181">
        <f>'Données projet'!D126</f>
        <v>9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95</v>
      </c>
      <c r="B129" s="181">
        <f>'Données projet'!D127</f>
        <v>9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100</v>
      </c>
      <c r="B130" s="181">
        <f>'Données projet'!D128</f>
        <v>170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25</v>
      </c>
      <c r="B147" s="175">
        <f>'Données projet'!D140</f>
        <v>28</v>
      </c>
      <c r="C147" s="191">
        <v>1</v>
      </c>
      <c r="D147" s="182">
        <f>B147*C147</f>
        <v>28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24</v>
      </c>
      <c r="C148" s="191">
        <v>5</v>
      </c>
      <c r="D148" s="182">
        <f t="shared" ref="D148:D166" si="10">B148*C148</f>
        <v>120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59</v>
      </c>
      <c r="C149" s="191">
        <v>10</v>
      </c>
      <c r="D149" s="182">
        <f t="shared" si="10"/>
        <v>590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61</v>
      </c>
      <c r="C150" s="191">
        <v>30</v>
      </c>
      <c r="D150" s="182">
        <f t="shared" si="10"/>
        <v>1830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53</v>
      </c>
      <c r="C151" s="191">
        <v>50</v>
      </c>
      <c r="D151" s="182">
        <f t="shared" si="10"/>
        <v>2650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75</v>
      </c>
      <c r="B152" s="175">
        <f>'Données projet'!D145</f>
        <v>286</v>
      </c>
      <c r="C152" s="191">
        <v>70</v>
      </c>
      <c r="D152" s="182">
        <f t="shared" si="10"/>
        <v>20020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Noyer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15</v>
      </c>
      <c r="B178" s="181">
        <f>'Données projet'!D166</f>
        <v>15</v>
      </c>
      <c r="C178" s="193">
        <v>1</v>
      </c>
      <c r="D178" s="179">
        <f>B178*C178</f>
        <v>15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28</v>
      </c>
      <c r="C179" s="193">
        <v>5</v>
      </c>
      <c r="D179" s="179">
        <f t="shared" ref="D179:D197" si="11">B179*C179</f>
        <v>140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25</v>
      </c>
      <c r="B180" s="181">
        <f>'Données projet'!D168</f>
        <v>28</v>
      </c>
      <c r="C180" s="193">
        <v>10</v>
      </c>
      <c r="D180" s="179">
        <f t="shared" si="11"/>
        <v>280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30</v>
      </c>
      <c r="B181" s="181">
        <f>'Données projet'!D169</f>
        <v>28</v>
      </c>
      <c r="C181" s="193">
        <v>30</v>
      </c>
      <c r="D181" s="179">
        <f t="shared" si="11"/>
        <v>840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35</v>
      </c>
      <c r="B182" s="181">
        <f>'Données projet'!D170</f>
        <v>28</v>
      </c>
      <c r="C182" s="193">
        <v>50</v>
      </c>
      <c r="D182" s="179">
        <f t="shared" si="11"/>
        <v>1400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40</v>
      </c>
      <c r="B183" s="181">
        <f>'Données projet'!D171</f>
        <v>28</v>
      </c>
      <c r="C183" s="193">
        <v>70</v>
      </c>
      <c r="D183" s="179">
        <f t="shared" si="11"/>
        <v>1960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45</v>
      </c>
      <c r="B184" s="181">
        <f>'Données projet'!D172</f>
        <v>22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50</v>
      </c>
      <c r="B185" s="181">
        <f>'Données projet'!D173</f>
        <v>17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55</v>
      </c>
      <c r="B186" s="181">
        <f>'Données projet'!D174</f>
        <v>13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60</v>
      </c>
      <c r="B187" s="181">
        <f>'Données projet'!D175</f>
        <v>12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65</v>
      </c>
      <c r="B188" s="181">
        <f>'Données projet'!D176</f>
        <v>11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70</v>
      </c>
      <c r="B189" s="181">
        <f>'Données projet'!D177</f>
        <v>10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75</v>
      </c>
      <c r="B190" s="181">
        <f>'Données projet'!D178</f>
        <v>9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80</v>
      </c>
      <c r="B191" s="181">
        <f>'Données projet'!D179</f>
        <v>275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2025-10-15T13:52:34Z</dcterms:modified>
</cp:coreProperties>
</file>