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P:\88_Commun\60_Projets\36_CARBONE\4-Projets carbone\DT AURA\Agence Ain Loire Rhône\01 Nivigne et Suran_EN_INSTRUCTION\Docs LBC déposés\Document 8 - Tableur de calcul des RE_OK\"/>
    </mc:Choice>
  </mc:AlternateContent>
  <xr:revisionPtr revIDLastSave="0" documentId="13_ncr:1_{8C79138A-6D0B-4E23-BD4C-973357D8EB40}" xr6:coauthVersionLast="47" xr6:coauthVersionMax="47" xr10:uidLastSave="{00000000-0000-0000-0000-000000000000}"/>
  <bookViews>
    <workbookView xWindow="5520" yWindow="4155" windowWidth="21600" windowHeight="1099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HG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H156" i="2" l="1"/>
  <c r="HG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EB161" i="2"/>
  <c r="FS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G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DG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FS175" i="2" l="1"/>
  <c r="HI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H179" i="2" l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24" i="2" a="1"/>
  <c r="FY24" i="2" s="1"/>
  <c r="FY149" i="2" a="1"/>
  <c r="FY149" i="2" s="1"/>
  <c r="FY104" i="2" a="1"/>
  <c r="FY104" i="2" s="1"/>
  <c r="FY172" i="2" a="1"/>
  <c r="FY172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62" i="2" l="1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tc={C01F617E-3651-4CBB-8ED2-05BBFCF420A3}</author>
    <author>tc={D24CB095-E037-4ADB-A3A5-5491ED60DD8A}</author>
    <author>tc={B539412C-BC92-4B73-B78B-454E9FA3F53A}</author>
    <author>tc={D1F81B0A-C51A-47A7-B9D6-4A57E51298CD}</author>
    <author>tc={D025BB01-98DF-42BE-955B-68E74CBFA762}</author>
    <author>tc={734C24EE-B675-4F91-9A13-FA3DBB34756D}</author>
    <author>tc={ABCFB714-3315-4FB8-ABA6-8F2E6D7C3FA1}</author>
  </authors>
  <commentList>
    <comment ref="F17" authorId="0" shapeId="0" xr:uid="{C01F617E-3651-4CBB-8ED2-05BBFCF420A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des PL ramené à l ha + mise en places plants + tuteur le tout ramené à l’ha et en TTC soit 4012*1,055/3,75+((23904*1.1+7968*1.2))/5.34</t>
      </text>
    </comment>
    <comment ref="F18" authorId="1" shapeId="0" xr:uid="{D24CB095-E037-4ADB-A3A5-5491ED60DD8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Application 1ere année + dégagement annuel 1ere année, le tout en TTC et ramené à l’Ha (1552.58*1,1+9881.14*1,1)/5,34</t>
      </text>
    </comment>
    <comment ref="F19" authorId="2" shapeId="0" xr:uid="{B539412C-BC92-4B73-B78B-454E9FA3F53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=(6048*1,1+9764,88*1,1)/5,34</t>
      </text>
    </comment>
    <comment ref="F20" authorId="3" shapeId="0" xr:uid="{D1F81B0A-C51A-47A7-B9D6-4A57E51298C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=(6432*1,1+10252,91*1,1)/5,34</t>
      </text>
    </comment>
    <comment ref="J20" authorId="4" shapeId="0" xr:uid="{D025BB01-98DF-42BE-955B-68E74CBFA7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Coupe + travaux préalable le tout en TTC ramené à l’Ha soit ( 3022.17*1.1 + 20607.06*1.1) / 5.34</t>
      </text>
    </comment>
    <comment ref="F21" authorId="5" shapeId="0" xr:uid="{734C24EE-B675-4F91-9A13-FA3DBB34756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=(6720*1,1+10765,76*1,1)/5,34</t>
      </text>
    </comment>
    <comment ref="F22" authorId="6" shapeId="0" xr:uid="{ABCFB714-3315-4FB8-ABA6-8F2E6D7C3F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Dégagement manuel du 5eme passage en TTC ramené à l’Ha</t>
      </text>
    </comment>
  </commentList>
</comments>
</file>

<file path=xl/sharedStrings.xml><?xml version="1.0" encoding="utf-8"?>
<sst xmlns="http://schemas.openxmlformats.org/spreadsheetml/2006/main" count="1254" uniqueCount="325">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</sst>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9"/>
      <color indexed="81"/>
      <name val="Tahoma"/>
      <charset val="1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67.141068601994363</c:v>
                </c:pt>
                <c:pt idx="17">
                  <c:v>84.965895845508868</c:v>
                </c:pt>
                <c:pt idx="18">
                  <c:v>102.69609677832152</c:v>
                </c:pt>
                <c:pt idx="19">
                  <c:v>120.35039026570223</c:v>
                </c:pt>
                <c:pt idx="20">
                  <c:v>137.94151075020798</c:v>
                </c:pt>
                <c:pt idx="21">
                  <c:v>155.47866232925674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158.76051047616977</c:v>
                </c:pt>
                <c:pt idx="29">
                  <c:v>175.59896515661092</c:v>
                </c:pt>
                <c:pt idx="30">
                  <c:v>192.39950654022346</c:v>
                </c:pt>
                <c:pt idx="31">
                  <c:v>209.1659124742217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220.02792534458786</c:v>
                </c:pt>
                <c:pt idx="36">
                  <c:v>236.44664825214025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288.8629105041029</c:v>
                </c:pt>
                <c:pt idx="45">
                  <c:v>304.05893725366735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435.64893401981141</c:v>
                </c:pt>
                <c:pt idx="72">
                  <c:v>445.37593051740038</c:v>
                </c:pt>
                <c:pt idx="73">
                  <c:v>455.09837846666545</c:v>
                </c:pt>
                <c:pt idx="74">
                  <c:v>464.81638876556104</c:v>
                </c:pt>
                <c:pt idx="75">
                  <c:v>474.53006729554141</c:v>
                </c:pt>
                <c:pt idx="76">
                  <c:v>484.2395152487336</c:v>
                </c:pt>
                <c:pt idx="77">
                  <c:v>493.94482942750261</c:v>
                </c:pt>
                <c:pt idx="78">
                  <c:v>503.64610251924501</c:v>
                </c:pt>
                <c:pt idx="79">
                  <c:v>512.70922931816415</c:v>
                </c:pt>
                <c:pt idx="80">
                  <c:v>521.76897366023331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239.64842231953807</c:v>
                </c:pt>
                <c:pt idx="32">
                  <c:v>255.0033723682819</c:v>
                </c:pt>
                <c:pt idx="33">
                  <c:v>270.33740172409563</c:v>
                </c:pt>
                <c:pt idx="34">
                  <c:v>285.65186421008156</c:v>
                </c:pt>
                <c:pt idx="35">
                  <c:v>300.94795659170251</c:v>
                </c:pt>
                <c:pt idx="36">
                  <c:v>316.22674402277079</c:v>
                </c:pt>
                <c:pt idx="37">
                  <c:v>333.24699934003382</c:v>
                </c:pt>
                <c:pt idx="38">
                  <c:v>350.24810019036448</c:v>
                </c:pt>
                <c:pt idx="39">
                  <c:v>367.23110697168204</c:v>
                </c:pt>
                <c:pt idx="40">
                  <c:v>384.19697401526679</c:v>
                </c:pt>
                <c:pt idx="41">
                  <c:v>401.14656450778028</c:v>
                </c:pt>
                <c:pt idx="42">
                  <c:v>418.08066275933976</c:v>
                </c:pt>
                <c:pt idx="43">
                  <c:v>253.82189207718497</c:v>
                </c:pt>
                <c:pt idx="44">
                  <c:v>269.50657509328352</c:v>
                </c:pt>
                <c:pt idx="45">
                  <c:v>285.17071673248148</c:v>
                </c:pt>
                <c:pt idx="46">
                  <c:v>300.81560417042863</c:v>
                </c:pt>
                <c:pt idx="47">
                  <c:v>316.48601990443689</c:v>
                </c:pt>
                <c:pt idx="48">
                  <c:v>332.1392510711803</c:v>
                </c:pt>
                <c:pt idx="49">
                  <c:v>347.77622150490652</c:v>
                </c:pt>
                <c:pt idx="50">
                  <c:v>267.56453407241469</c:v>
                </c:pt>
                <c:pt idx="51">
                  <c:v>282.04023978215281</c:v>
                </c:pt>
                <c:pt idx="52">
                  <c:v>296.49930129675232</c:v>
                </c:pt>
                <c:pt idx="53">
                  <c:v>310.94264467119581</c:v>
                </c:pt>
                <c:pt idx="54">
                  <c:v>325.96564369687246</c:v>
                </c:pt>
                <c:pt idx="55">
                  <c:v>340.97335280521577</c:v>
                </c:pt>
                <c:pt idx="56">
                  <c:v>355.96653970474659</c:v>
                </c:pt>
                <c:pt idx="57">
                  <c:v>297.2281004543517</c:v>
                </c:pt>
                <c:pt idx="58">
                  <c:v>311.31629401755214</c:v>
                </c:pt>
                <c:pt idx="59">
                  <c:v>325.39034406673755</c:v>
                </c:pt>
                <c:pt idx="60">
                  <c:v>339.45094855776</c:v>
                </c:pt>
                <c:pt idx="61">
                  <c:v>353.98977164080435</c:v>
                </c:pt>
                <c:pt idx="62">
                  <c:v>368.51551555740826</c:v>
                </c:pt>
                <c:pt idx="63">
                  <c:v>383.0287684267314</c:v>
                </c:pt>
                <c:pt idx="64">
                  <c:v>325.53080390846873</c:v>
                </c:pt>
                <c:pt idx="65">
                  <c:v>339.08185825915479</c:v>
                </c:pt>
                <c:pt idx="66">
                  <c:v>352.62099976210396</c:v>
                </c:pt>
                <c:pt idx="67">
                  <c:v>366.14875028847382</c:v>
                </c:pt>
                <c:pt idx="68">
                  <c:v>380.0395214579292</c:v>
                </c:pt>
                <c:pt idx="69">
                  <c:v>393.91924985771925</c:v>
                </c:pt>
                <c:pt idx="70">
                  <c:v>407.78837937152508</c:v>
                </c:pt>
                <c:pt idx="71">
                  <c:v>421.647321227367</c:v>
                </c:pt>
                <c:pt idx="72">
                  <c:v>354.25160485356218</c:v>
                </c:pt>
                <c:pt idx="73">
                  <c:v>367.01233837264937</c:v>
                </c:pt>
                <c:pt idx="74">
                  <c:v>379.76338822931876</c:v>
                </c:pt>
                <c:pt idx="75">
                  <c:v>392.50512541059106</c:v>
                </c:pt>
                <c:pt idx="76">
                  <c:v>405.49832055062024</c:v>
                </c:pt>
                <c:pt idx="77">
                  <c:v>418.4825185407139</c:v>
                </c:pt>
                <c:pt idx="78">
                  <c:v>431.45803786445936</c:v>
                </c:pt>
                <c:pt idx="79">
                  <c:v>444.42517628710772</c:v>
                </c:pt>
                <c:pt idx="80">
                  <c:v>379.43930963036883</c:v>
                </c:pt>
                <c:pt idx="81">
                  <c:v>391.45499946443937</c:v>
                </c:pt>
                <c:pt idx="82">
                  <c:v>403.46269077532946</c:v>
                </c:pt>
                <c:pt idx="83">
                  <c:v>415.46265518984268</c:v>
                </c:pt>
                <c:pt idx="84">
                  <c:v>427.59477436037196</c:v>
                </c:pt>
                <c:pt idx="85">
                  <c:v>439.71949376175115</c:v>
                </c:pt>
                <c:pt idx="86">
                  <c:v>451.83704619496626</c:v>
                </c:pt>
                <c:pt idx="87">
                  <c:v>463.94765095548405</c:v>
                </c:pt>
                <c:pt idx="88">
                  <c:v>398.18586786276882</c:v>
                </c:pt>
                <c:pt idx="89">
                  <c:v>409.3410955033678</c:v>
                </c:pt>
                <c:pt idx="90">
                  <c:v>420.48975949433253</c:v>
                </c:pt>
                <c:pt idx="91">
                  <c:v>431.63205842249857</c:v>
                </c:pt>
                <c:pt idx="92">
                  <c:v>442.84845256935586</c:v>
                </c:pt>
                <c:pt idx="93">
                  <c:v>454.05876085334563</c:v>
                </c:pt>
                <c:pt idx="94">
                  <c:v>465.26315472237735</c:v>
                </c:pt>
                <c:pt idx="95">
                  <c:v>476.46179669257435</c:v>
                </c:pt>
                <c:pt idx="96">
                  <c:v>249.90508693913634</c:v>
                </c:pt>
                <c:pt idx="97">
                  <c:v>257.48201521428513</c:v>
                </c:pt>
                <c:pt idx="98">
                  <c:v>265.0539025214984</c:v>
                </c:pt>
                <c:pt idx="99">
                  <c:v>272.62091334809492</c:v>
                </c:pt>
                <c:pt idx="100">
                  <c:v>280.18320229421863</c:v>
                </c:pt>
                <c:pt idx="101">
                  <c:v>287.68226149213513</c:v>
                </c:pt>
                <c:pt idx="102">
                  <c:v>295.17694930150827</c:v>
                </c:pt>
                <c:pt idx="103">
                  <c:v>302.66739248827344</c:v>
                </c:pt>
                <c:pt idx="104">
                  <c:v>310.15371102522892</c:v>
                </c:pt>
                <c:pt idx="105">
                  <c:v>317.63601861488411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OUCAUD Lilian" id="{F25F75C8-1CEC-426A-9C03-C56B6CDBD771}" userId="S::lilian.foucaud@onf.fr::e2391833-a2cc-4de9-8a18-fd04ad2d4b88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7" dT="2025-09-26T10:15:50.94" personId="{F25F75C8-1CEC-426A-9C03-C56B6CDBD771}" id="{C01F617E-3651-4CBB-8ED2-05BBFCF420A3}">
    <text>Fourniture des PL ramené à l ha + mise en places plants + tuteur le tout ramené à l’ha et en TTC soit 4012*1,055/3,75+((23904*1.1+7968*1.2))/5.34</text>
  </threadedComment>
  <threadedComment ref="F18" dT="2025-09-26T10:16:06.00" personId="{F25F75C8-1CEC-426A-9C03-C56B6CDBD771}" id="{D24CB095-E037-4ADB-A3A5-5491ED60DD8A}">
    <text>Application 1ere année + dégagement annuel 1ere année, le tout en TTC et ramené à l’Ha (1552.58*1,1+9881.14*1,1)/5,34</text>
  </threadedComment>
  <threadedComment ref="F19" dT="2025-09-26T10:16:18.66" personId="{F25F75C8-1CEC-426A-9C03-C56B6CDBD771}" id="{B539412C-BC92-4B73-B78B-454E9FA3F53A}">
    <text>=(6048*1,1+9764,88*1,1)/5,34</text>
  </threadedComment>
  <threadedComment ref="F20" dT="2025-09-26T10:16:32.32" personId="{F25F75C8-1CEC-426A-9C03-C56B6CDBD771}" id="{D1F81B0A-C51A-47A7-B9D6-4A57E51298CD}">
    <text>=(6432*1,1+10252,91*1,1)/5,34</text>
  </threadedComment>
  <threadedComment ref="J20" dT="2025-09-26T10:21:35.08" personId="{F25F75C8-1CEC-426A-9C03-C56B6CDBD771}" id="{D025BB01-98DF-42BE-955B-68E74CBFA762}">
    <text>Coupe + travaux préalable le tout en TTC ramené à l’Ha soit ( 3022.17*1.1 + 20607.06*1.1) / 5.34</text>
  </threadedComment>
  <threadedComment ref="F21" dT="2025-09-26T10:16:47.34" personId="{F25F75C8-1CEC-426A-9C03-C56B6CDBD771}" id="{734C24EE-B675-4F91-9A13-FA3DBB34756D}">
    <text>=(6720*1,1+10765,76*1,1)/5,34</text>
  </threadedComment>
  <threadedComment ref="F22" dT="2025-09-26T10:20:16.13" personId="{F25F75C8-1CEC-426A-9C03-C56B6CDBD771}" id="{ABCFB714-3315-4FB8-ABA6-8F2E6D7C3FA1}">
    <text>Dégagement manuel du 5eme passage en TTC ramené à l’Ha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80" zoomScaleNormal="80" workbookViewId="0">
      <selection activeCell="M62" sqref="M6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5.34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35</v>
      </c>
      <c r="C9" s="32">
        <v>0.7</v>
      </c>
      <c r="D9" s="33">
        <f t="shared" ref="D9:D18" si="0">C9*$C$5</f>
        <v>3.7379999999999995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164</v>
      </c>
      <c r="C10" s="32">
        <v>0.3</v>
      </c>
      <c r="D10" s="33">
        <f t="shared" si="0"/>
        <v>1.6019999999999999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5.34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15</v>
      </c>
      <c r="B36" s="60">
        <v>35.707692307692305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2.3805128205128203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22</v>
      </c>
      <c r="B37" s="60">
        <v>129.98461538461538</v>
      </c>
      <c r="C37" s="60">
        <v>1</v>
      </c>
      <c r="D37" s="60">
        <v>52.746153846153838</v>
      </c>
      <c r="E37" s="51">
        <v>0</v>
      </c>
      <c r="F37" s="51">
        <v>0</v>
      </c>
      <c r="G37" s="51">
        <v>0.5</v>
      </c>
      <c r="H37" s="51">
        <v>0.5</v>
      </c>
      <c r="I37" s="53">
        <f t="shared" ref="I37:I55" si="1">IF(A37&lt;&gt;0,(B37-(B36-D36))/(A37-A36),"")</f>
        <v>13.468131868131868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27</v>
      </c>
      <c r="B38" s="60">
        <v>140.71538461538461</v>
      </c>
      <c r="C38" s="60">
        <v>2</v>
      </c>
      <c r="D38" s="60">
        <v>34.646153846153844</v>
      </c>
      <c r="E38" s="51">
        <v>0</v>
      </c>
      <c r="F38" s="51">
        <v>0.2</v>
      </c>
      <c r="G38" s="51">
        <v>0.4</v>
      </c>
      <c r="H38" s="51">
        <v>0.4</v>
      </c>
      <c r="I38" s="53">
        <f t="shared" si="1"/>
        <v>12.695384615384615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30</v>
      </c>
      <c r="B39" s="60">
        <v>144.98461538461538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12.971794871794875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33</v>
      </c>
      <c r="B40" s="60">
        <v>183.89999999999998</v>
      </c>
      <c r="C40" s="60">
        <v>3</v>
      </c>
      <c r="D40" s="60">
        <v>43.007692307692302</v>
      </c>
      <c r="E40" s="51" t="s">
        <v>324</v>
      </c>
      <c r="F40" s="51" t="s">
        <v>324</v>
      </c>
      <c r="G40" s="51" t="s">
        <v>324</v>
      </c>
      <c r="H40" s="51" t="s">
        <v>324</v>
      </c>
      <c r="I40" s="49">
        <f t="shared" si="1"/>
        <v>12.971794871794865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41</v>
      </c>
      <c r="B41" s="60">
        <v>242.81538461538463</v>
      </c>
      <c r="C41" s="60">
        <v>4</v>
      </c>
      <c r="D41" s="60">
        <v>58.484615384615381</v>
      </c>
      <c r="E41" s="51" t="s">
        <v>324</v>
      </c>
      <c r="F41" s="51" t="s">
        <v>324</v>
      </c>
      <c r="G41" s="51" t="s">
        <v>324</v>
      </c>
      <c r="H41" s="51" t="s">
        <v>324</v>
      </c>
      <c r="I41" s="53">
        <f t="shared" si="1"/>
        <v>12.74038461538462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291.0846153846154</v>
      </c>
      <c r="C42" s="60">
        <v>5</v>
      </c>
      <c r="D42" s="60">
        <v>55.292307692307688</v>
      </c>
      <c r="E42" s="51" t="s">
        <v>324</v>
      </c>
      <c r="F42" s="51" t="s">
        <v>324</v>
      </c>
      <c r="G42" s="51" t="s">
        <v>324</v>
      </c>
      <c r="H42" s="51" t="s">
        <v>324</v>
      </c>
      <c r="I42" s="53">
        <f t="shared" si="1"/>
        <v>11.861538461538462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60</v>
      </c>
      <c r="B43" s="60">
        <v>342.42307692307691</v>
      </c>
      <c r="C43" s="60">
        <v>6</v>
      </c>
      <c r="D43" s="60">
        <v>54.261538461538464</v>
      </c>
      <c r="E43" s="51" t="s">
        <v>324</v>
      </c>
      <c r="F43" s="51" t="s">
        <v>324</v>
      </c>
      <c r="G43" s="51" t="s">
        <v>324</v>
      </c>
      <c r="H43" s="51" t="s">
        <v>324</v>
      </c>
      <c r="I43" s="49">
        <f t="shared" si="1"/>
        <v>10.66307692307692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70</v>
      </c>
      <c r="B44" s="60">
        <v>379.99230769230769</v>
      </c>
      <c r="C44" s="60">
        <v>7</v>
      </c>
      <c r="D44" s="60">
        <v>52.669230769230765</v>
      </c>
      <c r="E44" s="51" t="s">
        <v>324</v>
      </c>
      <c r="F44" s="51" t="s">
        <v>324</v>
      </c>
      <c r="G44" s="51" t="s">
        <v>324</v>
      </c>
      <c r="H44" s="51" t="s">
        <v>324</v>
      </c>
      <c r="I44" s="49">
        <f t="shared" si="1"/>
        <v>9.1830769230769249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78</v>
      </c>
      <c r="B45" s="60">
        <v>388.59230769230771</v>
      </c>
      <c r="C45" s="60">
        <v>0</v>
      </c>
      <c r="D45" s="60">
        <v>0</v>
      </c>
      <c r="E45" s="51" t="s">
        <v>324</v>
      </c>
      <c r="F45" s="51" t="s">
        <v>324</v>
      </c>
      <c r="G45" s="51" t="s">
        <v>324</v>
      </c>
      <c r="H45" s="51" t="s">
        <v>324</v>
      </c>
      <c r="I45" s="49">
        <f t="shared" si="1"/>
        <v>7.6586538461538467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80</v>
      </c>
      <c r="B46" s="60">
        <v>402.90769230769229</v>
      </c>
      <c r="C46" s="60">
        <v>8</v>
      </c>
      <c r="D46" s="60">
        <v>402.90769230769229</v>
      </c>
      <c r="E46" s="51" t="s">
        <v>324</v>
      </c>
      <c r="F46" s="51" t="s">
        <v>324</v>
      </c>
      <c r="G46" s="51" t="s">
        <v>324</v>
      </c>
      <c r="H46" s="51" t="s">
        <v>324</v>
      </c>
      <c r="I46" s="49">
        <f t="shared" si="1"/>
        <v>7.1576923076922867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30</v>
      </c>
      <c r="B62" s="60">
        <v>216.79230769230767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7.2264102564102561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36</v>
      </c>
      <c r="B63" s="60">
        <v>308.30769230769232</v>
      </c>
      <c r="C63" s="60">
        <v>0</v>
      </c>
      <c r="D63" s="60">
        <v>0</v>
      </c>
      <c r="E63" s="51" t="s">
        <v>324</v>
      </c>
      <c r="F63" s="51" t="s">
        <v>324</v>
      </c>
      <c r="G63" s="51" t="s">
        <v>324</v>
      </c>
      <c r="H63" s="51" t="s">
        <v>324</v>
      </c>
      <c r="I63" s="49">
        <f>IF(A63&lt;&gt;0,(B63-(B62-D62))/(A63-A62),"")</f>
        <v>15.252564102564108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42</v>
      </c>
      <c r="B64" s="60">
        <v>410.3692307692308</v>
      </c>
      <c r="C64" s="60">
        <v>1</v>
      </c>
      <c r="D64" s="60">
        <v>179.84615384615384</v>
      </c>
      <c r="E64" s="51"/>
      <c r="F64" s="51" t="s">
        <v>324</v>
      </c>
      <c r="G64" s="51" t="s">
        <v>324</v>
      </c>
      <c r="H64" s="51" t="s">
        <v>324</v>
      </c>
      <c r="I64" s="49">
        <f>IF(A64&lt;&gt;0,(B64-(B63-D63))/(A64-A63),"")</f>
        <v>17.010256410256414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46</v>
      </c>
      <c r="B65" s="60">
        <v>292.92307692307691</v>
      </c>
      <c r="C65" s="60">
        <v>0</v>
      </c>
      <c r="D65" s="60">
        <v>0</v>
      </c>
      <c r="E65" s="51"/>
      <c r="F65" s="51" t="s">
        <v>324</v>
      </c>
      <c r="G65" s="51" t="s">
        <v>324</v>
      </c>
      <c r="H65" s="51" t="s">
        <v>324</v>
      </c>
      <c r="I65" s="49">
        <f>IF(A65&lt;&gt;0,(B65-(B64-D64))/(A65-A64),"")</f>
        <v>15.599999999999987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49</v>
      </c>
      <c r="B66" s="60">
        <v>339.85384615384612</v>
      </c>
      <c r="C66" s="60">
        <v>2</v>
      </c>
      <c r="D66" s="60">
        <v>94.476923076923072</v>
      </c>
      <c r="E66" s="51"/>
      <c r="F66" s="51" t="s">
        <v>324</v>
      </c>
      <c r="G66" s="51" t="s">
        <v>324</v>
      </c>
      <c r="H66" s="51" t="s">
        <v>324</v>
      </c>
      <c r="I66" s="49">
        <f t="shared" ref="I66:I81" si="2">IF(A66&lt;&gt;0,(B66-(B65-D65))/(A66-A65),"")</f>
        <v>15.643589743589738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53</v>
      </c>
      <c r="B67" s="60">
        <v>303.03076923076924</v>
      </c>
      <c r="C67" s="60">
        <v>0</v>
      </c>
      <c r="D67" s="60">
        <v>0</v>
      </c>
      <c r="E67" s="51"/>
      <c r="F67" s="51" t="s">
        <v>324</v>
      </c>
      <c r="G67" s="51" t="s">
        <v>324</v>
      </c>
      <c r="H67" s="51" t="s">
        <v>324</v>
      </c>
      <c r="I67" s="49">
        <f t="shared" si="2"/>
        <v>14.413461538461547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56</v>
      </c>
      <c r="B68" s="60">
        <v>348.05384615384617</v>
      </c>
      <c r="C68" s="60">
        <v>3</v>
      </c>
      <c r="D68" s="60">
        <v>72.769230769230759</v>
      </c>
      <c r="E68" s="51"/>
      <c r="F68" s="51" t="s">
        <v>324</v>
      </c>
      <c r="G68" s="51" t="s">
        <v>324</v>
      </c>
      <c r="H68" s="51" t="s">
        <v>324</v>
      </c>
      <c r="I68" s="49">
        <f t="shared" si="2"/>
        <v>15.007692307692309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60</v>
      </c>
      <c r="B69" s="50">
        <v>331.52307692307693</v>
      </c>
      <c r="C69" s="50">
        <v>0</v>
      </c>
      <c r="D69" s="50">
        <v>0</v>
      </c>
      <c r="E69" s="51"/>
      <c r="F69" s="51" t="s">
        <v>324</v>
      </c>
      <c r="G69" s="51" t="s">
        <v>324</v>
      </c>
      <c r="H69" s="51" t="s">
        <v>324</v>
      </c>
      <c r="I69" s="49">
        <f t="shared" si="2"/>
        <v>14.059615384615384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63</v>
      </c>
      <c r="B70" s="50">
        <v>375.17692307692306</v>
      </c>
      <c r="C70" s="50">
        <v>4</v>
      </c>
      <c r="D70" s="50">
        <v>71.123076923076923</v>
      </c>
      <c r="E70" s="51"/>
      <c r="F70" s="51" t="s">
        <v>324</v>
      </c>
      <c r="G70" s="51" t="s">
        <v>324</v>
      </c>
      <c r="H70" s="51" t="s">
        <v>324</v>
      </c>
      <c r="I70" s="49">
        <f t="shared" si="2"/>
        <v>14.551282051282044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67</v>
      </c>
      <c r="B71" s="50">
        <v>358.25384615384615</v>
      </c>
      <c r="C71" s="50">
        <v>0</v>
      </c>
      <c r="D71" s="50">
        <v>0</v>
      </c>
      <c r="E71" s="51"/>
      <c r="F71" s="51" t="s">
        <v>324</v>
      </c>
      <c r="G71" s="51" t="s">
        <v>324</v>
      </c>
      <c r="H71" s="51" t="s">
        <v>324</v>
      </c>
      <c r="I71" s="49">
        <f t="shared" si="2"/>
        <v>13.549999999999997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71</v>
      </c>
      <c r="B72" s="50">
        <v>413.95384615384614</v>
      </c>
      <c r="C72" s="50">
        <v>5</v>
      </c>
      <c r="D72" s="50">
        <v>80.399999999999991</v>
      </c>
      <c r="E72" s="51"/>
      <c r="F72" s="51" t="s">
        <v>324</v>
      </c>
      <c r="G72" s="51" t="s">
        <v>324</v>
      </c>
      <c r="H72" s="51" t="s">
        <v>324</v>
      </c>
      <c r="I72" s="49">
        <f t="shared" si="2"/>
        <v>13.924999999999997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384.68461538461537</v>
      </c>
      <c r="C73" s="50">
        <v>0</v>
      </c>
      <c r="D73" s="50">
        <v>0</v>
      </c>
      <c r="E73" s="51"/>
      <c r="F73" s="51" t="s">
        <v>324</v>
      </c>
      <c r="G73" s="51" t="s">
        <v>324</v>
      </c>
      <c r="H73" s="51" t="s">
        <v>324</v>
      </c>
      <c r="I73" s="49">
        <f t="shared" si="2"/>
        <v>12.782692307692301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79</v>
      </c>
      <c r="B74" s="50">
        <v>436.86153846153843</v>
      </c>
      <c r="C74" s="50">
        <v>6</v>
      </c>
      <c r="D74" s="50">
        <v>77.338461538461544</v>
      </c>
      <c r="E74" s="51"/>
      <c r="F74" s="51" t="s">
        <v>324</v>
      </c>
      <c r="G74" s="51" t="s">
        <v>324</v>
      </c>
      <c r="H74" s="51" t="s">
        <v>324</v>
      </c>
      <c r="I74" s="49">
        <f t="shared" si="2"/>
        <v>13.044230769230765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83</v>
      </c>
      <c r="B75" s="50">
        <v>407.73846153846148</v>
      </c>
      <c r="C75" s="50">
        <v>0</v>
      </c>
      <c r="D75" s="50">
        <v>0</v>
      </c>
      <c r="E75" s="51"/>
      <c r="F75" s="51" t="s">
        <v>324</v>
      </c>
      <c r="G75" s="51" t="s">
        <v>324</v>
      </c>
      <c r="H75" s="51" t="s">
        <v>324</v>
      </c>
      <c r="I75" s="49">
        <f t="shared" si="2"/>
        <v>12.053846153846152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87</v>
      </c>
      <c r="B76" s="50">
        <v>456.51538461538462</v>
      </c>
      <c r="C76" s="50">
        <v>7</v>
      </c>
      <c r="D76" s="50">
        <v>77.330769230769235</v>
      </c>
      <c r="E76" s="51"/>
      <c r="F76" s="51" t="s">
        <v>324</v>
      </c>
      <c r="G76" s="51" t="s">
        <v>324</v>
      </c>
      <c r="H76" s="51" t="s">
        <v>324</v>
      </c>
      <c r="I76" s="49">
        <f t="shared" si="2"/>
        <v>12.194230769230785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91</v>
      </c>
      <c r="B77" s="50">
        <v>423.99230769230775</v>
      </c>
      <c r="C77" s="50">
        <v>0</v>
      </c>
      <c r="D77" s="50">
        <v>0</v>
      </c>
      <c r="E77" s="51"/>
      <c r="F77" s="51" t="s">
        <v>324</v>
      </c>
      <c r="G77" s="51" t="s">
        <v>324</v>
      </c>
      <c r="H77" s="51" t="s">
        <v>324</v>
      </c>
      <c r="I77" s="49">
        <f t="shared" si="2"/>
        <v>11.201923076923094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95</v>
      </c>
      <c r="B78" s="50">
        <v>469.12307692307689</v>
      </c>
      <c r="C78" s="50">
        <v>8</v>
      </c>
      <c r="D78" s="50">
        <v>234.42307692307691</v>
      </c>
      <c r="E78" s="51"/>
      <c r="F78" s="51" t="s">
        <v>324</v>
      </c>
      <c r="G78" s="51" t="s">
        <v>324</v>
      </c>
      <c r="H78" s="51" t="s">
        <v>324</v>
      </c>
      <c r="I78" s="49">
        <f t="shared" si="2"/>
        <v>11.282692307692287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100</v>
      </c>
      <c r="B79" s="50">
        <v>272.35384615384612</v>
      </c>
      <c r="C79" s="50">
        <v>0</v>
      </c>
      <c r="D79" s="50">
        <v>0</v>
      </c>
      <c r="E79" s="51"/>
      <c r="F79" s="51" t="s">
        <v>324</v>
      </c>
      <c r="G79" s="51" t="s">
        <v>324</v>
      </c>
      <c r="H79" s="51" t="s">
        <v>324</v>
      </c>
      <c r="I79" s="49">
        <f t="shared" si="2"/>
        <v>7.5307692307692262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105</v>
      </c>
      <c r="B80" s="50">
        <v>309.71538461538461</v>
      </c>
      <c r="C80" s="50">
        <v>9</v>
      </c>
      <c r="D80" s="50">
        <v>309.71538461538461</v>
      </c>
      <c r="E80" s="51"/>
      <c r="F80" s="51" t="s">
        <v>324</v>
      </c>
      <c r="G80" s="51" t="s">
        <v>324</v>
      </c>
      <c r="H80" s="51" t="s">
        <v>324</v>
      </c>
      <c r="I80" s="49">
        <f t="shared" si="2"/>
        <v>7.4723076923076972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215.55381529099924</v>
      </c>
      <c r="T3" s="59">
        <f>IF('Données projet'!E9&gt;30,$R$33-$H$33,LOOKUP('Données projet'!$E$9,$A$3:$A$203,R3:R203)-LOOKUP('Données projet'!$E$9,$A$3:$A$203,$H$3:$H$203))</f>
        <v>158.77848520346532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205.31676282910638</v>
      </c>
      <c r="AO3" s="59">
        <f>IF('Données projet'!E10&gt;30,$AM$33-$H$33,LOOKUP('Données projet'!$E$10,$A$3:$A$203,AM3:AM203)-LOOKUP('Données projet'!$E$10,$A$3:$A$203,$H$3:$H$203))</f>
        <v>190.64998698136026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2.3805128205128203</v>
      </c>
      <c r="N4" s="13">
        <f>IF('Données projet'!$A$36&gt;35,N3+M4-V3,IF(A4&lt;'Données projet'!$A$36,$K$205^A4,IF(A4='Données projet'!$A$36,'Données projet'!$B$36,N3+M4-V3)))</f>
        <v>1.2691631451226497</v>
      </c>
      <c r="O4" s="13">
        <f>N4*VLOOKUP('Données projet'!$B$9,Paramètres!$A$1:$I$89,3,0)*VLOOKUP('Données projet'!$B$9,Paramètres!$A$1:$I$89,5,0)</f>
        <v>0.75895956078334459</v>
      </c>
      <c r="P4" s="13">
        <f>EXP(-1.0587+0.8836*LN(O4)+0.284)</f>
        <v>0.36117131619841292</v>
      </c>
      <c r="Q4" s="20">
        <f t="shared" ref="Q4:Q34" si="2">(O4+P4)*0.475*44/12</f>
        <v>1.9508946107432275</v>
      </c>
      <c r="R4" s="59">
        <f t="shared" si="0"/>
        <v>295.28422794407652</v>
      </c>
      <c r="S4" s="59">
        <f ca="1">AVERAGE(OFFSET($R$3,0,0,'Données projet'!$E$9+1,1))-AVERAGE(OFFSET($H$3,0,0,'Données projet'!$E$9+1,1))</f>
        <v>215.55381529099924</v>
      </c>
      <c r="T4" s="59">
        <f>$T$3</f>
        <v>158.77848520346532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7.2264102564102561</v>
      </c>
      <c r="AI4" s="13">
        <f>IF('Données projet'!$A$62&gt;35,AI3+AH4-AQ3,IF(A4&lt;'Données projet'!$A$62,$AF$205^A4,IF(A4='Données projet'!$A$62,'Données projet'!$B$62,AI3+AH4-AQ3)))</f>
        <v>1.1963772029987372</v>
      </c>
      <c r="AJ4" s="13">
        <f>AI4*VLOOKUP('Données projet'!$B$10,Paramètres!$A$1:$I$89,3,0)*VLOOKUP('Données projet'!$B$10,Paramètres!$A$1:$I$89,5,0)</f>
        <v>0.55990453100340898</v>
      </c>
      <c r="AK4" s="13">
        <f>EXP(-1.0587+0.8836*LN(AJ4)+0.284)</f>
        <v>0.2760486193577778</v>
      </c>
      <c r="AL4" s="20">
        <f t="shared" ref="AL4:AL67" si="4">(AJ4+AK4)*0.475*44/12</f>
        <v>1.4559517368790669</v>
      </c>
      <c r="AM4" s="59">
        <f t="shared" ref="AM4:AM67" si="5">AL4+(AD4+AE4)*44/12</f>
        <v>294.78928507021237</v>
      </c>
      <c r="AN4" s="59">
        <f ca="1">AVERAGE(OFFSET($AM$3,0,0,'Données projet'!$E$10+1,1))-AVERAGE(OFFSET($H$3,0,0,'Données projet'!$E$10+1,1))</f>
        <v>205.31676282910638</v>
      </c>
      <c r="AO4" s="59">
        <f>$AO$3</f>
        <v>190.64998698136026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2.3805128205128203</v>
      </c>
      <c r="N5" s="13">
        <f>IF('Données projet'!$A$36&gt;35,N4+M5-V4,IF(A5&lt;'Données projet'!$A$36,$K$205^A5,IF(A5='Données projet'!$A$36,'Données projet'!$B$36,N4+M5-V4)))</f>
        <v>1.610775088937616</v>
      </c>
      <c r="O5" s="13">
        <f>N5*VLOOKUP('Données projet'!$B$9,Paramètres!$A$1:$I$89,3,0)*VLOOKUP('Données projet'!$B$9,Paramètres!$A$1:$I$89,5,0)</f>
        <v>0.96324350318469443</v>
      </c>
      <c r="P5" s="13">
        <f t="shared" ref="P5:P68" si="33">EXP(-1.0587+0.8836*LN(O5)+0.284)</f>
        <v>0.44584230224208238</v>
      </c>
      <c r="Q5" s="20">
        <f t="shared" si="2"/>
        <v>2.4541577777849692</v>
      </c>
      <c r="R5" s="59">
        <f t="shared" si="0"/>
        <v>295.7874911111183</v>
      </c>
      <c r="S5" s="59">
        <f ca="1">AVERAGE(OFFSET($R$3,0,0,'Données projet'!$E$9+1,1))-AVERAGE(OFFSET($H$3,0,0,'Données projet'!$E$9+1,1))</f>
        <v>215.55381529099924</v>
      </c>
      <c r="T5" s="59">
        <f t="shared" ref="T5:T68" si="34">$T$3</f>
        <v>158.77848520346532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7.2264102564102561</v>
      </c>
      <c r="AI5" s="13">
        <f>IF('Données projet'!$A$62&gt;35,AI4+AH5-AQ4,IF(A5&lt;'Données projet'!$A$62,$AF$205^A5,IF(A5='Données projet'!$A$62,'Données projet'!$B$62,AI4+AH5-AQ4)))</f>
        <v>1.4313184118550817</v>
      </c>
      <c r="AJ5" s="13">
        <f>AI5*VLOOKUP('Données projet'!$B$10,Paramètres!$A$1:$I$89,3,0)*VLOOKUP('Données projet'!$B$10,Paramètres!$A$1:$I$89,5,0)</f>
        <v>0.66985701674817832</v>
      </c>
      <c r="AK5" s="13">
        <f t="shared" ref="AK5:AK68" si="35">EXP(-1.0587+0.8836*LN(AJ5)+0.284)</f>
        <v>0.32343711768198868</v>
      </c>
      <c r="AL5" s="20">
        <f t="shared" si="4"/>
        <v>1.729987284132541</v>
      </c>
      <c r="AM5" s="59">
        <f t="shared" si="5"/>
        <v>295.06332061746588</v>
      </c>
      <c r="AN5" s="59">
        <f ca="1">AVERAGE(OFFSET($AM$3,0,0,'Données projet'!$E$10+1,1))-AVERAGE(OFFSET($H$3,0,0,'Données projet'!$E$10+1,1))</f>
        <v>205.31676282910638</v>
      </c>
      <c r="AO5" s="59">
        <f t="shared" ref="AO5:AO68" si="36">$AO$3</f>
        <v>190.64998698136026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2.3805128205128203</v>
      </c>
      <c r="N6" s="13">
        <f>IF('Données projet'!$A$36&gt;35,N5+M6-V5,IF(A6&lt;'Données projet'!$A$36,$K$205^A6,IF(A6='Données projet'!$A$36,'Données projet'!$B$36,N5+M6-V5)))</f>
        <v>2.0443363779612804</v>
      </c>
      <c r="O6" s="13">
        <f>N6*VLOOKUP('Données projet'!$B$9,Paramètres!$A$1:$I$89,3,0)*VLOOKUP('Données projet'!$B$9,Paramètres!$A$1:$I$89,5,0)</f>
        <v>1.2225131540208458</v>
      </c>
      <c r="P6" s="13">
        <f t="shared" si="33"/>
        <v>0.55036308132321654</v>
      </c>
      <c r="Q6" s="20">
        <f t="shared" si="2"/>
        <v>3.0877594432242415</v>
      </c>
      <c r="R6" s="59">
        <f t="shared" si="0"/>
        <v>296.42109277655754</v>
      </c>
      <c r="S6" s="59">
        <f ca="1">AVERAGE(OFFSET($R$3,0,0,'Données projet'!$E$9+1,1))-AVERAGE(OFFSET($H$3,0,0,'Données projet'!$E$9+1,1))</f>
        <v>215.55381529099924</v>
      </c>
      <c r="T6" s="59">
        <f t="shared" si="34"/>
        <v>158.77848520346532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7.2264102564102561</v>
      </c>
      <c r="AI6" s="13">
        <f>IF('Données projet'!$A$62&gt;35,AI5+AH6-AQ5,IF(A6&lt;'Données projet'!$A$62,$AF$205^A6,IF(A6='Données projet'!$A$62,'Données projet'!$B$62,AI5+AH6-AQ5)))</f>
        <v>1.7123967181757771</v>
      </c>
      <c r="AJ6" s="13">
        <f>AI6*VLOOKUP('Données projet'!$B$10,Paramètres!$A$1:$I$89,3,0)*VLOOKUP('Données projet'!$B$10,Paramètres!$A$1:$I$89,5,0)</f>
        <v>0.80140166410626379</v>
      </c>
      <c r="AK6" s="13">
        <f t="shared" si="35"/>
        <v>0.37896066764546593</v>
      </c>
      <c r="AL6" s="20">
        <f t="shared" si="4"/>
        <v>2.0557977278009294</v>
      </c>
      <c r="AM6" s="59">
        <f t="shared" si="5"/>
        <v>295.38913106113426</v>
      </c>
      <c r="AN6" s="59">
        <f ca="1">AVERAGE(OFFSET($AM$3,0,0,'Données projet'!$E$10+1,1))-AVERAGE(OFFSET($H$3,0,0,'Données projet'!$E$10+1,1))</f>
        <v>205.31676282910638</v>
      </c>
      <c r="AO6" s="59">
        <f t="shared" si="36"/>
        <v>190.64998698136026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2.3805128205128203</v>
      </c>
      <c r="N7" s="13">
        <f>IF('Données projet'!$A$36&gt;35,N6+M7-V6,IF(A7&lt;'Données projet'!$A$36,$K$205^A7,IF(A7='Données projet'!$A$36,'Données projet'!$B$36,N6+M7-V6)))</f>
        <v>2.5945963871419848</v>
      </c>
      <c r="O7" s="13">
        <f>N7*VLOOKUP('Données projet'!$B$9,Paramètres!$A$1:$I$89,3,0)*VLOOKUP('Données projet'!$B$9,Paramètres!$A$1:$I$89,5,0)</f>
        <v>1.551568639510907</v>
      </c>
      <c r="P7" s="13">
        <f t="shared" si="33"/>
        <v>0.67938712805030732</v>
      </c>
      <c r="Q7" s="20">
        <f t="shared" si="2"/>
        <v>3.8855812951691147</v>
      </c>
      <c r="R7" s="59">
        <f t="shared" si="0"/>
        <v>297.21891462850243</v>
      </c>
      <c r="S7" s="59">
        <f ca="1">AVERAGE(OFFSET($R$3,0,0,'Données projet'!$E$9+1,1))-AVERAGE(OFFSET($H$3,0,0,'Données projet'!$E$9+1,1))</f>
        <v>215.55381529099924</v>
      </c>
      <c r="T7" s="59">
        <f t="shared" si="34"/>
        <v>158.77848520346532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7.2264102564102561</v>
      </c>
      <c r="AI7" s="13">
        <f>IF('Données projet'!$A$62&gt;35,AI6+AH7-AQ6,IF(A7&lt;'Données projet'!$A$62,$AF$205^A7,IF(A7='Données projet'!$A$62,'Données projet'!$B$62,AI6+AH7-AQ6)))</f>
        <v>2.0486723961153532</v>
      </c>
      <c r="AJ7" s="13">
        <f>AI7*VLOOKUP('Données projet'!$B$10,Paramètres!$A$1:$I$89,3,0)*VLOOKUP('Données projet'!$B$10,Paramètres!$A$1:$I$89,5,0)</f>
        <v>0.95877868138198519</v>
      </c>
      <c r="AK7" s="13">
        <f t="shared" si="35"/>
        <v>0.44401579092570115</v>
      </c>
      <c r="AL7" s="20">
        <f t="shared" si="4"/>
        <v>2.4432003726025537</v>
      </c>
      <c r="AM7" s="59">
        <f t="shared" si="5"/>
        <v>295.77653370593589</v>
      </c>
      <c r="AN7" s="59">
        <f ca="1">AVERAGE(OFFSET($AM$3,0,0,'Données projet'!$E$10+1,1))-AVERAGE(OFFSET($H$3,0,0,'Données projet'!$E$10+1,1))</f>
        <v>205.31676282910638</v>
      </c>
      <c r="AO7" s="59">
        <f t="shared" si="36"/>
        <v>190.64998698136026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2.3805128205128203</v>
      </c>
      <c r="N8" s="13">
        <f>IF('Données projet'!$A$36&gt;35,N7+M8-V7,IF(A8&lt;'Données projet'!$A$36,$K$205^A8,IF(A8='Données projet'!$A$36,'Données projet'!$B$36,N7+M8-V7)))</f>
        <v>3.2929661110289854</v>
      </c>
      <c r="O8" s="13">
        <f>N8*VLOOKUP('Données projet'!$B$9,Paramètres!$A$1:$I$89,3,0)*VLOOKUP('Données projet'!$B$9,Paramètres!$A$1:$I$89,5,0)</f>
        <v>1.9691937343953334</v>
      </c>
      <c r="P8" s="13">
        <f t="shared" si="33"/>
        <v>0.83865885162703413</v>
      </c>
      <c r="Q8" s="20">
        <f t="shared" si="2"/>
        <v>4.8903432539889566</v>
      </c>
      <c r="R8" s="59">
        <f t="shared" si="0"/>
        <v>298.22367658732225</v>
      </c>
      <c r="S8" s="59">
        <f ca="1">AVERAGE(OFFSET($R$3,0,0,'Données projet'!$E$9+1,1))-AVERAGE(OFFSET($H$3,0,0,'Données projet'!$E$9+1,1))</f>
        <v>215.55381529099924</v>
      </c>
      <c r="T8" s="59">
        <f t="shared" si="34"/>
        <v>158.77848520346532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7.2264102564102561</v>
      </c>
      <c r="AI8" s="13">
        <f>IF('Données projet'!$A$62&gt;35,AI7+AH8-AQ7,IF(A8&lt;'Données projet'!$A$62,$AF$205^A8,IF(A8='Données projet'!$A$62,'Données projet'!$B$62,AI7+AH8-AQ7)))</f>
        <v>2.4509849511252071</v>
      </c>
      <c r="AJ8" s="13">
        <f>AI8*VLOOKUP('Données projet'!$B$10,Paramètres!$A$1:$I$89,3,0)*VLOOKUP('Données projet'!$B$10,Paramètres!$A$1:$I$89,5,0)</f>
        <v>1.1470609571265968</v>
      </c>
      <c r="AK8" s="13">
        <f t="shared" si="35"/>
        <v>0.52023874619045773</v>
      </c>
      <c r="AL8" s="20">
        <f t="shared" si="4"/>
        <v>2.9038803166105365</v>
      </c>
      <c r="AM8" s="59">
        <f t="shared" si="5"/>
        <v>296.23721364994384</v>
      </c>
      <c r="AN8" s="59">
        <f ca="1">AVERAGE(OFFSET($AM$3,0,0,'Données projet'!$E$10+1,1))-AVERAGE(OFFSET($H$3,0,0,'Données projet'!$E$10+1,1))</f>
        <v>205.31676282910638</v>
      </c>
      <c r="AO8" s="59">
        <f t="shared" si="36"/>
        <v>190.64998698136026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2.3805128205128203</v>
      </c>
      <c r="N9" s="13">
        <f>IF('Données projet'!$A$36&gt;35,N8+M9-V8,IF(A9&lt;'Données projet'!$A$36,$K$205^A9,IF(A9='Données projet'!$A$36,'Données projet'!$B$36,N8+M9-V8)))</f>
        <v>4.1793112262558481</v>
      </c>
      <c r="O9" s="13">
        <f>N9*VLOOKUP('Données projet'!$B$9,Paramètres!$A$1:$I$89,3,0)*VLOOKUP('Données projet'!$B$9,Paramètres!$A$1:$I$89,5,0)</f>
        <v>2.4992281133009975</v>
      </c>
      <c r="P9" s="13">
        <f t="shared" si="33"/>
        <v>1.0352693484653335</v>
      </c>
      <c r="Q9" s="20">
        <f t="shared" si="2"/>
        <v>6.1559164125763592</v>
      </c>
      <c r="R9" s="59">
        <f t="shared" si="0"/>
        <v>299.48924974590966</v>
      </c>
      <c r="S9" s="59">
        <f ca="1">AVERAGE(OFFSET($R$3,0,0,'Données projet'!$E$9+1,1))-AVERAGE(OFFSET($H$3,0,0,'Données projet'!$E$9+1,1))</f>
        <v>215.55381529099924</v>
      </c>
      <c r="T9" s="59">
        <f t="shared" si="34"/>
        <v>158.77848520346532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7.2264102564102561</v>
      </c>
      <c r="AI9" s="13">
        <f>IF('Données projet'!$A$62&gt;35,AI8+AH9-AQ8,IF(A9&lt;'Données projet'!$A$62,$AF$205^A9,IF(A9='Données projet'!$A$62,'Données projet'!$B$62,AI8+AH9-AQ8)))</f>
        <v>2.9323025204191722</v>
      </c>
      <c r="AJ9" s="13">
        <f>AI9*VLOOKUP('Données projet'!$B$10,Paramètres!$A$1:$I$89,3,0)*VLOOKUP('Données projet'!$B$10,Paramètres!$A$1:$I$89,5,0)</f>
        <v>1.3723175795561726</v>
      </c>
      <c r="AK9" s="13">
        <f t="shared" si="35"/>
        <v>0.60954668407977464</v>
      </c>
      <c r="AL9" s="20">
        <f t="shared" si="4"/>
        <v>3.4517469258326074</v>
      </c>
      <c r="AM9" s="59">
        <f t="shared" si="5"/>
        <v>296.78508025916591</v>
      </c>
      <c r="AN9" s="59">
        <f ca="1">AVERAGE(OFFSET($AM$3,0,0,'Données projet'!$E$10+1,1))-AVERAGE(OFFSET($H$3,0,0,'Données projet'!$E$10+1,1))</f>
        <v>205.31676282910638</v>
      </c>
      <c r="AO9" s="59">
        <f t="shared" si="36"/>
        <v>190.64998698136026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2.3805128205128203</v>
      </c>
      <c r="N10" s="13">
        <f>IF('Données projet'!$A$36&gt;35,N9+M10-V9,IF(A10&lt;'Données projet'!$A$36,$K$205^A10,IF(A10='Données projet'!$A$36,'Données projet'!$B$36,N9+M10-V9)))</f>
        <v>5.304227780361269</v>
      </c>
      <c r="O10" s="13">
        <f>N10*VLOOKUP('Données projet'!$B$9,Paramètres!$A$1:$I$89,3,0)*VLOOKUP('Données projet'!$B$9,Paramètres!$A$1:$I$89,5,0)</f>
        <v>3.1719282126560389</v>
      </c>
      <c r="P10" s="13">
        <f t="shared" si="33"/>
        <v>1.2779721120125676</v>
      </c>
      <c r="Q10" s="20">
        <f t="shared" si="2"/>
        <v>7.7502430654644883</v>
      </c>
      <c r="R10" s="59">
        <f t="shared" si="0"/>
        <v>301.08357639879779</v>
      </c>
      <c r="S10" s="59">
        <f ca="1">AVERAGE(OFFSET($R$3,0,0,'Données projet'!$E$9+1,1))-AVERAGE(OFFSET($H$3,0,0,'Données projet'!$E$9+1,1))</f>
        <v>215.55381529099924</v>
      </c>
      <c r="T10" s="59">
        <f t="shared" si="34"/>
        <v>158.77848520346532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7.2264102564102561</v>
      </c>
      <c r="AI10" s="13">
        <f>IF('Données projet'!$A$62&gt;35,AI9+AH10-AQ9,IF(A10&lt;'Données projet'!$A$62,$AF$205^A10,IF(A10='Données projet'!$A$62,'Données projet'!$B$62,AI9+AH10-AQ9)))</f>
        <v>3.5081398877252363</v>
      </c>
      <c r="AJ10" s="13">
        <f>AI10*VLOOKUP('Données projet'!$B$10,Paramètres!$A$1:$I$89,3,0)*VLOOKUP('Données projet'!$B$10,Paramètres!$A$1:$I$89,5,0)</f>
        <v>1.6418094674554107</v>
      </c>
      <c r="AK10" s="13">
        <f t="shared" si="35"/>
        <v>0.71418586714920729</v>
      </c>
      <c r="AL10" s="20">
        <f t="shared" si="4"/>
        <v>4.1033585411030424</v>
      </c>
      <c r="AM10" s="59">
        <f t="shared" si="5"/>
        <v>297.43669187443635</v>
      </c>
      <c r="AN10" s="59">
        <f ca="1">AVERAGE(OFFSET($AM$3,0,0,'Données projet'!$E$10+1,1))-AVERAGE(OFFSET($H$3,0,0,'Données projet'!$E$10+1,1))</f>
        <v>205.31676282910638</v>
      </c>
      <c r="AO10" s="59">
        <f t="shared" si="36"/>
        <v>190.64998698136026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2.3805128205128203</v>
      </c>
      <c r="N11" s="13">
        <f>IF('Données projet'!$A$36&gt;35,N10+M11-V10,IF(A11&lt;'Données projet'!$A$36,$K$205^A11,IF(A11='Données projet'!$A$36,'Données projet'!$B$36,N10+M11-V10)))</f>
        <v>6.7319304121702404</v>
      </c>
      <c r="O11" s="13">
        <f>N11*VLOOKUP('Données projet'!$B$9,Paramètres!$A$1:$I$89,3,0)*VLOOKUP('Données projet'!$B$9,Paramètres!$A$1:$I$89,5,0)</f>
        <v>4.0256943864778041</v>
      </c>
      <c r="P11" s="13">
        <f t="shared" si="33"/>
        <v>1.5775727558271786</v>
      </c>
      <c r="Q11" s="20">
        <f t="shared" si="2"/>
        <v>9.759023606181179</v>
      </c>
      <c r="R11" s="59">
        <f t="shared" si="0"/>
        <v>303.0923569395145</v>
      </c>
      <c r="S11" s="59">
        <f ca="1">AVERAGE(OFFSET($R$3,0,0,'Données projet'!$E$9+1,1))-AVERAGE(OFFSET($H$3,0,0,'Données projet'!$E$9+1,1))</f>
        <v>215.55381529099924</v>
      </c>
      <c r="T11" s="59">
        <f t="shared" si="34"/>
        <v>158.77848520346532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7.2264102564102561</v>
      </c>
      <c r="AI11" s="13">
        <f>IF('Données projet'!$A$62&gt;35,AI10+AH11-AQ10,IF(A11&lt;'Données projet'!$A$62,$AF$205^A11,IF(A11='Données projet'!$A$62,'Données projet'!$B$62,AI10+AH11-AQ10)))</f>
        <v>4.1970585866050225</v>
      </c>
      <c r="AJ11" s="13">
        <f>AI11*VLOOKUP('Données projet'!$B$10,Paramètres!$A$1:$I$89,3,0)*VLOOKUP('Données projet'!$B$10,Paramètres!$A$1:$I$89,5,0)</f>
        <v>1.9642234185311505</v>
      </c>
      <c r="AK11" s="13">
        <f t="shared" si="35"/>
        <v>0.83678816759654573</v>
      </c>
      <c r="AL11" s="20">
        <f t="shared" si="4"/>
        <v>4.8784285125057369</v>
      </c>
      <c r="AM11" s="59">
        <f t="shared" si="5"/>
        <v>298.21176184583908</v>
      </c>
      <c r="AN11" s="59">
        <f ca="1">AVERAGE(OFFSET($AM$3,0,0,'Données projet'!$E$10+1,1))-AVERAGE(OFFSET($H$3,0,0,'Données projet'!$E$10+1,1))</f>
        <v>205.31676282910638</v>
      </c>
      <c r="AO11" s="59">
        <f t="shared" si="36"/>
        <v>190.64998698136026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2.3805128205128203</v>
      </c>
      <c r="N12" s="13">
        <f>IF('Données projet'!$A$36&gt;35,N11+M12-V11,IF(A12&lt;'Données projet'!$A$36,$K$205^A12,IF(A12='Données projet'!$A$36,'Données projet'!$B$36,N11+M12-V11)))</f>
        <v>8.5439179746567984</v>
      </c>
      <c r="O12" s="13">
        <f>N12*VLOOKUP('Données projet'!$B$9,Paramètres!$A$1:$I$89,3,0)*VLOOKUP('Données projet'!$B$9,Paramètres!$A$1:$I$89,5,0)</f>
        <v>5.1092629488447656</v>
      </c>
      <c r="P12" s="13">
        <f t="shared" si="33"/>
        <v>1.9474101011553873</v>
      </c>
      <c r="Q12" s="20">
        <f t="shared" si="2"/>
        <v>12.290372228750266</v>
      </c>
      <c r="R12" s="59">
        <f t="shared" si="0"/>
        <v>305.62370556208356</v>
      </c>
      <c r="S12" s="59">
        <f ca="1">AVERAGE(OFFSET($R$3,0,0,'Données projet'!$E$9+1,1))-AVERAGE(OFFSET($H$3,0,0,'Données projet'!$E$9+1,1))</f>
        <v>215.55381529099924</v>
      </c>
      <c r="T12" s="59">
        <f t="shared" si="34"/>
        <v>158.77848520346532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7.2264102564102561</v>
      </c>
      <c r="AI12" s="13">
        <f>IF('Données projet'!$A$62&gt;35,AI11+AH12-AQ11,IF(A12&lt;'Données projet'!$A$62,$AF$205^A12,IF(A12='Données projet'!$A$62,'Données projet'!$B$62,AI11+AH12-AQ11)))</f>
        <v>5.0212652126643498</v>
      </c>
      <c r="AJ12" s="13">
        <f>AI12*VLOOKUP('Données projet'!$B$10,Paramètres!$A$1:$I$89,3,0)*VLOOKUP('Données projet'!$B$10,Paramètres!$A$1:$I$89,5,0)</f>
        <v>2.349952119526916</v>
      </c>
      <c r="AK12" s="13">
        <f t="shared" si="35"/>
        <v>0.98043726379605944</v>
      </c>
      <c r="AL12" s="20">
        <f t="shared" si="4"/>
        <v>5.8004281759541811</v>
      </c>
      <c r="AM12" s="59">
        <f t="shared" si="5"/>
        <v>299.13376150928752</v>
      </c>
      <c r="AN12" s="59">
        <f ca="1">AVERAGE(OFFSET($AM$3,0,0,'Données projet'!$E$10+1,1))-AVERAGE(OFFSET($H$3,0,0,'Données projet'!$E$10+1,1))</f>
        <v>205.31676282910638</v>
      </c>
      <c r="AO12" s="59">
        <f t="shared" si="36"/>
        <v>190.64998698136026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2.3805128205128203</v>
      </c>
      <c r="N13" s="13">
        <f>IF('Données projet'!$A$36&gt;35,N12+M13-V12,IF(A13&lt;'Données projet'!$A$36,$K$205^A13,IF(A13='Données projet'!$A$36,'Données projet'!$B$36,N12+M13-V12)))</f>
        <v>10.843625808385362</v>
      </c>
      <c r="O13" s="13">
        <f>N13*VLOOKUP('Données projet'!$B$9,Paramètres!$A$1:$I$89,3,0)*VLOOKUP('Données projet'!$B$9,Paramètres!$A$1:$I$89,5,0)</f>
        <v>6.4844882334144467</v>
      </c>
      <c r="P13" s="13">
        <f t="shared" si="33"/>
        <v>2.4039500479922649</v>
      </c>
      <c r="Q13" s="20">
        <f t="shared" si="2"/>
        <v>15.480696673450021</v>
      </c>
      <c r="R13" s="59">
        <f t="shared" si="0"/>
        <v>308.81403000678336</v>
      </c>
      <c r="S13" s="59">
        <f ca="1">AVERAGE(OFFSET($R$3,0,0,'Données projet'!$E$9+1,1))-AVERAGE(OFFSET($H$3,0,0,'Données projet'!$E$9+1,1))</f>
        <v>215.55381529099924</v>
      </c>
      <c r="T13" s="59">
        <f t="shared" si="34"/>
        <v>158.77848520346532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7.2264102564102561</v>
      </c>
      <c r="AI13" s="13">
        <f>IF('Données projet'!$A$62&gt;35,AI12+AH13-AQ12,IF(A13&lt;'Données projet'!$A$62,$AF$205^A13,IF(A13='Données projet'!$A$62,'Données projet'!$B$62,AI12+AH13-AQ12)))</f>
        <v>6.0073272306422343</v>
      </c>
      <c r="AJ13" s="13">
        <f>AI13*VLOOKUP('Données projet'!$B$10,Paramètres!$A$1:$I$89,3,0)*VLOOKUP('Données projet'!$B$10,Paramètres!$A$1:$I$89,5,0)</f>
        <v>2.8114291439405656</v>
      </c>
      <c r="AK13" s="13">
        <f t="shared" si="35"/>
        <v>1.1487462006075717</v>
      </c>
      <c r="AL13" s="20">
        <f t="shared" si="4"/>
        <v>6.8973053917546716</v>
      </c>
      <c r="AM13" s="59">
        <f t="shared" si="5"/>
        <v>300.230638725088</v>
      </c>
      <c r="AN13" s="59">
        <f ca="1">AVERAGE(OFFSET($AM$3,0,0,'Données projet'!$E$10+1,1))-AVERAGE(OFFSET($H$3,0,0,'Données projet'!$E$10+1,1))</f>
        <v>205.31676282910638</v>
      </c>
      <c r="AO13" s="59">
        <f t="shared" si="36"/>
        <v>190.64998698136026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2.3805128205128203</v>
      </c>
      <c r="N14" s="13">
        <f>IF('Données projet'!$A$36&gt;35,N13+M14-V13,IF(A14&lt;'Données projet'!$A$36,$K$205^A14,IF(A14='Données projet'!$A$36,'Données projet'!$B$36,N13+M14-V13)))</f>
        <v>13.762330235503498</v>
      </c>
      <c r="O14" s="13">
        <f>N14*VLOOKUP('Données projet'!$B$9,Paramètres!$A$1:$I$89,3,0)*VLOOKUP('Données projet'!$B$9,Paramètres!$A$1:$I$89,5,0)</f>
        <v>8.2298734808310936</v>
      </c>
      <c r="P14" s="13">
        <f t="shared" si="33"/>
        <v>2.9675186699572826</v>
      </c>
      <c r="Q14" s="20">
        <f t="shared" si="2"/>
        <v>19.502124662623089</v>
      </c>
      <c r="R14" s="59">
        <f t="shared" si="0"/>
        <v>312.8354579959564</v>
      </c>
      <c r="S14" s="59">
        <f ca="1">AVERAGE(OFFSET($R$3,0,0,'Données projet'!$E$9+1,1))-AVERAGE(OFFSET($H$3,0,0,'Données projet'!$E$9+1,1))</f>
        <v>215.55381529099924</v>
      </c>
      <c r="T14" s="59">
        <f t="shared" si="34"/>
        <v>158.77848520346532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7.2264102564102561</v>
      </c>
      <c r="AI14" s="13">
        <f>IF('Données projet'!$A$62&gt;35,AI13+AH14-AQ13,IF(A14&lt;'Données projet'!$A$62,$AF$205^A14,IF(A14='Données projet'!$A$62,'Données projet'!$B$62,AI13+AH14-AQ13)))</f>
        <v>7.1870293496939057</v>
      </c>
      <c r="AJ14" s="13">
        <f>AI14*VLOOKUP('Données projet'!$B$10,Paramètres!$A$1:$I$89,3,0)*VLOOKUP('Données projet'!$B$10,Paramètres!$A$1:$I$89,5,0)</f>
        <v>3.3635297356567477</v>
      </c>
      <c r="AK14" s="13">
        <f t="shared" si="35"/>
        <v>1.3459482642479659</v>
      </c>
      <c r="AL14" s="20">
        <f t="shared" si="4"/>
        <v>8.2023408498340427</v>
      </c>
      <c r="AM14" s="59">
        <f t="shared" si="5"/>
        <v>301.53567418316737</v>
      </c>
      <c r="AN14" s="59">
        <f ca="1">AVERAGE(OFFSET($AM$3,0,0,'Données projet'!$E$10+1,1))-AVERAGE(OFFSET($H$3,0,0,'Données projet'!$E$10+1,1))</f>
        <v>205.31676282910638</v>
      </c>
      <c r="AO14" s="59">
        <f t="shared" si="36"/>
        <v>190.64998698136026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2.3805128205128203</v>
      </c>
      <c r="N15" s="13">
        <f>IF('Données projet'!$A$36&gt;35,N14+M15-V14,IF(A15&lt;'Données projet'!$A$36,$K$205^A15,IF(A15='Données projet'!$A$36,'Données projet'!$B$36,N14+M15-V14)))</f>
        <v>17.466642325908158</v>
      </c>
      <c r="O15" s="13">
        <f>N15*VLOOKUP('Données projet'!$B$9,Paramètres!$A$1:$I$89,3,0)*VLOOKUP('Données projet'!$B$9,Paramètres!$A$1:$I$89,5,0)</f>
        <v>10.44505211089308</v>
      </c>
      <c r="P15" s="13">
        <f t="shared" si="33"/>
        <v>3.6632071718377808</v>
      </c>
      <c r="Q15" s="20">
        <f t="shared" si="2"/>
        <v>24.571884917422917</v>
      </c>
      <c r="R15" s="59">
        <f t="shared" si="0"/>
        <v>317.90521825075621</v>
      </c>
      <c r="S15" s="59">
        <f ca="1">AVERAGE(OFFSET($R$3,0,0,'Données projet'!$E$9+1,1))-AVERAGE(OFFSET($H$3,0,0,'Données projet'!$E$9+1,1))</f>
        <v>215.55381529099924</v>
      </c>
      <c r="T15" s="59">
        <f t="shared" si="34"/>
        <v>158.77848520346532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7.2264102564102561</v>
      </c>
      <c r="AI15" s="13">
        <f>IF('Données projet'!$A$62&gt;35,AI14+AH15-AQ14,IF(A15&lt;'Données projet'!$A$62,$AF$205^A15,IF(A15='Données projet'!$A$62,'Données projet'!$B$62,AI14+AH15-AQ14)))</f>
        <v>8.5983980712566286</v>
      </c>
      <c r="AJ15" s="13">
        <f>AI15*VLOOKUP('Données projet'!$B$10,Paramètres!$A$1:$I$89,3,0)*VLOOKUP('Données projet'!$B$10,Paramètres!$A$1:$I$89,5,0)</f>
        <v>4.0240502973481025</v>
      </c>
      <c r="AK15" s="13">
        <f t="shared" si="35"/>
        <v>1.5770034573990057</v>
      </c>
      <c r="AL15" s="20">
        <f t="shared" si="4"/>
        <v>9.7551686228512136</v>
      </c>
      <c r="AM15" s="59">
        <f t="shared" si="5"/>
        <v>303.08850195618453</v>
      </c>
      <c r="AN15" s="59">
        <f ca="1">AVERAGE(OFFSET($AM$3,0,0,'Données projet'!$E$10+1,1))-AVERAGE(OFFSET($H$3,0,0,'Données projet'!$E$10+1,1))</f>
        <v>205.31676282910638</v>
      </c>
      <c r="AO15" s="59">
        <f t="shared" si="36"/>
        <v>190.64998698136026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2.3805128205128203</v>
      </c>
      <c r="N16" s="13">
        <f>IF('Données projet'!$A$36&gt;35,N15+M16-V15,IF(A16&lt;'Données projet'!$A$36,$K$205^A16,IF(A16='Données projet'!$A$36,'Données projet'!$B$36,N15+M16-V15)))</f>
        <v>22.168018709081991</v>
      </c>
      <c r="O16" s="13">
        <f>N16*VLOOKUP('Données projet'!$B$9,Paramètres!$A$1:$I$89,3,0)*VLOOKUP('Données projet'!$B$9,Paramètres!$A$1:$I$89,5,0)</f>
        <v>13.256475188031033</v>
      </c>
      <c r="P16" s="13">
        <f t="shared" si="33"/>
        <v>4.5219890003242735</v>
      </c>
      <c r="Q16" s="20">
        <f t="shared" si="2"/>
        <v>30.964158461385495</v>
      </c>
      <c r="R16" s="59">
        <f t="shared" si="0"/>
        <v>324.29749179471878</v>
      </c>
      <c r="S16" s="59">
        <f ca="1">AVERAGE(OFFSET($R$3,0,0,'Données projet'!$E$9+1,1))-AVERAGE(OFFSET($H$3,0,0,'Données projet'!$E$9+1,1))</f>
        <v>215.55381529099924</v>
      </c>
      <c r="T16" s="59">
        <f t="shared" si="34"/>
        <v>158.77848520346532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7.2264102564102561</v>
      </c>
      <c r="AI16" s="13">
        <f>IF('Données projet'!$A$62&gt;35,AI15+AH16-AQ15,IF(A16&lt;'Données projet'!$A$62,$AF$205^A16,IF(A16='Données projet'!$A$62,'Données projet'!$B$62,AI15+AH16-AQ15)))</f>
        <v>10.286927434759741</v>
      </c>
      <c r="AJ16" s="13">
        <f>AI16*VLOOKUP('Données projet'!$B$10,Paramètres!$A$1:$I$89,3,0)*VLOOKUP('Données projet'!$B$10,Paramètres!$A$1:$I$89,5,0)</f>
        <v>4.8142820394675585</v>
      </c>
      <c r="AK16" s="13">
        <f t="shared" si="35"/>
        <v>1.8477232526006253</v>
      </c>
      <c r="AL16" s="20">
        <f t="shared" si="4"/>
        <v>11.602992550352086</v>
      </c>
      <c r="AM16" s="59">
        <f t="shared" si="5"/>
        <v>304.93632588368541</v>
      </c>
      <c r="AN16" s="59">
        <f ca="1">AVERAGE(OFFSET($AM$3,0,0,'Données projet'!$E$10+1,1))-AVERAGE(OFFSET($H$3,0,0,'Données projet'!$E$10+1,1))</f>
        <v>205.31676282910638</v>
      </c>
      <c r="AO16" s="59">
        <f t="shared" si="36"/>
        <v>190.64998698136026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2.3805128205128203</v>
      </c>
      <c r="N17" s="13">
        <f>IF('Données projet'!$A$36&gt;35,N16+M17-V16,IF(A17&lt;'Données projet'!$A$36,$K$205^A17,IF(A17='Données projet'!$A$36,'Données projet'!$B$36,N16+M17-V16)))</f>
        <v>28.134832345956244</v>
      </c>
      <c r="O17" s="13">
        <f>N17*VLOOKUP('Données projet'!$B$9,Paramètres!$A$1:$I$89,3,0)*VLOOKUP('Données projet'!$B$9,Paramètres!$A$1:$I$89,5,0)</f>
        <v>16.824629742881836</v>
      </c>
      <c r="P17" s="13">
        <f t="shared" si="33"/>
        <v>5.5820988439469144</v>
      </c>
      <c r="Q17" s="20">
        <f t="shared" si="2"/>
        <v>39.025052288726734</v>
      </c>
      <c r="R17" s="59">
        <f t="shared" si="0"/>
        <v>332.35838562206004</v>
      </c>
      <c r="S17" s="59">
        <f ca="1">AVERAGE(OFFSET($R$3,0,0,'Données projet'!$E$9+1,1))-AVERAGE(OFFSET($H$3,0,0,'Données projet'!$E$9+1,1))</f>
        <v>215.55381529099924</v>
      </c>
      <c r="T17" s="59">
        <f t="shared" si="34"/>
        <v>158.77848520346532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7.2264102564102561</v>
      </c>
      <c r="AI17" s="13">
        <f>IF('Données projet'!$A$62&gt;35,AI16+AH17-AQ16,IF(A17&lt;'Données projet'!$A$62,$AF$205^A17,IF(A17='Données projet'!$A$62,'Données projet'!$B$62,AI16+AH17-AQ16)))</f>
        <v>12.307045471848836</v>
      </c>
      <c r="AJ17" s="13">
        <f>AI17*VLOOKUP('Données projet'!$B$10,Paramètres!$A$1:$I$89,3,0)*VLOOKUP('Données projet'!$B$10,Paramètres!$A$1:$I$89,5,0)</f>
        <v>5.7596972808252556</v>
      </c>
      <c r="AK17" s="13">
        <f t="shared" si="35"/>
        <v>2.1649167617120959</v>
      </c>
      <c r="AL17" s="20">
        <f t="shared" si="4"/>
        <v>13.802036124085888</v>
      </c>
      <c r="AM17" s="59">
        <f t="shared" si="5"/>
        <v>307.13536945741919</v>
      </c>
      <c r="AN17" s="59">
        <f ca="1">AVERAGE(OFFSET($AM$3,0,0,'Données projet'!$E$10+1,1))-AVERAGE(OFFSET($H$3,0,0,'Données projet'!$E$10+1,1))</f>
        <v>205.31676282910638</v>
      </c>
      <c r="AO17" s="59">
        <f t="shared" si="36"/>
        <v>190.64998698136026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35.707692307692305</v>
      </c>
      <c r="L18" s="12">
        <f>VLOOKUP(A18,'Données projet'!$A$35:$I$55,9,0)</f>
        <v>2.3805128205128203</v>
      </c>
      <c r="M18" s="12">
        <f t="array" ref="M18">INDEX(L:L,MIN(IF(ISNUMBER(L18:L214),ROW(L18:L214),"")))</f>
        <v>2.3805128205128203</v>
      </c>
      <c r="N18" s="13">
        <f>IF('Données projet'!$A$36&gt;35,N17+M18-V17,IF(A18&lt;'Données projet'!$A$36,$K$205^A18,IF(A18='Données projet'!$A$36,'Données projet'!$B$36,N17+M18-V17)))</f>
        <v>35.707692307692305</v>
      </c>
      <c r="O18" s="13">
        <f>N18*VLOOKUP('Données projet'!$B$9,Paramètres!$A$1:$I$89,3,0)*VLOOKUP('Données projet'!$B$9,Paramètres!$A$1:$I$89,5,0)</f>
        <v>21.353200000000001</v>
      </c>
      <c r="P18" s="13">
        <f t="shared" si="33"/>
        <v>6.8907349180546449</v>
      </c>
      <c r="Q18" s="20">
        <f t="shared" si="2"/>
        <v>49.1915199822785</v>
      </c>
      <c r="R18" s="59">
        <f t="shared" si="0"/>
        <v>342.52485331561184</v>
      </c>
      <c r="S18" s="59">
        <f ca="1">AVERAGE(OFFSET($R$3,0,0,'Données projet'!$E$9+1,1))-AVERAGE(OFFSET($H$3,0,0,'Données projet'!$E$9+1,1))</f>
        <v>215.55381529099924</v>
      </c>
      <c r="T18" s="59">
        <f t="shared" si="34"/>
        <v>158.77848520346532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7.2264102564102561</v>
      </c>
      <c r="AI18" s="13">
        <f>IF('Données projet'!$A$62&gt;35,AI17+AH18-AQ17,IF(A18&lt;'Données projet'!$A$62,$AF$205^A18,IF(A18='Données projet'!$A$62,'Données projet'!$B$62,AI17+AH18-AQ17)))</f>
        <v>14.723868638788783</v>
      </c>
      <c r="AJ18" s="13">
        <f>AI18*VLOOKUP('Données projet'!$B$10,Paramètres!$A$1:$I$89,3,0)*VLOOKUP('Données projet'!$B$10,Paramètres!$A$1:$I$89,5,0)</f>
        <v>6.89077052295315</v>
      </c>
      <c r="AK18" s="13">
        <f t="shared" si="35"/>
        <v>2.5365619978778424</v>
      </c>
      <c r="AL18" s="20">
        <f t="shared" si="4"/>
        <v>16.419270807113978</v>
      </c>
      <c r="AM18" s="59">
        <f t="shared" si="5"/>
        <v>309.75260414044732</v>
      </c>
      <c r="AN18" s="59">
        <f ca="1">AVERAGE(OFFSET($AM$3,0,0,'Données projet'!$E$10+1,1))-AVERAGE(OFFSET($H$3,0,0,'Données projet'!$E$10+1,1))</f>
        <v>205.31676282910638</v>
      </c>
      <c r="AO18" s="59">
        <f t="shared" si="36"/>
        <v>190.64998698136026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13.468131868131868</v>
      </c>
      <c r="N19" s="13">
        <f>IF('Données projet'!$A$36&gt;35,N18+M19-V18,IF(A19&lt;'Données projet'!$A$36,$K$205^A19,IF(A19='Données projet'!$A$36,'Données projet'!$B$36,N18+M19-V18)))</f>
        <v>49.175824175824175</v>
      </c>
      <c r="O19" s="13">
        <f>N19*VLOOKUP('Données projet'!$B$9,Paramètres!$A$1:$I$89,3,0)*VLOOKUP('Données projet'!$B$9,Paramètres!$A$1:$I$89,5,0)</f>
        <v>29.407142857142858</v>
      </c>
      <c r="P19" s="13">
        <f t="shared" si="33"/>
        <v>9.1427529908921841</v>
      </c>
      <c r="Q19" s="20">
        <f t="shared" si="2"/>
        <v>67.141068601994363</v>
      </c>
      <c r="R19" s="59">
        <f t="shared" si="0"/>
        <v>360.47440193532771</v>
      </c>
      <c r="S19" s="59">
        <f ca="1">AVERAGE(OFFSET($R$3,0,0,'Données projet'!$E$9+1,1))-AVERAGE(OFFSET($H$3,0,0,'Données projet'!$E$9+1,1))</f>
        <v>215.55381529099924</v>
      </c>
      <c r="T19" s="59">
        <f t="shared" si="34"/>
        <v>158.77848520346532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7.2264102564102561</v>
      </c>
      <c r="AI19" s="13">
        <f>IF('Données projet'!$A$62&gt;35,AI18+AH19-AQ18,IF(A19&lt;'Données projet'!$A$62,$AF$205^A19,IF(A19='Données projet'!$A$62,'Données projet'!$B$62,AI18+AH19-AQ18)))</f>
        <v>17.61530077939495</v>
      </c>
      <c r="AJ19" s="13">
        <f>AI19*VLOOKUP('Données projet'!$B$10,Paramètres!$A$1:$I$89,3,0)*VLOOKUP('Données projet'!$B$10,Paramètres!$A$1:$I$89,5,0)</f>
        <v>8.2439607647568369</v>
      </c>
      <c r="AK19" s="13">
        <f t="shared" si="35"/>
        <v>2.972006537558364</v>
      </c>
      <c r="AL19" s="20">
        <f t="shared" si="4"/>
        <v>19.534476384865641</v>
      </c>
      <c r="AM19" s="59">
        <f t="shared" si="5"/>
        <v>312.86780971819894</v>
      </c>
      <c r="AN19" s="59">
        <f ca="1">AVERAGE(OFFSET($AM$3,0,0,'Données projet'!$E$10+1,1))-AVERAGE(OFFSET($H$3,0,0,'Données projet'!$E$10+1,1))</f>
        <v>205.31676282910638</v>
      </c>
      <c r="AO19" s="59">
        <f t="shared" si="36"/>
        <v>190.64998698136026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13.468131868131868</v>
      </c>
      <c r="N20" s="13">
        <f>IF('Données projet'!$A$36&gt;35,N19+M20-V19,IF(A20&lt;'Données projet'!$A$36,$K$205^A20,IF(A20='Données projet'!$A$36,'Données projet'!$B$36,N19+M20-V19)))</f>
        <v>62.643956043956045</v>
      </c>
      <c r="O20" s="13">
        <f>N20*VLOOKUP('Données projet'!$B$9,Paramètres!$A$1:$I$89,3,0)*VLOOKUP('Données projet'!$B$9,Paramètres!$A$1:$I$89,5,0)</f>
        <v>37.461085714285716</v>
      </c>
      <c r="P20" s="13">
        <f t="shared" si="33"/>
        <v>11.323160704188275</v>
      </c>
      <c r="Q20" s="20">
        <f t="shared" si="2"/>
        <v>84.965895845508868</v>
      </c>
      <c r="R20" s="59">
        <f t="shared" si="0"/>
        <v>378.29922917884221</v>
      </c>
      <c r="S20" s="59">
        <f ca="1">AVERAGE(OFFSET($R$3,0,0,'Données projet'!$E$9+1,1))-AVERAGE(OFFSET($H$3,0,0,'Données projet'!$E$9+1,1))</f>
        <v>215.55381529099924</v>
      </c>
      <c r="T20" s="59">
        <f t="shared" si="34"/>
        <v>158.77848520346532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7.2264102564102561</v>
      </c>
      <c r="AI20" s="13">
        <f>IF('Données projet'!$A$62&gt;35,AI19+AH20-AQ19,IF(A20&lt;'Données projet'!$A$62,$AF$205^A20,IF(A20='Données projet'!$A$62,'Données projet'!$B$62,AI19+AH20-AQ19)))</f>
        <v>21.074544276434004</v>
      </c>
      <c r="AJ20" s="13">
        <f>AI20*VLOOKUP('Données projet'!$B$10,Paramètres!$A$1:$I$89,3,0)*VLOOKUP('Données projet'!$B$10,Paramètres!$A$1:$I$89,5,0)</f>
        <v>9.8628867213711136</v>
      </c>
      <c r="AK20" s="13">
        <f t="shared" si="35"/>
        <v>3.4822026296536168</v>
      </c>
      <c r="AL20" s="20">
        <f t="shared" si="4"/>
        <v>23.24269728636807</v>
      </c>
      <c r="AM20" s="59">
        <f t="shared" si="5"/>
        <v>316.57603061970138</v>
      </c>
      <c r="AN20" s="59">
        <f ca="1">AVERAGE(OFFSET($AM$3,0,0,'Données projet'!$E$10+1,1))-AVERAGE(OFFSET($H$3,0,0,'Données projet'!$E$10+1,1))</f>
        <v>205.31676282910638</v>
      </c>
      <c r="AO20" s="59">
        <f t="shared" si="36"/>
        <v>190.64998698136026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13.468131868131868</v>
      </c>
      <c r="N21" s="13">
        <f>IF('Données projet'!$A$36&gt;35,N20+M21-V20,IF(A21&lt;'Données projet'!$A$36,$K$205^A21,IF(A21='Données projet'!$A$36,'Données projet'!$B$36,N20+M21-V20)))</f>
        <v>76.112087912087915</v>
      </c>
      <c r="O21" s="13">
        <f>N21*VLOOKUP('Données projet'!$B$9,Paramètres!$A$1:$I$89,3,0)*VLOOKUP('Données projet'!$B$9,Paramètres!$A$1:$I$89,5,0)</f>
        <v>45.515028571428573</v>
      </c>
      <c r="P21" s="13">
        <f t="shared" si="33"/>
        <v>13.449237521387609</v>
      </c>
      <c r="Q21" s="20">
        <f t="shared" si="2"/>
        <v>102.69609677832152</v>
      </c>
      <c r="R21" s="59">
        <f t="shared" si="0"/>
        <v>396.02943011165485</v>
      </c>
      <c r="S21" s="59">
        <f ca="1">AVERAGE(OFFSET($R$3,0,0,'Données projet'!$E$9+1,1))-AVERAGE(OFFSET($H$3,0,0,'Données projet'!$E$9+1,1))</f>
        <v>215.55381529099924</v>
      </c>
      <c r="T21" s="59">
        <f t="shared" si="34"/>
        <v>158.77848520346532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7.2264102564102561</v>
      </c>
      <c r="AI21" s="13">
        <f>IF('Données projet'!$A$62&gt;35,AI20+AH21-AQ20,IF(A21&lt;'Données projet'!$A$62,$AF$205^A21,IF(A21='Données projet'!$A$62,'Données projet'!$B$62,AI20+AH21-AQ20)))</f>
        <v>25.213104335913162</v>
      </c>
      <c r="AJ21" s="13">
        <f>AI21*VLOOKUP('Données projet'!$B$10,Paramètres!$A$1:$I$89,3,0)*VLOOKUP('Données projet'!$B$10,Paramètres!$A$1:$I$89,5,0)</f>
        <v>11.799732829207361</v>
      </c>
      <c r="AK21" s="13">
        <f t="shared" si="35"/>
        <v>4.079982665155371</v>
      </c>
      <c r="AL21" s="20">
        <f t="shared" si="4"/>
        <v>27.657171152681755</v>
      </c>
      <c r="AM21" s="59">
        <f t="shared" si="5"/>
        <v>320.99050448601508</v>
      </c>
      <c r="AN21" s="59">
        <f ca="1">AVERAGE(OFFSET($AM$3,0,0,'Données projet'!$E$10+1,1))-AVERAGE(OFFSET($H$3,0,0,'Données projet'!$E$10+1,1))</f>
        <v>205.31676282910638</v>
      </c>
      <c r="AO21" s="59">
        <f t="shared" si="36"/>
        <v>190.64998698136026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13.468131868131868</v>
      </c>
      <c r="N22" s="13">
        <f>IF('Données projet'!$A$36&gt;35,N21+M22-V21,IF(A22&lt;'Données projet'!$A$36,$K$205^A22,IF(A22='Données projet'!$A$36,'Données projet'!$B$36,N21+M22-V21)))</f>
        <v>89.580219780219778</v>
      </c>
      <c r="O22" s="13">
        <f>N22*VLOOKUP('Données projet'!$B$9,Paramètres!$A$1:$I$89,3,0)*VLOOKUP('Données projet'!$B$9,Paramètres!$A$1:$I$89,5,0)</f>
        <v>53.56897142857143</v>
      </c>
      <c r="P22" s="13">
        <f t="shared" si="33"/>
        <v>15.531731116329365</v>
      </c>
      <c r="Q22" s="20">
        <f t="shared" si="2"/>
        <v>120.35039026570223</v>
      </c>
      <c r="R22" s="59">
        <f t="shared" si="0"/>
        <v>413.68372359903555</v>
      </c>
      <c r="S22" s="59">
        <f ca="1">AVERAGE(OFFSET($R$3,0,0,'Données projet'!$E$9+1,1))-AVERAGE(OFFSET($H$3,0,0,'Données projet'!$E$9+1,1))</f>
        <v>215.55381529099924</v>
      </c>
      <c r="T22" s="59">
        <f t="shared" si="34"/>
        <v>158.77848520346532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7.2264102564102561</v>
      </c>
      <c r="AI22" s="13">
        <f>IF('Données projet'!$A$62&gt;35,AI21+AH22-AQ21,IF(A22&lt;'Données projet'!$A$62,$AF$205^A22,IF(A22='Données projet'!$A$62,'Données projet'!$B$62,AI21+AH22-AQ21)))</f>
        <v>30.164383244315122</v>
      </c>
      <c r="AJ22" s="13">
        <f>AI22*VLOOKUP('Données projet'!$B$10,Paramètres!$A$1:$I$89,3,0)*VLOOKUP('Données projet'!$B$10,Paramètres!$A$1:$I$89,5,0)</f>
        <v>14.116931358339476</v>
      </c>
      <c r="AK22" s="13">
        <f t="shared" si="35"/>
        <v>4.7803819359082427</v>
      </c>
      <c r="AL22" s="20">
        <f t="shared" si="4"/>
        <v>32.912820654148106</v>
      </c>
      <c r="AM22" s="59">
        <f t="shared" si="5"/>
        <v>326.24615398748142</v>
      </c>
      <c r="AN22" s="59">
        <f ca="1">AVERAGE(OFFSET($AM$3,0,0,'Données projet'!$E$10+1,1))-AVERAGE(OFFSET($H$3,0,0,'Données projet'!$E$10+1,1))</f>
        <v>205.31676282910638</v>
      </c>
      <c r="AO22" s="59">
        <f t="shared" si="36"/>
        <v>190.64998698136026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13.468131868131868</v>
      </c>
      <c r="N23" s="13">
        <f>IF('Données projet'!$A$36&gt;35,N22+M23-V22,IF(A23&lt;'Données projet'!$A$36,$K$205^A23,IF(A23='Données projet'!$A$36,'Données projet'!$B$36,N22+M23-V22)))</f>
        <v>103.04835164835164</v>
      </c>
      <c r="O23" s="13">
        <f>N23*VLOOKUP('Données projet'!$B$9,Paramètres!$A$1:$I$89,3,0)*VLOOKUP('Données projet'!$B$9,Paramètres!$A$1:$I$89,5,0)</f>
        <v>61.622914285714288</v>
      </c>
      <c r="P23" s="13">
        <f t="shared" si="33"/>
        <v>17.577953130673084</v>
      </c>
      <c r="Q23" s="20">
        <f t="shared" si="2"/>
        <v>137.94151075020798</v>
      </c>
      <c r="R23" s="59">
        <f t="shared" si="0"/>
        <v>431.27484408354132</v>
      </c>
      <c r="S23" s="59">
        <f ca="1">AVERAGE(OFFSET($R$3,0,0,'Données projet'!$E$9+1,1))-AVERAGE(OFFSET($H$3,0,0,'Données projet'!$E$9+1,1))</f>
        <v>215.55381529099924</v>
      </c>
      <c r="T23" s="59">
        <f t="shared" si="34"/>
        <v>158.77848520346532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7.2264102564102561</v>
      </c>
      <c r="AI23" s="13">
        <f>IF('Données projet'!$A$62&gt;35,AI22+AH23-AQ22,IF(A23&lt;'Données projet'!$A$62,$AF$205^A23,IF(A23='Données projet'!$A$62,'Données projet'!$B$62,AI22+AH23-AQ22)))</f>
        <v>36.0879804560157</v>
      </c>
      <c r="AJ23" s="13">
        <f>AI23*VLOOKUP('Données projet'!$B$10,Paramètres!$A$1:$I$89,3,0)*VLOOKUP('Données projet'!$B$10,Paramètres!$A$1:$I$89,5,0)</f>
        <v>16.889174853415348</v>
      </c>
      <c r="AK23" s="13">
        <f t="shared" si="35"/>
        <v>5.6010168004690764</v>
      </c>
      <c r="AL23" s="20">
        <f t="shared" si="4"/>
        <v>39.170417130515368</v>
      </c>
      <c r="AM23" s="59">
        <f t="shared" si="5"/>
        <v>332.50375046384869</v>
      </c>
      <c r="AN23" s="59">
        <f ca="1">AVERAGE(OFFSET($AM$3,0,0,'Données projet'!$E$10+1,1))-AVERAGE(OFFSET($H$3,0,0,'Données projet'!$E$10+1,1))</f>
        <v>205.31676282910638</v>
      </c>
      <c r="AO23" s="59">
        <f t="shared" si="36"/>
        <v>190.64998698136026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13.468131868131868</v>
      </c>
      <c r="N24" s="13">
        <f>IF('Données projet'!$A$36&gt;35,N23+M24-V23,IF(A24&lt;'Données projet'!$A$36,$K$205^A24,IF(A24='Données projet'!$A$36,'Données projet'!$B$36,N23+M24-V23)))</f>
        <v>116.5164835164835</v>
      </c>
      <c r="O24" s="13">
        <f>N24*VLOOKUP('Données projet'!$B$9,Paramètres!$A$1:$I$89,3,0)*VLOOKUP('Données projet'!$B$9,Paramètres!$A$1:$I$89,5,0)</f>
        <v>69.676857142857145</v>
      </c>
      <c r="P24" s="13">
        <f t="shared" si="33"/>
        <v>19.593188213653896</v>
      </c>
      <c r="Q24" s="20">
        <f t="shared" si="2"/>
        <v>155.47866232925674</v>
      </c>
      <c r="R24" s="59">
        <f t="shared" si="0"/>
        <v>448.81199566259005</v>
      </c>
      <c r="S24" s="59">
        <f ca="1">AVERAGE(OFFSET($R$3,0,0,'Données projet'!$E$9+1,1))-AVERAGE(OFFSET($H$3,0,0,'Données projet'!$E$9+1,1))</f>
        <v>215.55381529099924</v>
      </c>
      <c r="T24" s="59">
        <f t="shared" si="34"/>
        <v>158.77848520346532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7.2264102564102561</v>
      </c>
      <c r="AI24" s="13">
        <f>IF('Données projet'!$A$62&gt;35,AI23+AH24-AQ23,IF(A24&lt;'Données projet'!$A$62,$AF$205^A24,IF(A24='Données projet'!$A$62,'Données projet'!$B$62,AI23+AH24-AQ23)))</f>
        <v>43.17483711984115</v>
      </c>
      <c r="AJ24" s="13">
        <f>AI24*VLOOKUP('Données projet'!$B$10,Paramètres!$A$1:$I$89,3,0)*VLOOKUP('Données projet'!$B$10,Paramètres!$A$1:$I$89,5,0)</f>
        <v>20.205823772085658</v>
      </c>
      <c r="AK24" s="13">
        <f t="shared" si="35"/>
        <v>6.5625277686471071</v>
      </c>
      <c r="AL24" s="20">
        <f t="shared" si="4"/>
        <v>46.621545600109563</v>
      </c>
      <c r="AM24" s="59">
        <f t="shared" si="5"/>
        <v>339.9548789334429</v>
      </c>
      <c r="AN24" s="59">
        <f ca="1">AVERAGE(OFFSET($AM$3,0,0,'Données projet'!$E$10+1,1))-AVERAGE(OFFSET($H$3,0,0,'Données projet'!$E$10+1,1))</f>
        <v>205.31676282910638</v>
      </c>
      <c r="AO24" s="59">
        <f t="shared" si="36"/>
        <v>190.64998698136026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129.98461538461538</v>
      </c>
      <c r="L25" s="12">
        <f>VLOOKUP(A25,'Données projet'!$A$35:$I$55,9,0)</f>
        <v>13.468131868131868</v>
      </c>
      <c r="M25" s="12">
        <f t="array" ref="M25">INDEX(L:L,MIN(IF(ISNUMBER(L25:L221),ROW(L25:L221),"")))</f>
        <v>13.468131868131868</v>
      </c>
      <c r="N25" s="13">
        <f>IF('Données projet'!$A$36&gt;35,N24+M25-V24,IF(A25&lt;'Données projet'!$A$36,$K$205^A25,IF(A25='Données projet'!$A$36,'Données projet'!$B$36,N24+M25-V24)))</f>
        <v>129.98461538461538</v>
      </c>
      <c r="O25" s="13">
        <f>N25*VLOOKUP('Données projet'!$B$9,Paramètres!$A$1:$I$89,3,0)*VLOOKUP('Données projet'!$B$9,Paramètres!$A$1:$I$89,5,0)</f>
        <v>77.730800000000002</v>
      </c>
      <c r="P25" s="13">
        <f t="shared" si="33"/>
        <v>21.581427176601697</v>
      </c>
      <c r="Q25" s="20">
        <f t="shared" si="2"/>
        <v>172.96879566591463</v>
      </c>
      <c r="R25" s="59">
        <f t="shared" si="0"/>
        <v>466.30212899924794</v>
      </c>
      <c r="S25" s="59">
        <f ca="1">AVERAGE(OFFSET($R$3,0,0,'Données projet'!$E$9+1,1))-AVERAGE(OFFSET($H$3,0,0,'Données projet'!$E$9+1,1))</f>
        <v>215.55381529099924</v>
      </c>
      <c r="T25" s="59">
        <f t="shared" si="34"/>
        <v>158.77848520346532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52.746153846153838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0.5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17.856548787519642</v>
      </c>
      <c r="AC25" s="22">
        <f t="shared" si="3"/>
        <v>17.856548787519642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7.2264102564102561</v>
      </c>
      <c r="AI25" s="13">
        <f>IF('Données projet'!$A$62&gt;35,AI24+AH25-AQ24,IF(A25&lt;'Données projet'!$A$62,$AF$205^A25,IF(A25='Données projet'!$A$62,'Données projet'!$B$62,AI24+AH25-AQ24)))</f>
        <v>51.653390873361616</v>
      </c>
      <c r="AJ25" s="13">
        <f>AI25*VLOOKUP('Données projet'!$B$10,Paramètres!$A$1:$I$89,3,0)*VLOOKUP('Données projet'!$B$10,Paramètres!$A$1:$I$89,5,0)</f>
        <v>24.173786928733236</v>
      </c>
      <c r="AK25" s="13">
        <f t="shared" si="35"/>
        <v>7.6890986491341353</v>
      </c>
      <c r="AL25" s="20">
        <f t="shared" si="4"/>
        <v>55.494525714785674</v>
      </c>
      <c r="AM25" s="59">
        <f t="shared" si="5"/>
        <v>348.82785904811897</v>
      </c>
      <c r="AN25" s="59">
        <f ca="1">AVERAGE(OFFSET($AM$3,0,0,'Données projet'!$E$10+1,1))-AVERAGE(OFFSET($H$3,0,0,'Données projet'!$E$10+1,1))</f>
        <v>205.31676282910638</v>
      </c>
      <c r="AO25" s="59">
        <f t="shared" si="36"/>
        <v>190.64998698136026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12.695384615384615</v>
      </c>
      <c r="N26" s="13">
        <f>IF('Données projet'!$A$36&gt;35,N25+M26-V25,IF(A26&lt;'Données projet'!$A$36,$K$205^A26,IF(A26='Données projet'!$A$36,'Données projet'!$B$36,N25+M26-V25)))</f>
        <v>89.933846153846162</v>
      </c>
      <c r="O26" s="13">
        <f>N26*VLOOKUP('Données projet'!$B$9,Paramètres!$A$1:$I$89,3,0)*VLOOKUP('Données projet'!$B$9,Paramètres!$A$1:$I$89,5,0)</f>
        <v>53.780440000000013</v>
      </c>
      <c r="P26" s="13">
        <f t="shared" si="33"/>
        <v>15.5858948320701</v>
      </c>
      <c r="Q26" s="20">
        <f t="shared" si="2"/>
        <v>120.81303316585546</v>
      </c>
      <c r="R26" s="59">
        <f t="shared" si="0"/>
        <v>414.14636649918879</v>
      </c>
      <c r="S26" s="59">
        <f ca="1">AVERAGE(OFFSET($R$3,0,0,'Données projet'!$E$9+1,1))-AVERAGE(OFFSET($H$3,0,0,'Données projet'!$E$9+1,1))</f>
        <v>215.55381529099924</v>
      </c>
      <c r="T26" s="59">
        <f t="shared" si="34"/>
        <v>158.77848520346532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12.626486736243564</v>
      </c>
      <c r="AC26" s="22">
        <f t="shared" si="3"/>
        <v>12.626486736243564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7.2264102564102561</v>
      </c>
      <c r="AI26" s="13">
        <f>IF('Données projet'!$A$62&gt;35,AI25+AH26-AQ25,IF(A26&lt;'Données projet'!$A$62,$AF$205^A26,IF(A26='Données projet'!$A$62,'Données projet'!$B$62,AI25+AH26-AQ25)))</f>
        <v>61.796939298472864</v>
      </c>
      <c r="AJ26" s="13">
        <f>AI26*VLOOKUP('Données projet'!$B$10,Paramètres!$A$1:$I$89,3,0)*VLOOKUP('Données projet'!$B$10,Paramètres!$A$1:$I$89,5,0)</f>
        <v>28.920967591685301</v>
      </c>
      <c r="AK26" s="13">
        <f t="shared" si="35"/>
        <v>9.0090648177637647</v>
      </c>
      <c r="AL26" s="20">
        <f t="shared" si="4"/>
        <v>66.061473113123796</v>
      </c>
      <c r="AM26" s="59">
        <f t="shared" si="5"/>
        <v>359.3948064464571</v>
      </c>
      <c r="AN26" s="59">
        <f ca="1">AVERAGE(OFFSET($AM$3,0,0,'Données projet'!$E$10+1,1))-AVERAGE(OFFSET($H$3,0,0,'Données projet'!$E$10+1,1))</f>
        <v>205.31676282910638</v>
      </c>
      <c r="AO26" s="59">
        <f t="shared" si="36"/>
        <v>190.64998698136026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12.695384615384615</v>
      </c>
      <c r="N27" s="13">
        <f>IF('Données projet'!$A$36&gt;35,N26+M27-V26,IF(A27&lt;'Données projet'!$A$36,$K$205^A27,IF(A27='Données projet'!$A$36,'Données projet'!$B$36,N26+M27-V26)))</f>
        <v>102.62923076923077</v>
      </c>
      <c r="O27" s="13">
        <f>N27*VLOOKUP('Données projet'!$B$9,Paramètres!$A$1:$I$89,3,0)*VLOOKUP('Données projet'!$B$9,Paramètres!$A$1:$I$89,5,0)</f>
        <v>61.372280000000011</v>
      </c>
      <c r="P27" s="13">
        <f t="shared" si="33"/>
        <v>17.514766499235456</v>
      </c>
      <c r="Q27" s="20">
        <f t="shared" si="2"/>
        <v>137.39493931950179</v>
      </c>
      <c r="R27" s="59">
        <f t="shared" si="0"/>
        <v>430.72827265283513</v>
      </c>
      <c r="S27" s="59">
        <f ca="1">AVERAGE(OFFSET($R$3,0,0,'Données projet'!$E$9+1,1))-AVERAGE(OFFSET($H$3,0,0,'Données projet'!$E$9+1,1))</f>
        <v>215.55381529099924</v>
      </c>
      <c r="T27" s="59">
        <f t="shared" si="34"/>
        <v>158.77848520346532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8.928274393759823</v>
      </c>
      <c r="AC27" s="22">
        <f t="shared" si="3"/>
        <v>8.928274393759823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7.2264102564102561</v>
      </c>
      <c r="AI27" s="13">
        <f>IF('Données projet'!$A$62&gt;35,AI26+AH27-AQ26,IF(A27&lt;'Données projet'!$A$62,$AF$205^A27,IF(A27='Données projet'!$A$62,'Données projet'!$B$62,AI26+AH27-AQ26)))</f>
        <v>73.932449391789717</v>
      </c>
      <c r="AJ27" s="13">
        <f>AI27*VLOOKUP('Données projet'!$B$10,Paramètres!$A$1:$I$89,3,0)*VLOOKUP('Données projet'!$B$10,Paramètres!$A$1:$I$89,5,0)</f>
        <v>34.600386315357589</v>
      </c>
      <c r="AK27" s="13">
        <f t="shared" si="35"/>
        <v>10.555625905490055</v>
      </c>
      <c r="AL27" s="20">
        <f t="shared" si="4"/>
        <v>78.646721284642979</v>
      </c>
      <c r="AM27" s="59">
        <f t="shared" si="5"/>
        <v>371.98005461797629</v>
      </c>
      <c r="AN27" s="59">
        <f ca="1">AVERAGE(OFFSET($AM$3,0,0,'Données projet'!$E$10+1,1))-AVERAGE(OFFSET($H$3,0,0,'Données projet'!$E$10+1,1))</f>
        <v>205.31676282910638</v>
      </c>
      <c r="AO27" s="59">
        <f t="shared" si="36"/>
        <v>190.64998698136026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12.695384615384615</v>
      </c>
      <c r="N28" s="13">
        <f>IF('Données projet'!$A$36&gt;35,N27+M28-V27,IF(A28&lt;'Données projet'!$A$36,$K$205^A28,IF(A28='Données projet'!$A$36,'Données projet'!$B$36,N27+M28-V27)))</f>
        <v>115.32461538461538</v>
      </c>
      <c r="O28" s="13">
        <f>N28*VLOOKUP('Données projet'!$B$9,Paramètres!$A$1:$I$89,3,0)*VLOOKUP('Données projet'!$B$9,Paramètres!$A$1:$I$89,5,0)</f>
        <v>68.964120000000008</v>
      </c>
      <c r="P28" s="13">
        <f t="shared" si="33"/>
        <v>19.415989273317052</v>
      </c>
      <c r="Q28" s="20">
        <f t="shared" si="2"/>
        <v>153.92869031769388</v>
      </c>
      <c r="R28" s="59">
        <f t="shared" si="0"/>
        <v>447.26202365102722</v>
      </c>
      <c r="S28" s="59">
        <f ca="1">AVERAGE(OFFSET($R$3,0,0,'Données projet'!$E$9+1,1))-AVERAGE(OFFSET($H$3,0,0,'Données projet'!$E$9+1,1))</f>
        <v>215.55381529099924</v>
      </c>
      <c r="T28" s="59">
        <f t="shared" si="34"/>
        <v>158.77848520346532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6.3132433681217828</v>
      </c>
      <c r="AC28" s="22">
        <f t="shared" si="3"/>
        <v>6.3132433681217828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7.2264102564102561</v>
      </c>
      <c r="AI28" s="13">
        <f>IF('Données projet'!$A$62&gt;35,AI27+AH28-AQ27,IF(A28&lt;'Données projet'!$A$62,$AF$205^A28,IF(A28='Données projet'!$A$62,'Données projet'!$B$62,AI27+AH28-AQ27)))</f>
        <v>88.451097014195071</v>
      </c>
      <c r="AJ28" s="13">
        <f>AI28*VLOOKUP('Données projet'!$B$10,Paramètres!$A$1:$I$89,3,0)*VLOOKUP('Données projet'!$B$10,Paramètres!$A$1:$I$89,5,0)</f>
        <v>41.39511340264329</v>
      </c>
      <c r="AK28" s="13">
        <f t="shared" si="35"/>
        <v>12.367680831528276</v>
      </c>
      <c r="AL28" s="20">
        <f t="shared" si="4"/>
        <v>93.636866624515463</v>
      </c>
      <c r="AM28" s="59">
        <f t="shared" si="5"/>
        <v>386.97019995784876</v>
      </c>
      <c r="AN28" s="59">
        <f ca="1">AVERAGE(OFFSET($AM$3,0,0,'Données projet'!$E$10+1,1))-AVERAGE(OFFSET($H$3,0,0,'Données projet'!$E$10+1,1))</f>
        <v>205.31676282910638</v>
      </c>
      <c r="AO28" s="59">
        <f t="shared" si="36"/>
        <v>190.64998698136026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12.695384615384615</v>
      </c>
      <c r="N29" s="13">
        <f>IF('Données projet'!$A$36&gt;35,N28+M29-V28,IF(A29&lt;'Données projet'!$A$36,$K$205^A29,IF(A29='Données projet'!$A$36,'Données projet'!$B$36,N28+M29-V28)))</f>
        <v>128.02000000000001</v>
      </c>
      <c r="O29" s="13">
        <f>N29*VLOOKUP('Données projet'!$B$9,Paramètres!$A$1:$I$89,3,0)*VLOOKUP('Données projet'!$B$9,Paramètres!$A$1:$I$89,5,0)</f>
        <v>76.555960000000013</v>
      </c>
      <c r="P29" s="13">
        <f t="shared" si="33"/>
        <v>21.292953972936246</v>
      </c>
      <c r="Q29" s="20">
        <f t="shared" si="2"/>
        <v>170.42019183619729</v>
      </c>
      <c r="R29" s="59">
        <f t="shared" si="0"/>
        <v>463.75352516953058</v>
      </c>
      <c r="S29" s="59">
        <f ca="1">AVERAGE(OFFSET($R$3,0,0,'Données projet'!$E$9+1,1))-AVERAGE(OFFSET($H$3,0,0,'Données projet'!$E$9+1,1))</f>
        <v>215.55381529099924</v>
      </c>
      <c r="T29" s="59">
        <f t="shared" si="34"/>
        <v>158.77848520346532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4.4641371968799124</v>
      </c>
      <c r="AC29" s="22">
        <f t="shared" si="3"/>
        <v>4.4641371968799124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7.2264102564102561</v>
      </c>
      <c r="AI29" s="13">
        <f>IF('Données projet'!$A$62&gt;35,AI28+AH29-AQ28,IF(A29&lt;'Données projet'!$A$62,$AF$205^A29,IF(A29='Données projet'!$A$62,'Données projet'!$B$62,AI28+AH29-AQ28)))</f>
        <v>105.82087604801265</v>
      </c>
      <c r="AJ29" s="13">
        <f>AI29*VLOOKUP('Données projet'!$B$10,Paramètres!$A$1:$I$89,3,0)*VLOOKUP('Données projet'!$B$10,Paramètres!$A$1:$I$89,5,0)</f>
        <v>49.524169990469915</v>
      </c>
      <c r="AK29" s="13">
        <f t="shared" si="35"/>
        <v>14.490806184311312</v>
      </c>
      <c r="AL29" s="20">
        <f t="shared" si="4"/>
        <v>111.4927501710773</v>
      </c>
      <c r="AM29" s="59">
        <f t="shared" si="5"/>
        <v>404.82608350441063</v>
      </c>
      <c r="AN29" s="59">
        <f ca="1">AVERAGE(OFFSET($AM$3,0,0,'Données projet'!$E$10+1,1))-AVERAGE(OFFSET($H$3,0,0,'Données projet'!$E$10+1,1))</f>
        <v>205.31676282910638</v>
      </c>
      <c r="AO29" s="59">
        <f t="shared" si="36"/>
        <v>190.64998698136026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140.71538461538461</v>
      </c>
      <c r="L30" s="12">
        <f>VLOOKUP(A30,'Données projet'!$A$35:$I$55,9,0)</f>
        <v>12.695384615384615</v>
      </c>
      <c r="M30" s="12">
        <f t="array" ref="M30">INDEX(L:L,MIN(IF(ISNUMBER(L30:L226),ROW(L30:L226),"")))</f>
        <v>12.695384615384615</v>
      </c>
      <c r="N30" s="13">
        <f>IF('Données projet'!$A$36&gt;35,N29+M30-V29,IF(A30&lt;'Données projet'!$A$36,$K$205^A30,IF(A30='Données projet'!$A$36,'Données projet'!$B$36,N29+M30-V29)))</f>
        <v>140.71538461538464</v>
      </c>
      <c r="O30" s="13">
        <f>N30*VLOOKUP('Données projet'!$B$9,Paramètres!$A$1:$I$89,3,0)*VLOOKUP('Données projet'!$B$9,Paramètres!$A$1:$I$89,5,0)</f>
        <v>84.147800000000018</v>
      </c>
      <c r="P30" s="13">
        <f t="shared" si="33"/>
        <v>23.148340019013897</v>
      </c>
      <c r="Q30" s="20">
        <f t="shared" si="2"/>
        <v>186.8741105331159</v>
      </c>
      <c r="R30" s="59">
        <f t="shared" si="0"/>
        <v>480.20744386644924</v>
      </c>
      <c r="S30" s="59">
        <f ca="1">AVERAGE(OFFSET($R$3,0,0,'Données projet'!$E$9+1,1))-AVERAGE(OFFSET($H$3,0,0,'Données projet'!$E$9+1,1))</f>
        <v>215.55381529099924</v>
      </c>
      <c r="T30" s="59">
        <f t="shared" si="34"/>
        <v>158.77848520346532</v>
      </c>
      <c r="U30" s="15">
        <f>IF(ISNA(VLOOKUP(A30,'Données projet'!$A$35:$I$55,3,0)),0,VLOOKUP(A30,'Données projet'!$A$35:$I$55,3,0))</f>
        <v>2</v>
      </c>
      <c r="V30" s="15">
        <f>IF(ISNA(VLOOKUP(A30,'Données projet'!$A$35:$I$55,4,0)),0,VLOOKUP(A30,'Données projet'!$A$35:$I$55,4,0))</f>
        <v>34.646153846153844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9.0000000000000011E-2</v>
      </c>
      <c r="Y30" s="16">
        <f>IF(ISNA(VLOOKUP(A30,'Données projet'!$A$35:$I$55,7,0)),0%,VLOOKUP(A30,'Données projet'!$A$35:$I$55,7,0))</f>
        <v>0.4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2.463846919168271</v>
      </c>
      <c r="AB30" s="21">
        <f>EXP(-LN(2)/2)*AB29+(1-EXP(-LN(2)/2))/(LN(2)/2)*V30*Y30*VLOOKUP('Données projet'!$B$9,Paramètres!$A$1:$I$89,3,0)*0.475*44/12</f>
        <v>12.539838337289824</v>
      </c>
      <c r="AC30" s="22">
        <f t="shared" si="3"/>
        <v>15.003685256458095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7.2264102564102561</v>
      </c>
      <c r="AI30" s="13">
        <f>IF('Données projet'!$A$62&gt;35,AI29+AH30-AQ29,IF(A30&lt;'Données projet'!$A$62,$AF$205^A30,IF(A30='Données projet'!$A$62,'Données projet'!$B$62,AI29+AH30-AQ29)))</f>
        <v>126.60168370519743</v>
      </c>
      <c r="AJ30" s="13">
        <f>AI30*VLOOKUP('Données projet'!$B$10,Paramètres!$A$1:$I$89,3,0)*VLOOKUP('Données projet'!$B$10,Paramètres!$A$1:$I$89,5,0)</f>
        <v>59.249587974032401</v>
      </c>
      <c r="AK30" s="13">
        <f t="shared" si="35"/>
        <v>16.97840255838226</v>
      </c>
      <c r="AL30" s="20">
        <f t="shared" si="4"/>
        <v>132.76375017728887</v>
      </c>
      <c r="AM30" s="59">
        <f t="shared" si="5"/>
        <v>426.09708351062216</v>
      </c>
      <c r="AN30" s="59">
        <f ca="1">AVERAGE(OFFSET($AM$3,0,0,'Données projet'!$E$10+1,1))-AVERAGE(OFFSET($H$3,0,0,'Données projet'!$E$10+1,1))</f>
        <v>205.31676282910638</v>
      </c>
      <c r="AO30" s="59">
        <f t="shared" si="36"/>
        <v>190.64998698136026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12.971794871794875</v>
      </c>
      <c r="N31" s="13">
        <f>IF('Données projet'!$A$36&gt;35,N30+M31-V30,IF(A31&lt;'Données projet'!$A$36,$K$205^A31,IF(A31='Données projet'!$A$36,'Données projet'!$B$36,N30+M31-V30)))</f>
        <v>119.04102564102567</v>
      </c>
      <c r="O31" s="13">
        <f>N31*VLOOKUP('Données projet'!$B$9,Paramètres!$A$1:$I$89,3,0)*VLOOKUP('Données projet'!$B$9,Paramètres!$A$1:$I$89,5,0)</f>
        <v>71.186533333333358</v>
      </c>
      <c r="P31" s="13">
        <f t="shared" si="33"/>
        <v>19.967826748678</v>
      </c>
      <c r="Q31" s="20">
        <f t="shared" si="2"/>
        <v>158.76051047616977</v>
      </c>
      <c r="R31" s="59">
        <f t="shared" si="0"/>
        <v>452.09384380950308</v>
      </c>
      <c r="S31" s="59">
        <f ca="1">AVERAGE(OFFSET($R$3,0,0,'Données projet'!$E$9+1,1))-AVERAGE(OFFSET($H$3,0,0,'Données projet'!$E$9+1,1))</f>
        <v>215.55381529099924</v>
      </c>
      <c r="T31" s="59">
        <f t="shared" si="34"/>
        <v>158.77848520346532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2.3964728955955366</v>
      </c>
      <c r="AB31" s="21">
        <f>EXP(-LN(2)/2)*AB30+(1-EXP(-LN(2)/2))/(LN(2)/2)*V31*Y31*VLOOKUP('Données projet'!$B$9,Paramètres!$A$1:$I$89,3,0)*0.475*44/12</f>
        <v>8.8670047232806759</v>
      </c>
      <c r="AC31" s="22">
        <f t="shared" si="3"/>
        <v>11.263477618876212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7.2264102564102561</v>
      </c>
      <c r="AI31" s="13">
        <f>IF('Données projet'!$A$62&gt;35,AI30+AH31-AQ30,IF(A31&lt;'Données projet'!$A$62,$AF$205^A31,IF(A31='Données projet'!$A$62,'Données projet'!$B$62,AI30+AH31-AQ30)))</f>
        <v>151.46336824615491</v>
      </c>
      <c r="AJ31" s="13">
        <f>AI31*VLOOKUP('Données projet'!$B$10,Paramètres!$A$1:$I$89,3,0)*VLOOKUP('Données projet'!$B$10,Paramètres!$A$1:$I$89,5,0)</f>
        <v>70.884856339200496</v>
      </c>
      <c r="AK31" s="13">
        <f t="shared" si="35"/>
        <v>19.893037679751526</v>
      </c>
      <c r="AL31" s="20">
        <f t="shared" si="4"/>
        <v>158.10483208300809</v>
      </c>
      <c r="AM31" s="59">
        <f t="shared" si="5"/>
        <v>451.43816541634141</v>
      </c>
      <c r="AN31" s="59">
        <f ca="1">AVERAGE(OFFSET($AM$3,0,0,'Données projet'!$E$10+1,1))-AVERAGE(OFFSET($H$3,0,0,'Données projet'!$E$10+1,1))</f>
        <v>205.31676282910638</v>
      </c>
      <c r="AO31" s="59">
        <f t="shared" si="36"/>
        <v>190.64998698136026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12.971794871794875</v>
      </c>
      <c r="N32" s="13">
        <f>IF('Données projet'!$A$36&gt;35,N31+M32-V31,IF(A32&lt;'Données projet'!$A$36,$K$205^A32,IF(A32='Données projet'!$A$36,'Données projet'!$B$36,N31+M32-V31)))</f>
        <v>132.01282051282055</v>
      </c>
      <c r="O32" s="13">
        <f>N32*VLOOKUP('Données projet'!$B$9,Paramètres!$A$1:$I$89,3,0)*VLOOKUP('Données projet'!$B$9,Paramètres!$A$1:$I$89,5,0)</f>
        <v>78.943666666666701</v>
      </c>
      <c r="P32" s="13">
        <f t="shared" si="33"/>
        <v>21.878705672057283</v>
      </c>
      <c r="Q32" s="20">
        <f t="shared" si="2"/>
        <v>175.59896515661092</v>
      </c>
      <c r="R32" s="59">
        <f t="shared" si="0"/>
        <v>468.93229848994423</v>
      </c>
      <c r="S32" s="59">
        <f ca="1">AVERAGE(OFFSET($R$3,0,0,'Données projet'!$E$9+1,1))-AVERAGE(OFFSET($H$3,0,0,'Données projet'!$E$9+1,1))</f>
        <v>215.55381529099924</v>
      </c>
      <c r="T32" s="59">
        <f t="shared" si="34"/>
        <v>158.77848520346532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2.3309412182404441</v>
      </c>
      <c r="AB32" s="21">
        <f>EXP(-LN(2)/2)*AB31+(1-EXP(-LN(2)/2))/(LN(2)/2)*V32*Y32*VLOOKUP('Données projet'!$B$9,Paramètres!$A$1:$I$89,3,0)*0.475*44/12</f>
        <v>6.2699191686449129</v>
      </c>
      <c r="AC32" s="22">
        <f t="shared" si="3"/>
        <v>8.6008603868853566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7.2264102564102561</v>
      </c>
      <c r="AI32" s="13">
        <f>IF('Données projet'!$A$62&gt;35,AI31+AH32-AQ31,IF(A32&lt;'Données projet'!$A$62,$AF$205^A32,IF(A32='Données projet'!$A$62,'Données projet'!$B$62,AI31+AH32-AQ31)))</f>
        <v>181.20732085910257</v>
      </c>
      <c r="AJ32" s="13">
        <f>AI32*VLOOKUP('Données projet'!$B$10,Paramètres!$A$1:$I$89,3,0)*VLOOKUP('Données projet'!$B$10,Paramètres!$A$1:$I$89,5,0)</f>
        <v>84.805026162060003</v>
      </c>
      <c r="AK32" s="13">
        <f t="shared" si="35"/>
        <v>23.308020101846395</v>
      </c>
      <c r="AL32" s="20">
        <f t="shared" si="4"/>
        <v>188.29688890963698</v>
      </c>
      <c r="AM32" s="59">
        <f t="shared" si="5"/>
        <v>481.63022224297026</v>
      </c>
      <c r="AN32" s="59">
        <f ca="1">AVERAGE(OFFSET($AM$3,0,0,'Données projet'!$E$10+1,1))-AVERAGE(OFFSET($H$3,0,0,'Données projet'!$E$10+1,1))</f>
        <v>205.31676282910638</v>
      </c>
      <c r="AO32" s="59">
        <f t="shared" si="36"/>
        <v>190.64998698136026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144.98461538461538</v>
      </c>
      <c r="L33" s="12">
        <f>VLOOKUP(A33,'Données projet'!$A$35:$I$55,9,0)</f>
        <v>12.971794871794875</v>
      </c>
      <c r="M33" s="12">
        <f t="array" ref="M33">INDEX(L:L,MIN(IF(ISNUMBER(L33:L229),ROW(L33:L229),"")))</f>
        <v>12.971794871794875</v>
      </c>
      <c r="N33" s="13">
        <f>IF('Données projet'!$A$36&gt;35,N32+M33-V32,IF(A33&lt;'Données projet'!$A$36,$K$205^A33,IF(A33='Données projet'!$A$36,'Données projet'!$B$36,N32+M33-V32)))</f>
        <v>144.98461538461544</v>
      </c>
      <c r="O33" s="13">
        <f>N33*VLOOKUP('Données projet'!$B$9,Paramètres!$A$1:$I$89,3,0)*VLOOKUP('Données projet'!$B$9,Paramètres!$A$1:$I$89,5,0)</f>
        <v>86.700800000000044</v>
      </c>
      <c r="P33" s="13">
        <f t="shared" si="33"/>
        <v>23.767816195343574</v>
      </c>
      <c r="Q33" s="20">
        <f t="shared" si="2"/>
        <v>192.39950654022346</v>
      </c>
      <c r="R33" s="59">
        <f t="shared" si="0"/>
        <v>485.73283987355677</v>
      </c>
      <c r="S33" s="59">
        <f ca="1">AVERAGE(OFFSET($R$3,0,0,'Données projet'!$E$9+1,1))-AVERAGE(OFFSET($H$3,0,0,'Données projet'!$E$9+1,1))</f>
        <v>215.55381529099924</v>
      </c>
      <c r="T33" s="59">
        <f t="shared" si="34"/>
        <v>158.77848520346532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2.267201508048788</v>
      </c>
      <c r="AB33" s="21">
        <f>EXP(-LN(2)/2)*AB32+(1-EXP(-LN(2)/2))/(LN(2)/2)*V33*Y33*VLOOKUP('Données projet'!$B$9,Paramètres!$A$1:$I$89,3,0)*0.475*44/12</f>
        <v>4.4335023616403388</v>
      </c>
      <c r="AC33" s="22">
        <f t="shared" si="3"/>
        <v>6.7007038696891268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216.79230769230767</v>
      </c>
      <c r="AG33" s="12">
        <f>VLOOKUP(A33,'Données projet'!$A$61:$I$81,9,0)</f>
        <v>7.2264102564102561</v>
      </c>
      <c r="AH33" s="12">
        <f t="array" ref="AH33">INDEX(AG:AG,MIN(IF(ISNUMBER(AG33:AG229),ROW(AG33:AG229),"")))</f>
        <v>7.2264102564102561</v>
      </c>
      <c r="AI33" s="13">
        <f>IF('Données projet'!$A$62&gt;35,AI32+AH33-AQ32,IF(A33&lt;'Données projet'!$A$62,$AF$205^A33,IF(A33='Données projet'!$A$62,'Données projet'!$B$62,AI32+AH33-AQ32)))</f>
        <v>216.79230769230767</v>
      </c>
      <c r="AJ33" s="13">
        <f>AI33*VLOOKUP('Données projet'!$B$10,Paramètres!$A$1:$I$89,3,0)*VLOOKUP('Données projet'!$B$10,Paramètres!$A$1:$I$89,5,0)</f>
        <v>101.45879999999998</v>
      </c>
      <c r="AK33" s="13">
        <f t="shared" si="35"/>
        <v>27.309243053465156</v>
      </c>
      <c r="AL33" s="20">
        <f t="shared" si="4"/>
        <v>224.27100831811845</v>
      </c>
      <c r="AM33" s="59">
        <f t="shared" si="5"/>
        <v>517.6043416514517</v>
      </c>
      <c r="AN33" s="59">
        <f ca="1">AVERAGE(OFFSET($AM$3,0,0,'Données projet'!$E$10+1,1))-AVERAGE(OFFSET($H$3,0,0,'Données projet'!$E$10+1,1))</f>
        <v>205.31676282910638</v>
      </c>
      <c r="AO33" s="59">
        <f t="shared" si="36"/>
        <v>190.64998698136026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12.971794871794865</v>
      </c>
      <c r="N34" s="13">
        <f>IF('Données projet'!$A$36&gt;35,N33+M34-V33,IF(A34&lt;'Données projet'!$A$36,$K$205^A34,IF(A34='Données projet'!$A$36,'Données projet'!$B$36,N33+M34-V33)))</f>
        <v>157.95641025641029</v>
      </c>
      <c r="O34" s="13">
        <f>N34*VLOOKUP('Données projet'!$B$9,Paramètres!$A$1:$I$89,3,0)*VLOOKUP('Données projet'!$B$9,Paramètres!$A$1:$I$89,5,0)</f>
        <v>94.457933333333358</v>
      </c>
      <c r="P34" s="13">
        <f t="shared" si="33"/>
        <v>25.637327417415943</v>
      </c>
      <c r="Q34" s="20">
        <f t="shared" si="2"/>
        <v>209.1659124742217</v>
      </c>
      <c r="R34" s="59">
        <f t="shared" si="0"/>
        <v>502.49924580755498</v>
      </c>
      <c r="S34" s="59">
        <f ca="1">AVERAGE(OFFSET($R$3,0,0,'Données projet'!$E$9+1,1))-AVERAGE(OFFSET($H$3,0,0,'Données projet'!$E$9+1,1))</f>
        <v>215.55381529099924</v>
      </c>
      <c r="T34" s="59">
        <f t="shared" si="34"/>
        <v>158.77848520346532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2.2052047635842484</v>
      </c>
      <c r="AB34" s="21">
        <f>EXP(-LN(2)/2)*AB33+(1-EXP(-LN(2)/2))/(LN(2)/2)*V34*Y34*VLOOKUP('Données projet'!$B$9,Paramètres!$A$1:$I$89,3,0)*0.475*44/12</f>
        <v>3.1349595843224569</v>
      </c>
      <c r="AC34" s="22">
        <f t="shared" si="3"/>
        <v>5.3401643479067058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15.252564102564108</v>
      </c>
      <c r="AI34" s="13">
        <f>IF('Données projet'!$A$62&gt;35,AI33+AH34-AQ33,IF(A34&lt;'Données projet'!$A$62,$AF$205^A34,IF(A34='Données projet'!$A$62,'Données projet'!$B$62,AI33+AH34-AQ33)))</f>
        <v>232.04487179487177</v>
      </c>
      <c r="AJ34" s="13">
        <f>AI34*VLOOKUP('Données projet'!$B$10,Paramètres!$A$1:$I$89,3,0)*VLOOKUP('Données projet'!$B$10,Paramètres!$A$1:$I$89,5,0)</f>
        <v>108.59699999999999</v>
      </c>
      <c r="AK34" s="13">
        <f t="shared" si="35"/>
        <v>29.000180279160592</v>
      </c>
      <c r="AL34" s="20">
        <f t="shared" si="4"/>
        <v>239.64842231953807</v>
      </c>
      <c r="AM34" s="59">
        <f t="shared" si="5"/>
        <v>532.98175565287136</v>
      </c>
      <c r="AN34" s="59">
        <f ca="1">AVERAGE(OFFSET($AM$3,0,0,'Données projet'!$E$10+1,1))-AVERAGE(OFFSET($H$3,0,0,'Données projet'!$E$10+1,1))</f>
        <v>205.31676282910638</v>
      </c>
      <c r="AO34" s="59">
        <f t="shared" si="36"/>
        <v>190.64998698136026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12.971794871794865</v>
      </c>
      <c r="N35" s="13">
        <f>IF('Données projet'!$A$36&gt;35,N34+M35-V34,IF(A35&lt;'Données projet'!$A$36,$K$205^A35,IF(A35='Données projet'!$A$36,'Données projet'!$B$36,N34+M35-V34)))</f>
        <v>170.92820512820515</v>
      </c>
      <c r="O35" s="13">
        <f>N35*VLOOKUP('Données projet'!$B$9,Paramètres!$A$1:$I$89,3,0)*VLOOKUP('Données projet'!$B$9,Paramètres!$A$1:$I$89,5,0)</f>
        <v>102.21506666666667</v>
      </c>
      <c r="P35" s="13">
        <f t="shared" si="33"/>
        <v>27.489031873505194</v>
      </c>
      <c r="Q35" s="20">
        <f t="shared" ref="Q35:Q66" si="53">(O35+P35)*0.475*44/12</f>
        <v>225.90130495746598</v>
      </c>
      <c r="R35" s="59">
        <f t="shared" si="0"/>
        <v>519.23463829079924</v>
      </c>
      <c r="S35" s="59">
        <f ca="1">AVERAGE(OFFSET($R$3,0,0,'Données projet'!$E$9+1,1))-AVERAGE(OFFSET($H$3,0,0,'Données projet'!$E$9+1,1))</f>
        <v>215.55381529099924</v>
      </c>
      <c r="T35" s="59">
        <f t="shared" si="34"/>
        <v>158.77848520346532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2.1449033233573589</v>
      </c>
      <c r="AB35" s="21">
        <f>EXP(-LN(2)/2)*AB34+(1-EXP(-LN(2)/2))/(LN(2)/2)*V35*Y35*VLOOKUP('Données projet'!$B$9,Paramètres!$A$1:$I$89,3,0)*0.475*44/12</f>
        <v>2.2167511808201699</v>
      </c>
      <c r="AC35" s="22">
        <f t="shared" si="3"/>
        <v>4.3616545041775288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15.252564102564108</v>
      </c>
      <c r="AI35" s="13">
        <f>IF('Données projet'!$A$62&gt;35,AI34+AH35-AQ34,IF(A35&lt;'Données projet'!$A$62,$AF$205^A35,IF(A35='Données projet'!$A$62,'Données projet'!$B$62,AI34+AH35-AQ34)))</f>
        <v>247.29743589743589</v>
      </c>
      <c r="AJ35" s="13">
        <f>AI35*VLOOKUP('Données projet'!$B$10,Paramètres!$A$1:$I$89,3,0)*VLOOKUP('Données projet'!$B$10,Paramètres!$A$1:$I$89,5,0)</f>
        <v>115.73519999999999</v>
      </c>
      <c r="AK35" s="13">
        <f t="shared" si="35"/>
        <v>30.678219541597265</v>
      </c>
      <c r="AL35" s="20">
        <f t="shared" si="4"/>
        <v>255.0033723682819</v>
      </c>
      <c r="AM35" s="59">
        <f t="shared" si="5"/>
        <v>548.33670570161519</v>
      </c>
      <c r="AN35" s="59">
        <f ca="1">AVERAGE(OFFSET($AM$3,0,0,'Données projet'!$E$10+1,1))-AVERAGE(OFFSET($H$3,0,0,'Données projet'!$E$10+1,1))</f>
        <v>205.31676282910638</v>
      </c>
      <c r="AO35" s="59">
        <f t="shared" si="36"/>
        <v>190.64998698136026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183.89999999999998</v>
      </c>
      <c r="L36" s="12">
        <f>VLOOKUP(A36,'Données projet'!$A$35:$I$55,9,0)</f>
        <v>12.971794871794865</v>
      </c>
      <c r="M36" s="12">
        <f t="array" ref="M36">INDEX(L:L,MIN(IF(ISNUMBER(L36:L232),ROW(L36:L232),"")))</f>
        <v>12.971794871794865</v>
      </c>
      <c r="N36" s="13">
        <f>IF('Données projet'!$A$36&gt;35,N35+M36-V35,IF(A36&lt;'Données projet'!$A$36,$K$205^A36,IF(A36='Données projet'!$A$36,'Données projet'!$B$36,N35+M36-V35)))</f>
        <v>183.9</v>
      </c>
      <c r="O36" s="13">
        <f>N36*VLOOKUP('Données projet'!$B$9,Paramètres!$A$1:$I$89,3,0)*VLOOKUP('Données projet'!$B$9,Paramètres!$A$1:$I$89,5,0)</f>
        <v>109.97220000000002</v>
      </c>
      <c r="P36" s="13">
        <f t="shared" si="33"/>
        <v>29.324434579377328</v>
      </c>
      <c r="Q36" s="20">
        <f t="shared" si="53"/>
        <v>242.60830522574886</v>
      </c>
      <c r="R36" s="59">
        <f t="shared" si="0"/>
        <v>535.94163855908221</v>
      </c>
      <c r="S36" s="59">
        <f ca="1">AVERAGE(OFFSET($R$3,0,0,'Données projet'!$E$9+1,1))-AVERAGE(OFFSET($H$3,0,0,'Données projet'!$E$9+1,1))</f>
        <v>215.55381529099924</v>
      </c>
      <c r="T36" s="59">
        <f t="shared" si="34"/>
        <v>158.77848520346532</v>
      </c>
      <c r="U36" s="15">
        <f>IF(ISNA(VLOOKUP(A36,'Données projet'!$A$35:$I$55,3,0)),0,VLOOKUP(A36,'Données projet'!$A$35:$I$55,3,0))</f>
        <v>3</v>
      </c>
      <c r="V36" s="15">
        <f>IF(ISNA(VLOOKUP(A36,'Données projet'!$A$35:$I$55,4,0)),0,VLOOKUP(A36,'Données projet'!$A$35:$I$55,4,0))</f>
        <v>43.007692307692302</v>
      </c>
      <c r="W36" s="16" t="e">
        <f>IF(ISNA(VLOOKUP(A36,'Données projet'!$A$35:$I$55,5,0)),0%,VLOOKUP(A36,'Données projet'!$A$35:$I$55,5,0)*VLOOKUP('Données projet'!$B$9,Paramètres!$A$1:$I$89,7,0))</f>
        <v>#VALUE!</v>
      </c>
      <c r="X36" s="16" t="e">
        <f>IF(ISNA(VLOOKUP(A36,'Données projet'!$A$35:$I$55,6,0)),0%,VLOOKUP(A36,'Données projet'!$A$35:$I$55,6,0)*VLOOKUP('Données projet'!$B$9,Paramètres!$A$1:$I$89,7,0))</f>
        <v>#VALUE!</v>
      </c>
      <c r="Y36" s="16" t="str">
        <f>IF(ISNA(VLOOKUP(A36,'Données projet'!$A$35:$I$55,7,0)),0%,VLOOKUP(A36,'Données projet'!$A$35:$I$55,7,0))</f>
        <v/>
      </c>
      <c r="Z36" s="21" t="e">
        <f>EXP(-LN(2)/35)*Z35+(1-EXP(-LN(2)/35))/(LN(2)/35)*V36*W36*VLOOKUP('Données projet'!$B$9,Paramètres!$A$1:$I$89,3,0)*0.475*44/12</f>
        <v>#VALUE!</v>
      </c>
      <c r="AA36" s="21" t="e">
        <f>EXP(-LN(2)/25)*AA35+(1-EXP(-LN(2)/25))/(LN(2)/25)*Calculateur!V36*Calculateur!X36*VLOOKUP('Données projet'!$B$9,Paramètres!$A$1:$I$89,3,0)*0.475*44/12</f>
        <v>#VALUE!</v>
      </c>
      <c r="AB36" s="21" t="e">
        <f>EXP(-LN(2)/2)*AB35+(1-EXP(-LN(2)/2))/(LN(2)/2)*V36*Y36*VLOOKUP('Données projet'!$B$9,Paramètres!$A$1:$I$89,3,0)*0.475*44/12</f>
        <v>#VALUE!</v>
      </c>
      <c r="AC36" s="22" t="e">
        <f t="shared" si="3"/>
        <v>#VALUE!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15.252564102564108</v>
      </c>
      <c r="AI36" s="13">
        <f>IF('Données projet'!$A$62&gt;35,AI35+AH36-AQ35,IF(A36&lt;'Données projet'!$A$62,$AF$205^A36,IF(A36='Données projet'!$A$62,'Données projet'!$B$62,AI35+AH36-AQ35)))</f>
        <v>262.55</v>
      </c>
      <c r="AJ36" s="13">
        <f>AI36*VLOOKUP('Données projet'!$B$10,Paramètres!$A$1:$I$89,3,0)*VLOOKUP('Données projet'!$B$10,Paramètres!$A$1:$I$89,5,0)</f>
        <v>122.8734</v>
      </c>
      <c r="AK36" s="13">
        <f t="shared" si="35"/>
        <v>32.344246922925713</v>
      </c>
      <c r="AL36" s="20">
        <f t="shared" si="4"/>
        <v>270.33740172409563</v>
      </c>
      <c r="AM36" s="59">
        <f t="shared" si="5"/>
        <v>563.67073505742894</v>
      </c>
      <c r="AN36" s="59">
        <f ca="1">AVERAGE(OFFSET($AM$3,0,0,'Données projet'!$E$10+1,1))-AVERAGE(OFFSET($H$3,0,0,'Données projet'!$E$10+1,1))</f>
        <v>205.31676282910638</v>
      </c>
      <c r="AO36" s="59">
        <f t="shared" si="36"/>
        <v>190.64998698136026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12.74038461538462</v>
      </c>
      <c r="N37" s="13">
        <f>IF('Données projet'!$A$36&gt;35,N36+M37-V36,IF(A37&lt;'Données projet'!$A$36,$K$205^A37,IF(A37='Données projet'!$A$36,'Données projet'!$B$36,N36+M37-V36)))</f>
        <v>153.63269230769231</v>
      </c>
      <c r="O37" s="13">
        <f>N37*VLOOKUP('Données projet'!$B$9,Paramètres!$A$1:$I$89,3,0)*VLOOKUP('Données projet'!$B$9,Paramètres!$A$1:$I$89,5,0)</f>
        <v>91.872349999999997</v>
      </c>
      <c r="P37" s="13">
        <f t="shared" si="33"/>
        <v>25.016248165039102</v>
      </c>
      <c r="Q37" s="20">
        <f t="shared" si="53"/>
        <v>203.58097513744312</v>
      </c>
      <c r="R37" s="59">
        <f t="shared" si="0"/>
        <v>496.9143084707764</v>
      </c>
      <c r="S37" s="59">
        <f ca="1">AVERAGE(OFFSET($R$3,0,0,'Données projet'!$E$9+1,1))-AVERAGE(OFFSET($H$3,0,0,'Données projet'!$E$9+1,1))</f>
        <v>215.55381529099924</v>
      </c>
      <c r="T37" s="59">
        <f t="shared" si="34"/>
        <v>158.77848520346532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 t="e">
        <f>EXP(-LN(2)/35)*Z36+(1-EXP(-LN(2)/35))/(LN(2)/35)*V37*W37*VLOOKUP('Données projet'!$B$9,Paramètres!$A$1:$I$89,3,0)*0.475*44/12</f>
        <v>#VALUE!</v>
      </c>
      <c r="AA37" s="21" t="e">
        <f>EXP(-LN(2)/25)*AA36+(1-EXP(-LN(2)/25))/(LN(2)/25)*Calculateur!V37*Calculateur!X37*VLOOKUP('Données projet'!$B$9,Paramètres!$A$1:$I$89,3,0)*0.475*44/12</f>
        <v>#VALUE!</v>
      </c>
      <c r="AB37" s="21" t="e">
        <f>EXP(-LN(2)/2)*AB36+(1-EXP(-LN(2)/2))/(LN(2)/2)*V37*Y37*VLOOKUP('Données projet'!$B$9,Paramètres!$A$1:$I$89,3,0)*0.475*44/12</f>
        <v>#VALUE!</v>
      </c>
      <c r="AC37" s="22" t="e">
        <f t="shared" si="3"/>
        <v>#VALUE!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15.252564102564108</v>
      </c>
      <c r="AI37" s="13">
        <f>IF('Données projet'!$A$62&gt;35,AI36+AH37-AQ36,IF(A37&lt;'Données projet'!$A$62,$AF$205^A37,IF(A37='Données projet'!$A$62,'Données projet'!$B$62,AI36+AH37-AQ36)))</f>
        <v>277.80256410256413</v>
      </c>
      <c r="AJ37" s="13">
        <f>AI37*VLOOKUP('Données projet'!$B$10,Paramètres!$A$1:$I$89,3,0)*VLOOKUP('Données projet'!$B$10,Paramètres!$A$1:$I$89,5,0)</f>
        <v>130.01160000000002</v>
      </c>
      <c r="AK37" s="13">
        <f t="shared" si="35"/>
        <v>33.99903973784582</v>
      </c>
      <c r="AL37" s="20">
        <f t="shared" si="4"/>
        <v>285.65186421008156</v>
      </c>
      <c r="AM37" s="59">
        <f t="shared" si="5"/>
        <v>578.98519754341487</v>
      </c>
      <c r="AN37" s="59">
        <f ca="1">AVERAGE(OFFSET($AM$3,0,0,'Données projet'!$E$10+1,1))-AVERAGE(OFFSET($H$3,0,0,'Données projet'!$E$10+1,1))</f>
        <v>205.31676282910638</v>
      </c>
      <c r="AO37" s="59">
        <f t="shared" si="36"/>
        <v>190.64998698136026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12.74038461538462</v>
      </c>
      <c r="N38" s="13">
        <f>IF('Données projet'!$A$36&gt;35,N37+M38-V37,IF(A38&lt;'Données projet'!$A$36,$K$205^A38,IF(A38='Données projet'!$A$36,'Données projet'!$B$36,N37+M38-V37)))</f>
        <v>166.37307692307692</v>
      </c>
      <c r="O38" s="13">
        <f>N38*VLOOKUP('Données projet'!$B$9,Paramètres!$A$1:$I$89,3,0)*VLOOKUP('Données projet'!$B$9,Paramètres!$A$1:$I$89,5,0)</f>
        <v>99.491100000000017</v>
      </c>
      <c r="P38" s="13">
        <f t="shared" si="33"/>
        <v>26.84072316435665</v>
      </c>
      <c r="Q38" s="20">
        <f t="shared" si="53"/>
        <v>220.02792534458786</v>
      </c>
      <c r="R38" s="59">
        <f t="shared" si="0"/>
        <v>513.36125867792111</v>
      </c>
      <c r="S38" s="59">
        <f ca="1">AVERAGE(OFFSET($R$3,0,0,'Données projet'!$E$9+1,1))-AVERAGE(OFFSET($H$3,0,0,'Données projet'!$E$9+1,1))</f>
        <v>215.55381529099924</v>
      </c>
      <c r="T38" s="59">
        <f t="shared" si="34"/>
        <v>158.77848520346532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 t="e">
        <f>EXP(-LN(2)/35)*Z37+(1-EXP(-LN(2)/35))/(LN(2)/35)*V38*W38*VLOOKUP('Données projet'!$B$9,Paramètres!$A$1:$I$89,3,0)*0.475*44/12</f>
        <v>#VALUE!</v>
      </c>
      <c r="AA38" s="21" t="e">
        <f>EXP(-LN(2)/25)*AA37+(1-EXP(-LN(2)/25))/(LN(2)/25)*Calculateur!V38*Calculateur!X38*VLOOKUP('Données projet'!$B$9,Paramètres!$A$1:$I$89,3,0)*0.475*44/12</f>
        <v>#VALUE!</v>
      </c>
      <c r="AB38" s="21" t="e">
        <f>EXP(-LN(2)/2)*AB37+(1-EXP(-LN(2)/2))/(LN(2)/2)*V38*Y38*VLOOKUP('Données projet'!$B$9,Paramètres!$A$1:$I$89,3,0)*0.475*44/12</f>
        <v>#VALUE!</v>
      </c>
      <c r="AC38" s="22" t="e">
        <f t="shared" si="3"/>
        <v>#VALUE!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15.252564102564108</v>
      </c>
      <c r="AI38" s="13">
        <f>IF('Données projet'!$A$62&gt;35,AI37+AH38-AQ37,IF(A38&lt;'Données projet'!$A$62,$AF$205^A38,IF(A38='Données projet'!$A$62,'Données projet'!$B$62,AI37+AH38-AQ37)))</f>
        <v>293.05512820512826</v>
      </c>
      <c r="AJ38" s="13">
        <f>AI38*VLOOKUP('Données projet'!$B$10,Paramètres!$A$1:$I$89,3,0)*VLOOKUP('Données projet'!$B$10,Paramètres!$A$1:$I$89,5,0)</f>
        <v>137.14980000000003</v>
      </c>
      <c r="AK38" s="13">
        <f t="shared" si="35"/>
        <v>35.643285124422462</v>
      </c>
      <c r="AL38" s="20">
        <f t="shared" si="4"/>
        <v>300.94795659170251</v>
      </c>
      <c r="AM38" s="59">
        <f t="shared" si="5"/>
        <v>594.28128992503582</v>
      </c>
      <c r="AN38" s="59">
        <f ca="1">AVERAGE(OFFSET($AM$3,0,0,'Données projet'!$E$10+1,1))-AVERAGE(OFFSET($H$3,0,0,'Données projet'!$E$10+1,1))</f>
        <v>205.31676282910638</v>
      </c>
      <c r="AO38" s="59">
        <f t="shared" si="36"/>
        <v>190.64998698136026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12.74038461538462</v>
      </c>
      <c r="N39" s="13">
        <f>IF('Données projet'!$A$36&gt;35,N38+M39-V38,IF(A39&lt;'Données projet'!$A$36,$K$205^A39,IF(A39='Données projet'!$A$36,'Données projet'!$B$36,N38+M39-V38)))</f>
        <v>179.11346153846154</v>
      </c>
      <c r="O39" s="13">
        <f>N39*VLOOKUP('Données projet'!$B$9,Paramètres!$A$1:$I$89,3,0)*VLOOKUP('Données projet'!$B$9,Paramètres!$A$1:$I$89,5,0)</f>
        <v>107.10985000000001</v>
      </c>
      <c r="P39" s="13">
        <f t="shared" si="33"/>
        <v>28.648991101707331</v>
      </c>
      <c r="Q39" s="20">
        <f t="shared" si="53"/>
        <v>236.44664825214025</v>
      </c>
      <c r="R39" s="59">
        <f t="shared" si="0"/>
        <v>529.77998158547359</v>
      </c>
      <c r="S39" s="59">
        <f ca="1">AVERAGE(OFFSET($R$3,0,0,'Données projet'!$E$9+1,1))-AVERAGE(OFFSET($H$3,0,0,'Données projet'!$E$9+1,1))</f>
        <v>215.55381529099924</v>
      </c>
      <c r="T39" s="59">
        <f t="shared" si="34"/>
        <v>158.77848520346532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 t="e">
        <f>EXP(-LN(2)/35)*Z38+(1-EXP(-LN(2)/35))/(LN(2)/35)*V39*W39*VLOOKUP('Données projet'!$B$9,Paramètres!$A$1:$I$89,3,0)*0.475*44/12</f>
        <v>#VALUE!</v>
      </c>
      <c r="AA39" s="21" t="e">
        <f>EXP(-LN(2)/25)*AA38+(1-EXP(-LN(2)/25))/(LN(2)/25)*Calculateur!V39*Calculateur!X39*VLOOKUP('Données projet'!$B$9,Paramètres!$A$1:$I$89,3,0)*0.475*44/12</f>
        <v>#VALUE!</v>
      </c>
      <c r="AB39" s="21" t="e">
        <f>EXP(-LN(2)/2)*AB38+(1-EXP(-LN(2)/2))/(LN(2)/2)*V39*Y39*VLOOKUP('Données projet'!$B$9,Paramètres!$A$1:$I$89,3,0)*0.475*44/12</f>
        <v>#VALUE!</v>
      </c>
      <c r="AC39" s="22" t="e">
        <f t="shared" si="3"/>
        <v>#VALUE!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308.30769230769232</v>
      </c>
      <c r="AG39" s="12">
        <f>VLOOKUP(A39,'Données projet'!$A$61:$I$81,9,0)</f>
        <v>15.252564102564108</v>
      </c>
      <c r="AH39" s="12">
        <f t="array" ref="AH39">INDEX(AG:AG,MIN(IF(ISNUMBER(AG39:AG235),ROW(AG39:AG235),"")))</f>
        <v>15.252564102564108</v>
      </c>
      <c r="AI39" s="13">
        <f>IF('Données projet'!$A$62&gt;35,AI38+AH39-AQ38,IF(A39&lt;'Données projet'!$A$62,$AF$205^A39,IF(A39='Données projet'!$A$62,'Données projet'!$B$62,AI38+AH39-AQ38)))</f>
        <v>308.30769230769238</v>
      </c>
      <c r="AJ39" s="13">
        <f>AI39*VLOOKUP('Données projet'!$B$10,Paramètres!$A$1:$I$89,3,0)*VLOOKUP('Données projet'!$B$10,Paramètres!$A$1:$I$89,5,0)</f>
        <v>144.28800000000001</v>
      </c>
      <c r="AK39" s="13">
        <f t="shared" si="35"/>
        <v>37.277594654222469</v>
      </c>
      <c r="AL39" s="20">
        <f t="shared" si="4"/>
        <v>316.22674402277079</v>
      </c>
      <c r="AM39" s="59">
        <f t="shared" si="5"/>
        <v>609.5600773561041</v>
      </c>
      <c r="AN39" s="59">
        <f ca="1">AVERAGE(OFFSET($AM$3,0,0,'Données projet'!$E$10+1,1))-AVERAGE(OFFSET($H$3,0,0,'Données projet'!$E$10+1,1))</f>
        <v>205.31676282910638</v>
      </c>
      <c r="AO39" s="59">
        <f t="shared" si="36"/>
        <v>190.64998698136026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 t="e">
        <f>IF(ISNA(VLOOKUP(A39,'Données projet'!$A$61:$I$81,5,0)),0%,VLOOKUP(A39,'Données projet'!$A$61:$I$81,5,0)*VLOOKUP('Données projet'!$B$10,Paramètres!$A$1:$I$89,7,0))</f>
        <v>#VALUE!</v>
      </c>
      <c r="AS39" s="16" t="e">
        <f>IF(ISNA(VLOOKUP(A39,'Données projet'!$A$61:$I$81,6,0)),0%,VLOOKUP(A39,'Données projet'!$A$61:$I$81,6,0)*VLOOKUP('Données projet'!$B$10,Paramètres!$A$1:$I$89,7,0))</f>
        <v>#VALUE!</v>
      </c>
      <c r="AT39" s="16" t="str">
        <f>IF(ISNA(VLOOKUP(A39,'Données projet'!$A$61:$I$81,7,0)),0%,VLOOKUP(A39,'Données projet'!$A$61:$I$81,7,0))</f>
        <v/>
      </c>
      <c r="AU39" s="21" t="e">
        <f>EXP(-LN(2)/35)*AU38+(1-EXP(-LN(2)/35))/(LN(2)/35)*AQ39*AR39*VLOOKUP('Données projet'!$B$10,Paramètres!$A$1:$I$89,3,0)*0.475*44/12</f>
        <v>#VALUE!</v>
      </c>
      <c r="AV39" s="21" t="e">
        <f>EXP(-LN(2)/25)*AV38+(1-EXP(-LN(2)/25))/(LN(2)/25)*Calculateur!AQ39*Calculateur!AS39*VLOOKUP('Données projet'!$B$10,Paramètres!$A$1:$I$89,3,0)*0.475*44/12</f>
        <v>#VALUE!</v>
      </c>
      <c r="AW39" s="21" t="e">
        <f>EXP(-LN(2)/2)*AW38+(1-EXP(-LN(2)/2))/(LN(2)/2)*AQ39*AT39*VLOOKUP('Données projet'!$B$10,Paramètres!$A$1:$I$89,3,0)*0.475*44/12</f>
        <v>#VALUE!</v>
      </c>
      <c r="AX39" s="21" t="e">
        <f t="shared" si="6"/>
        <v>#VALUE!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12.74038461538462</v>
      </c>
      <c r="N40" s="13">
        <f>IF('Données projet'!$A$36&gt;35,N39+M40-V39,IF(A40&lt;'Données projet'!$A$36,$K$205^A40,IF(A40='Données projet'!$A$36,'Données projet'!$B$36,N39+M40-V39)))</f>
        <v>191.85384615384615</v>
      </c>
      <c r="O40" s="13">
        <f>N40*VLOOKUP('Données projet'!$B$9,Paramètres!$A$1:$I$89,3,0)*VLOOKUP('Données projet'!$B$9,Paramètres!$A$1:$I$89,5,0)</f>
        <v>114.7286</v>
      </c>
      <c r="P40" s="13">
        <f t="shared" si="33"/>
        <v>30.442335906087649</v>
      </c>
      <c r="Q40" s="20">
        <f t="shared" si="53"/>
        <v>252.83938003643598</v>
      </c>
      <c r="R40" s="59">
        <f t="shared" si="0"/>
        <v>546.17271336976933</v>
      </c>
      <c r="S40" s="59">
        <f ca="1">AVERAGE(OFFSET($R$3,0,0,'Données projet'!$E$9+1,1))-AVERAGE(OFFSET($H$3,0,0,'Données projet'!$E$9+1,1))</f>
        <v>215.55381529099924</v>
      </c>
      <c r="T40" s="59">
        <f t="shared" si="34"/>
        <v>158.77848520346532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 t="e">
        <f>EXP(-LN(2)/35)*Z39+(1-EXP(-LN(2)/35))/(LN(2)/35)*V40*W40*VLOOKUP('Données projet'!$B$9,Paramètres!$A$1:$I$89,3,0)*0.475*44/12</f>
        <v>#VALUE!</v>
      </c>
      <c r="AA40" s="21" t="e">
        <f>EXP(-LN(2)/25)*AA39+(1-EXP(-LN(2)/25))/(LN(2)/25)*Calculateur!V40*Calculateur!X40*VLOOKUP('Données projet'!$B$9,Paramètres!$A$1:$I$89,3,0)*0.475*44/12</f>
        <v>#VALUE!</v>
      </c>
      <c r="AB40" s="21" t="e">
        <f>EXP(-LN(2)/2)*AB39+(1-EXP(-LN(2)/2))/(LN(2)/2)*V40*Y40*VLOOKUP('Données projet'!$B$9,Paramètres!$A$1:$I$89,3,0)*0.475*44/12</f>
        <v>#VALUE!</v>
      </c>
      <c r="AC40" s="22" t="e">
        <f t="shared" si="3"/>
        <v>#VALUE!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17.010256410256414</v>
      </c>
      <c r="AI40" s="13">
        <f>IF('Données projet'!$A$62&gt;35,AI39+AH40-AQ39,IF(A40&lt;'Données projet'!$A$62,$AF$205^A40,IF(A40='Données projet'!$A$62,'Données projet'!$B$62,AI39+AH40-AQ39)))</f>
        <v>325.31794871794881</v>
      </c>
      <c r="AJ40" s="13">
        <f>AI40*VLOOKUP('Données projet'!$B$10,Paramètres!$A$1:$I$89,3,0)*VLOOKUP('Données projet'!$B$10,Paramètres!$A$1:$I$89,5,0)</f>
        <v>152.24880000000005</v>
      </c>
      <c r="AK40" s="13">
        <f t="shared" si="35"/>
        <v>39.089190051694011</v>
      </c>
      <c r="AL40" s="20">
        <f t="shared" si="4"/>
        <v>333.24699934003382</v>
      </c>
      <c r="AM40" s="59">
        <f t="shared" si="5"/>
        <v>626.58033267336714</v>
      </c>
      <c r="AN40" s="59">
        <f ca="1">AVERAGE(OFFSET($AM$3,0,0,'Données projet'!$E$10+1,1))-AVERAGE(OFFSET($H$3,0,0,'Données projet'!$E$10+1,1))</f>
        <v>205.31676282910638</v>
      </c>
      <c r="AO40" s="59">
        <f t="shared" si="36"/>
        <v>190.64998698136026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#VALUE!</v>
      </c>
      <c r="AV40" s="21" t="e">
        <f>EXP(-LN(2)/25)*AV39+(1-EXP(-LN(2)/25))/(LN(2)/25)*Calculateur!AQ40*Calculateur!AS40*VLOOKUP('Données projet'!$B$10,Paramètres!$A$1:$I$89,3,0)*0.475*44/12</f>
        <v>#VALUE!</v>
      </c>
      <c r="AW40" s="21" t="e">
        <f>EXP(-LN(2)/2)*AW39+(1-EXP(-LN(2)/2))/(LN(2)/2)*AQ40*AT40*VLOOKUP('Données projet'!$B$10,Paramètres!$A$1:$I$89,3,0)*0.475*44/12</f>
        <v>#VALUE!</v>
      </c>
      <c r="AX40" s="21" t="e">
        <f t="shared" si="6"/>
        <v>#VALUE!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12.74038461538462</v>
      </c>
      <c r="N41" s="13">
        <f>IF('Données projet'!$A$36&gt;35,N40+M41-V40,IF(A41&lt;'Données projet'!$A$36,$K$205^A41,IF(A41='Données projet'!$A$36,'Données projet'!$B$36,N40+M41-V40)))</f>
        <v>204.59423076923076</v>
      </c>
      <c r="O41" s="13">
        <f>N41*VLOOKUP('Données projet'!$B$9,Paramètres!$A$1:$I$89,3,0)*VLOOKUP('Données projet'!$B$9,Paramètres!$A$1:$I$89,5,0)</f>
        <v>122.34735000000001</v>
      </c>
      <c r="P41" s="13">
        <f t="shared" si="33"/>
        <v>32.221861336884544</v>
      </c>
      <c r="Q41" s="20">
        <f t="shared" si="53"/>
        <v>269.20804307840729</v>
      </c>
      <c r="R41" s="59">
        <f t="shared" si="0"/>
        <v>562.54137641174066</v>
      </c>
      <c r="S41" s="59">
        <f ca="1">AVERAGE(OFFSET($R$3,0,0,'Données projet'!$E$9+1,1))-AVERAGE(OFFSET($H$3,0,0,'Données projet'!$E$9+1,1))</f>
        <v>215.55381529099924</v>
      </c>
      <c r="T41" s="59">
        <f t="shared" si="34"/>
        <v>158.77848520346532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 t="e">
        <f>EXP(-LN(2)/35)*Z40+(1-EXP(-LN(2)/35))/(LN(2)/35)*V41*W41*VLOOKUP('Données projet'!$B$9,Paramètres!$A$1:$I$89,3,0)*0.475*44/12</f>
        <v>#VALUE!</v>
      </c>
      <c r="AA41" s="21" t="e">
        <f>EXP(-LN(2)/25)*AA40+(1-EXP(-LN(2)/25))/(LN(2)/25)*Calculateur!V41*Calculateur!X41*VLOOKUP('Données projet'!$B$9,Paramètres!$A$1:$I$89,3,0)*0.475*44/12</f>
        <v>#VALUE!</v>
      </c>
      <c r="AB41" s="21" t="e">
        <f>EXP(-LN(2)/2)*AB40+(1-EXP(-LN(2)/2))/(LN(2)/2)*V41*Y41*VLOOKUP('Données projet'!$B$9,Paramètres!$A$1:$I$89,3,0)*0.475*44/12</f>
        <v>#VALUE!</v>
      </c>
      <c r="AC41" s="22" t="e">
        <f t="shared" si="3"/>
        <v>#VALUE!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17.010256410256414</v>
      </c>
      <c r="AI41" s="13">
        <f>IF('Données projet'!$A$62&gt;35,AI40+AH41-AQ40,IF(A41&lt;'Données projet'!$A$62,$AF$205^A41,IF(A41='Données projet'!$A$62,'Données projet'!$B$62,AI40+AH41-AQ40)))</f>
        <v>342.32820512820524</v>
      </c>
      <c r="AJ41" s="13">
        <f>AI41*VLOOKUP('Données projet'!$B$10,Paramètres!$A$1:$I$89,3,0)*VLOOKUP('Données projet'!$B$10,Paramètres!$A$1:$I$89,5,0)</f>
        <v>160.20960000000005</v>
      </c>
      <c r="AK41" s="13">
        <f t="shared" si="35"/>
        <v>40.889787669108735</v>
      </c>
      <c r="AL41" s="20">
        <f t="shared" si="4"/>
        <v>350.24810019036448</v>
      </c>
      <c r="AM41" s="59">
        <f t="shared" si="5"/>
        <v>643.5814335236978</v>
      </c>
      <c r="AN41" s="59">
        <f ca="1">AVERAGE(OFFSET($AM$3,0,0,'Données projet'!$E$10+1,1))-AVERAGE(OFFSET($H$3,0,0,'Données projet'!$E$10+1,1))</f>
        <v>205.31676282910638</v>
      </c>
      <c r="AO41" s="59">
        <f t="shared" si="36"/>
        <v>190.64998698136026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#VALUE!</v>
      </c>
      <c r="AV41" s="21" t="e">
        <f>EXP(-LN(2)/25)*AV40+(1-EXP(-LN(2)/25))/(LN(2)/25)*Calculateur!AQ41*Calculateur!AS41*VLOOKUP('Données projet'!$B$10,Paramètres!$A$1:$I$89,3,0)*0.475*44/12</f>
        <v>#VALUE!</v>
      </c>
      <c r="AW41" s="21" t="e">
        <f>EXP(-LN(2)/2)*AW40+(1-EXP(-LN(2)/2))/(LN(2)/2)*AQ41*AT41*VLOOKUP('Données projet'!$B$10,Paramètres!$A$1:$I$89,3,0)*0.475*44/12</f>
        <v>#VALUE!</v>
      </c>
      <c r="AX41" s="21" t="e">
        <f t="shared" si="6"/>
        <v>#VALUE!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12.74038461538462</v>
      </c>
      <c r="N42" s="13">
        <f>IF('Données projet'!$A$36&gt;35,N41+M42-V41,IF(A42&lt;'Données projet'!$A$36,$K$205^A42,IF(A42='Données projet'!$A$36,'Données projet'!$B$36,N41+M42-V41)))</f>
        <v>217.33461538461538</v>
      </c>
      <c r="O42" s="13">
        <f>N42*VLOOKUP('Données projet'!$B$9,Paramètres!$A$1:$I$89,3,0)*VLOOKUP('Données projet'!$B$9,Paramètres!$A$1:$I$89,5,0)</f>
        <v>129.96610000000001</v>
      </c>
      <c r="P42" s="13">
        <f t="shared" si="33"/>
        <v>33.988525918782614</v>
      </c>
      <c r="Q42" s="20">
        <f t="shared" si="53"/>
        <v>285.55430680854636</v>
      </c>
      <c r="R42" s="59">
        <f t="shared" si="0"/>
        <v>578.88764014187973</v>
      </c>
      <c r="S42" s="59">
        <f ca="1">AVERAGE(OFFSET($R$3,0,0,'Données projet'!$E$9+1,1))-AVERAGE(OFFSET($H$3,0,0,'Données projet'!$E$9+1,1))</f>
        <v>215.55381529099924</v>
      </c>
      <c r="T42" s="59">
        <f t="shared" si="34"/>
        <v>158.77848520346532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 t="e">
        <f>EXP(-LN(2)/35)*Z41+(1-EXP(-LN(2)/35))/(LN(2)/35)*V42*W42*VLOOKUP('Données projet'!$B$9,Paramètres!$A$1:$I$89,3,0)*0.475*44/12</f>
        <v>#VALUE!</v>
      </c>
      <c r="AA42" s="21" t="e">
        <f>EXP(-LN(2)/25)*AA41+(1-EXP(-LN(2)/25))/(LN(2)/25)*Calculateur!V42*Calculateur!X42*VLOOKUP('Données projet'!$B$9,Paramètres!$A$1:$I$89,3,0)*0.475*44/12</f>
        <v>#VALUE!</v>
      </c>
      <c r="AB42" s="21" t="e">
        <f>EXP(-LN(2)/2)*AB41+(1-EXP(-LN(2)/2))/(LN(2)/2)*V42*Y42*VLOOKUP('Données projet'!$B$9,Paramètres!$A$1:$I$89,3,0)*0.475*44/12</f>
        <v>#VALUE!</v>
      </c>
      <c r="AC42" s="22" t="e">
        <f t="shared" si="3"/>
        <v>#VALUE!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17.010256410256414</v>
      </c>
      <c r="AI42" s="13">
        <f>IF('Données projet'!$A$62&gt;35,AI41+AH42-AQ41,IF(A42&lt;'Données projet'!$A$62,$AF$205^A42,IF(A42='Données projet'!$A$62,'Données projet'!$B$62,AI41+AH42-AQ41)))</f>
        <v>359.33846153846167</v>
      </c>
      <c r="AJ42" s="13">
        <f>AI42*VLOOKUP('Données projet'!$B$10,Paramètres!$A$1:$I$89,3,0)*VLOOKUP('Données projet'!$B$10,Paramètres!$A$1:$I$89,5,0)</f>
        <v>168.17040000000006</v>
      </c>
      <c r="AK42" s="13">
        <f t="shared" si="35"/>
        <v>42.679996347377212</v>
      </c>
      <c r="AL42" s="20">
        <f t="shared" si="4"/>
        <v>367.23110697168204</v>
      </c>
      <c r="AM42" s="59">
        <f t="shared" si="5"/>
        <v>660.5644403050153</v>
      </c>
      <c r="AN42" s="59">
        <f ca="1">AVERAGE(OFFSET($AM$3,0,0,'Données projet'!$E$10+1,1))-AVERAGE(OFFSET($H$3,0,0,'Données projet'!$E$10+1,1))</f>
        <v>205.31676282910638</v>
      </c>
      <c r="AO42" s="59">
        <f t="shared" si="36"/>
        <v>190.64998698136026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#VALUE!</v>
      </c>
      <c r="AV42" s="21" t="e">
        <f>EXP(-LN(2)/25)*AV41+(1-EXP(-LN(2)/25))/(LN(2)/25)*Calculateur!AQ42*Calculateur!AS42*VLOOKUP('Données projet'!$B$10,Paramètres!$A$1:$I$89,3,0)*0.475*44/12</f>
        <v>#VALUE!</v>
      </c>
      <c r="AW42" s="21" t="e">
        <f>EXP(-LN(2)/2)*AW41+(1-EXP(-LN(2)/2))/(LN(2)/2)*AQ42*AT42*VLOOKUP('Données projet'!$B$10,Paramètres!$A$1:$I$89,3,0)*0.475*44/12</f>
        <v>#VALUE!</v>
      </c>
      <c r="AX42" s="21" t="e">
        <f t="shared" si="6"/>
        <v>#VALUE!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12.74038461538462</v>
      </c>
      <c r="N43" s="13">
        <f>IF('Données projet'!$A$36&gt;35,N42+M43-V42,IF(A43&lt;'Données projet'!$A$36,$K$205^A43,IF(A43='Données projet'!$A$36,'Données projet'!$B$36,N42+M43-V42)))</f>
        <v>230.07499999999999</v>
      </c>
      <c r="O43" s="13">
        <f>N43*VLOOKUP('Données projet'!$B$9,Paramètres!$A$1:$I$89,3,0)*VLOOKUP('Données projet'!$B$9,Paramètres!$A$1:$I$89,5,0)</f>
        <v>137.58485000000002</v>
      </c>
      <c r="P43" s="13">
        <f t="shared" si="33"/>
        <v>35.743169448737028</v>
      </c>
      <c r="Q43" s="20">
        <f t="shared" si="53"/>
        <v>301.87963387321702</v>
      </c>
      <c r="R43" s="59">
        <f t="shared" si="0"/>
        <v>595.21296720655027</v>
      </c>
      <c r="S43" s="59">
        <f ca="1">AVERAGE(OFFSET($R$3,0,0,'Données projet'!$E$9+1,1))-AVERAGE(OFFSET($H$3,0,0,'Données projet'!$E$9+1,1))</f>
        <v>215.55381529099924</v>
      </c>
      <c r="T43" s="59">
        <f t="shared" si="34"/>
        <v>158.77848520346532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 t="e">
        <f>EXP(-LN(2)/35)*Z42+(1-EXP(-LN(2)/35))/(LN(2)/35)*V43*W43*VLOOKUP('Données projet'!$B$9,Paramètres!$A$1:$I$89,3,0)*0.475*44/12</f>
        <v>#VALUE!</v>
      </c>
      <c r="AA43" s="21" t="e">
        <f>EXP(-LN(2)/25)*AA42+(1-EXP(-LN(2)/25))/(LN(2)/25)*Calculateur!V43*Calculateur!X43*VLOOKUP('Données projet'!$B$9,Paramètres!$A$1:$I$89,3,0)*0.475*44/12</f>
        <v>#VALUE!</v>
      </c>
      <c r="AB43" s="21" t="e">
        <f>EXP(-LN(2)/2)*AB42+(1-EXP(-LN(2)/2))/(LN(2)/2)*V43*Y43*VLOOKUP('Données projet'!$B$9,Paramètres!$A$1:$I$89,3,0)*0.475*44/12</f>
        <v>#VALUE!</v>
      </c>
      <c r="AC43" s="22" t="e">
        <f t="shared" si="3"/>
        <v>#VALUE!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17.010256410256414</v>
      </c>
      <c r="AI43" s="13">
        <f>IF('Données projet'!$A$62&gt;35,AI42+AH43-AQ42,IF(A43&lt;'Données projet'!$A$62,$AF$205^A43,IF(A43='Données projet'!$A$62,'Données projet'!$B$62,AI42+AH43-AQ42)))</f>
        <v>376.3487179487181</v>
      </c>
      <c r="AJ43" s="13">
        <f>AI43*VLOOKUP('Données projet'!$B$10,Paramètres!$A$1:$I$89,3,0)*VLOOKUP('Données projet'!$B$10,Paramètres!$A$1:$I$89,5,0)</f>
        <v>176.13120000000006</v>
      </c>
      <c r="AK43" s="13">
        <f t="shared" si="35"/>
        <v>44.460364027904333</v>
      </c>
      <c r="AL43" s="20">
        <f t="shared" si="4"/>
        <v>384.19697401526679</v>
      </c>
      <c r="AM43" s="59">
        <f t="shared" si="5"/>
        <v>677.5303073486001</v>
      </c>
      <c r="AN43" s="59">
        <f ca="1">AVERAGE(OFFSET($AM$3,0,0,'Données projet'!$E$10+1,1))-AVERAGE(OFFSET($H$3,0,0,'Données projet'!$E$10+1,1))</f>
        <v>205.31676282910638</v>
      </c>
      <c r="AO43" s="59">
        <f t="shared" si="36"/>
        <v>190.64998698136026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#VALUE!</v>
      </c>
      <c r="AV43" s="21" t="e">
        <f>EXP(-LN(2)/25)*AV42+(1-EXP(-LN(2)/25))/(LN(2)/25)*Calculateur!AQ43*Calculateur!AS43*VLOOKUP('Données projet'!$B$10,Paramètres!$A$1:$I$89,3,0)*0.475*44/12</f>
        <v>#VALUE!</v>
      </c>
      <c r="AW43" s="21" t="e">
        <f>EXP(-LN(2)/2)*AW42+(1-EXP(-LN(2)/2))/(LN(2)/2)*AQ43*AT43*VLOOKUP('Données projet'!$B$10,Paramètres!$A$1:$I$89,3,0)*0.475*44/12</f>
        <v>#VALUE!</v>
      </c>
      <c r="AX43" s="21" t="e">
        <f t="shared" si="6"/>
        <v>#VALUE!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242.81538461538463</v>
      </c>
      <c r="L44" s="12">
        <f>VLOOKUP(A44,'Données projet'!$A$35:$I$55,9,0)</f>
        <v>12.74038461538462</v>
      </c>
      <c r="M44" s="12">
        <f t="array" ref="M44">INDEX(L:L,MIN(IF(ISNUMBER(L44:L240),ROW(L44:L240),"")))</f>
        <v>12.74038461538462</v>
      </c>
      <c r="N44" s="13">
        <f>IF('Données projet'!$A$36&gt;35,N43+M44-V43,IF(A44&lt;'Données projet'!$A$36,$K$205^A44,IF(A44='Données projet'!$A$36,'Données projet'!$B$36,N43+M44-V43)))</f>
        <v>242.8153846153846</v>
      </c>
      <c r="O44" s="13">
        <f>N44*VLOOKUP('Données projet'!$B$9,Paramètres!$A$1:$I$89,3,0)*VLOOKUP('Données projet'!$B$9,Paramètres!$A$1:$I$89,5,0)</f>
        <v>145.20359999999999</v>
      </c>
      <c r="P44" s="13">
        <f t="shared" si="33"/>
        <v>37.4865334633907</v>
      </c>
      <c r="Q44" s="20">
        <f t="shared" si="53"/>
        <v>318.18531578207211</v>
      </c>
      <c r="R44" s="59">
        <f t="shared" si="0"/>
        <v>611.51864911540542</v>
      </c>
      <c r="S44" s="59">
        <f ca="1">AVERAGE(OFFSET($R$3,0,0,'Données projet'!$E$9+1,1))-AVERAGE(OFFSET($H$3,0,0,'Données projet'!$E$9+1,1))</f>
        <v>215.55381529099924</v>
      </c>
      <c r="T44" s="59">
        <f t="shared" si="34"/>
        <v>158.77848520346532</v>
      </c>
      <c r="U44" s="15">
        <f>IF(ISNA(VLOOKUP(A44,'Données projet'!$A$35:$I$55,3,0)),0,VLOOKUP(A44,'Données projet'!$A$35:$I$55,3,0))</f>
        <v>4</v>
      </c>
      <c r="V44" s="15">
        <f>IF(ISNA(VLOOKUP(A44,'Données projet'!$A$35:$I$55,4,0)),0,VLOOKUP(A44,'Données projet'!$A$35:$I$55,4,0))</f>
        <v>58.484615384615381</v>
      </c>
      <c r="W44" s="16" t="e">
        <f>IF(ISNA(VLOOKUP(A44,'Données projet'!$A$35:$I$55,5,0)),0%,VLOOKUP(A44,'Données projet'!$A$35:$I$55,5,0)*VLOOKUP('Données projet'!$B$9,Paramètres!$A$1:$I$89,7,0))</f>
        <v>#VALUE!</v>
      </c>
      <c r="X44" s="16" t="e">
        <f>IF(ISNA(VLOOKUP(A44,'Données projet'!$A$35:$I$55,6,0)),0%,VLOOKUP(A44,'Données projet'!$A$35:$I$55,6,0)*VLOOKUP('Données projet'!$B$9,Paramètres!$A$1:$I$89,7,0))</f>
        <v>#VALUE!</v>
      </c>
      <c r="Y44" s="16" t="str">
        <f>IF(ISNA(VLOOKUP(A44,'Données projet'!$A$35:$I$55,7,0)),0%,VLOOKUP(A44,'Données projet'!$A$35:$I$55,7,0))</f>
        <v/>
      </c>
      <c r="Z44" s="21" t="e">
        <f>EXP(-LN(2)/35)*Z43+(1-EXP(-LN(2)/35))/(LN(2)/35)*V44*W44*VLOOKUP('Données projet'!$B$9,Paramètres!$A$1:$I$89,3,0)*0.475*44/12</f>
        <v>#VALUE!</v>
      </c>
      <c r="AA44" s="21" t="e">
        <f>EXP(-LN(2)/25)*AA43+(1-EXP(-LN(2)/25))/(LN(2)/25)*Calculateur!V44*Calculateur!X44*VLOOKUP('Données projet'!$B$9,Paramètres!$A$1:$I$89,3,0)*0.475*44/12</f>
        <v>#VALUE!</v>
      </c>
      <c r="AB44" s="21" t="e">
        <f>EXP(-LN(2)/2)*AB43+(1-EXP(-LN(2)/2))/(LN(2)/2)*V44*Y44*VLOOKUP('Données projet'!$B$9,Paramètres!$A$1:$I$89,3,0)*0.475*44/12</f>
        <v>#VALUE!</v>
      </c>
      <c r="AC44" s="22" t="e">
        <f t="shared" si="3"/>
        <v>#VALUE!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17.010256410256414</v>
      </c>
      <c r="AI44" s="13">
        <f>IF('Données projet'!$A$62&gt;35,AI43+AH44-AQ43,IF(A44&lt;'Données projet'!$A$62,$AF$205^A44,IF(A44='Données projet'!$A$62,'Données projet'!$B$62,AI43+AH44-AQ43)))</f>
        <v>393.35897435897454</v>
      </c>
      <c r="AJ44" s="13">
        <f>AI44*VLOOKUP('Données projet'!$B$10,Paramètres!$A$1:$I$89,3,0)*VLOOKUP('Données projet'!$B$10,Paramètres!$A$1:$I$89,5,0)</f>
        <v>184.0920000000001</v>
      </c>
      <c r="AK44" s="13">
        <f t="shared" si="35"/>
        <v>46.231386320256561</v>
      </c>
      <c r="AL44" s="20">
        <f t="shared" si="4"/>
        <v>401.14656450778028</v>
      </c>
      <c r="AM44" s="59">
        <f t="shared" si="5"/>
        <v>694.4798978411136</v>
      </c>
      <c r="AN44" s="59">
        <f ca="1">AVERAGE(OFFSET($AM$3,0,0,'Données projet'!$E$10+1,1))-AVERAGE(OFFSET($H$3,0,0,'Données projet'!$E$10+1,1))</f>
        <v>205.31676282910638</v>
      </c>
      <c r="AO44" s="59">
        <f t="shared" si="36"/>
        <v>190.64998698136026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#VALUE!</v>
      </c>
      <c r="AV44" s="21" t="e">
        <f>EXP(-LN(2)/25)*AV43+(1-EXP(-LN(2)/25))/(LN(2)/25)*Calculateur!AQ44*Calculateur!AS44*VLOOKUP('Données projet'!$B$10,Paramètres!$A$1:$I$89,3,0)*0.475*44/12</f>
        <v>#VALUE!</v>
      </c>
      <c r="AW44" s="21" t="e">
        <f>EXP(-LN(2)/2)*AW43+(1-EXP(-LN(2)/2))/(LN(2)/2)*AQ44*AT44*VLOOKUP('Données projet'!$B$10,Paramètres!$A$1:$I$89,3,0)*0.475*44/12</f>
        <v>#VALUE!</v>
      </c>
      <c r="AX44" s="21" t="e">
        <f t="shared" si="6"/>
        <v>#VALUE!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11.861538461538462</v>
      </c>
      <c r="N45" s="13">
        <f>IF('Données projet'!$A$36&gt;35,N44+M45-V44,IF(A45&lt;'Données projet'!$A$36,$K$205^A45,IF(A45='Données projet'!$A$36,'Données projet'!$B$36,N44+M45-V44)))</f>
        <v>196.19230769230768</v>
      </c>
      <c r="O45" s="13">
        <f>N45*VLOOKUP('Données projet'!$B$9,Paramètres!$A$1:$I$89,3,0)*VLOOKUP('Données projet'!$B$9,Paramètres!$A$1:$I$89,5,0)</f>
        <v>117.32300000000001</v>
      </c>
      <c r="P45" s="13">
        <f t="shared" si="33"/>
        <v>31.049815552357138</v>
      </c>
      <c r="Q45" s="20">
        <f t="shared" si="53"/>
        <v>258.41598708702196</v>
      </c>
      <c r="R45" s="59">
        <f t="shared" si="0"/>
        <v>551.74932042035528</v>
      </c>
      <c r="S45" s="59">
        <f ca="1">AVERAGE(OFFSET($R$3,0,0,'Données projet'!$E$9+1,1))-AVERAGE(OFFSET($H$3,0,0,'Données projet'!$E$9+1,1))</f>
        <v>215.55381529099924</v>
      </c>
      <c r="T45" s="59">
        <f t="shared" si="34"/>
        <v>158.77848520346532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 t="e">
        <f>EXP(-LN(2)/35)*Z44+(1-EXP(-LN(2)/35))/(LN(2)/35)*V45*W45*VLOOKUP('Données projet'!$B$9,Paramètres!$A$1:$I$89,3,0)*0.475*44/12</f>
        <v>#VALUE!</v>
      </c>
      <c r="AA45" s="21" t="e">
        <f>EXP(-LN(2)/25)*AA44+(1-EXP(-LN(2)/25))/(LN(2)/25)*Calculateur!V45*Calculateur!X45*VLOOKUP('Données projet'!$B$9,Paramètres!$A$1:$I$89,3,0)*0.475*44/12</f>
        <v>#VALUE!</v>
      </c>
      <c r="AB45" s="21" t="e">
        <f>EXP(-LN(2)/2)*AB44+(1-EXP(-LN(2)/2))/(LN(2)/2)*V45*Y45*VLOOKUP('Données projet'!$B$9,Paramètres!$A$1:$I$89,3,0)*0.475*44/12</f>
        <v>#VALUE!</v>
      </c>
      <c r="AC45" s="22" t="e">
        <f t="shared" si="3"/>
        <v>#VALUE!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410.3692307692308</v>
      </c>
      <c r="AG45" s="12">
        <f>VLOOKUP(A45,'Données projet'!$A$61:$I$81,9,0)</f>
        <v>17.010256410256414</v>
      </c>
      <c r="AH45" s="12">
        <f t="array" ref="AH45">INDEX(AG:AG,MIN(IF(ISNUMBER(AG45:AG241),ROW(AG45:AG241),"")))</f>
        <v>17.010256410256414</v>
      </c>
      <c r="AI45" s="13">
        <f>IF('Données projet'!$A$62&gt;35,AI44+AH45-AQ44,IF(A45&lt;'Données projet'!$A$62,$AF$205^A45,IF(A45='Données projet'!$A$62,'Données projet'!$B$62,AI44+AH45-AQ44)))</f>
        <v>410.36923076923097</v>
      </c>
      <c r="AJ45" s="13">
        <f>AI45*VLOOKUP('Données projet'!$B$10,Paramètres!$A$1:$I$89,3,0)*VLOOKUP('Données projet'!$B$10,Paramètres!$A$1:$I$89,5,0)</f>
        <v>192.05280000000008</v>
      </c>
      <c r="AK45" s="13">
        <f t="shared" si="35"/>
        <v>47.993513546032311</v>
      </c>
      <c r="AL45" s="20">
        <f t="shared" si="4"/>
        <v>418.08066275933976</v>
      </c>
      <c r="AM45" s="59">
        <f t="shared" si="5"/>
        <v>711.41399609267307</v>
      </c>
      <c r="AN45" s="59">
        <f ca="1">AVERAGE(OFFSET($AM$3,0,0,'Données projet'!$E$10+1,1))-AVERAGE(OFFSET($H$3,0,0,'Données projet'!$E$10+1,1))</f>
        <v>205.31676282910638</v>
      </c>
      <c r="AO45" s="59">
        <f t="shared" si="36"/>
        <v>190.64998698136026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179.84615384615384</v>
      </c>
      <c r="AR45" s="16">
        <f>IF(ISNA(VLOOKUP(A45,'Données projet'!$A$61:$I$81,5,0)),0%,VLOOKUP(A45,'Données projet'!$A$61:$I$81,5,0)*VLOOKUP('Données projet'!$B$10,Paramètres!$A$1:$I$89,7,0))</f>
        <v>0</v>
      </c>
      <c r="AS45" s="16" t="e">
        <f>IF(ISNA(VLOOKUP(A45,'Données projet'!$A$61:$I$81,6,0)),0%,VLOOKUP(A45,'Données projet'!$A$61:$I$81,6,0)*VLOOKUP('Données projet'!$B$10,Paramètres!$A$1:$I$89,7,0))</f>
        <v>#VALUE!</v>
      </c>
      <c r="AT45" s="16" t="str">
        <f>IF(ISNA(VLOOKUP(A45,'Données projet'!$A$61:$I$81,7,0)),0%,VLOOKUP(A45,'Données projet'!$A$61:$I$81,7,0))</f>
        <v/>
      </c>
      <c r="AU45" s="21" t="e">
        <f>EXP(-LN(2)/35)*AU44+(1-EXP(-LN(2)/35))/(LN(2)/35)*AQ45*AR45*VLOOKUP('Données projet'!$B$10,Paramètres!$A$1:$I$89,3,0)*0.475*44/12</f>
        <v>#VALUE!</v>
      </c>
      <c r="AV45" s="21" t="e">
        <f>EXP(-LN(2)/25)*AV44+(1-EXP(-LN(2)/25))/(LN(2)/25)*Calculateur!AQ45*Calculateur!AS45*VLOOKUP('Données projet'!$B$10,Paramètres!$A$1:$I$89,3,0)*0.475*44/12</f>
        <v>#VALUE!</v>
      </c>
      <c r="AW45" s="21" t="e">
        <f>EXP(-LN(2)/2)*AW44+(1-EXP(-LN(2)/2))/(LN(2)/2)*AQ45*AT45*VLOOKUP('Données projet'!$B$10,Paramètres!$A$1:$I$89,3,0)*0.475*44/12</f>
        <v>#VALUE!</v>
      </c>
      <c r="AX45" s="21" t="e">
        <f t="shared" si="6"/>
        <v>#VALUE!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11.861538461538462</v>
      </c>
      <c r="N46" s="13">
        <f>IF('Données projet'!$A$36&gt;35,N45+M46-V45,IF(A46&lt;'Données projet'!$A$36,$K$205^A46,IF(A46='Données projet'!$A$36,'Données projet'!$B$36,N45+M46-V45)))</f>
        <v>208.05384615384614</v>
      </c>
      <c r="O46" s="13">
        <f>N46*VLOOKUP('Données projet'!$B$9,Paramètres!$A$1:$I$89,3,0)*VLOOKUP('Données projet'!$B$9,Paramètres!$A$1:$I$89,5,0)</f>
        <v>124.4162</v>
      </c>
      <c r="P46" s="13">
        <f t="shared" si="33"/>
        <v>32.702828934083335</v>
      </c>
      <c r="Q46" s="20">
        <f t="shared" si="53"/>
        <v>273.64897539352847</v>
      </c>
      <c r="R46" s="59">
        <f t="shared" si="0"/>
        <v>566.98230872686179</v>
      </c>
      <c r="S46" s="59">
        <f ca="1">AVERAGE(OFFSET($R$3,0,0,'Données projet'!$E$9+1,1))-AVERAGE(OFFSET($H$3,0,0,'Données projet'!$E$9+1,1))</f>
        <v>215.55381529099924</v>
      </c>
      <c r="T46" s="59">
        <f t="shared" si="34"/>
        <v>158.77848520346532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 t="e">
        <f>EXP(-LN(2)/35)*Z45+(1-EXP(-LN(2)/35))/(LN(2)/35)*V46*W46*VLOOKUP('Données projet'!$B$9,Paramètres!$A$1:$I$89,3,0)*0.475*44/12</f>
        <v>#VALUE!</v>
      </c>
      <c r="AA46" s="21" t="e">
        <f>EXP(-LN(2)/25)*AA45+(1-EXP(-LN(2)/25))/(LN(2)/25)*Calculateur!V46*Calculateur!X46*VLOOKUP('Données projet'!$B$9,Paramètres!$A$1:$I$89,3,0)*0.475*44/12</f>
        <v>#VALUE!</v>
      </c>
      <c r="AB46" s="21" t="e">
        <f>EXP(-LN(2)/2)*AB45+(1-EXP(-LN(2)/2))/(LN(2)/2)*V46*Y46*VLOOKUP('Données projet'!$B$9,Paramètres!$A$1:$I$89,3,0)*0.475*44/12</f>
        <v>#VALUE!</v>
      </c>
      <c r="AC46" s="22" t="e">
        <f t="shared" si="3"/>
        <v>#VALUE!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15.599999999999987</v>
      </c>
      <c r="AI46" s="13">
        <f>IF('Données projet'!$A$62&gt;35,AI45+AH46-AQ45,IF(A46&lt;'Données projet'!$A$62,$AF$205^A46,IF(A46='Données projet'!$A$62,'Données projet'!$B$62,AI45+AH46-AQ45)))</f>
        <v>246.12307692307709</v>
      </c>
      <c r="AJ46" s="13">
        <f>AI46*VLOOKUP('Données projet'!$B$10,Paramètres!$A$1:$I$89,3,0)*VLOOKUP('Données projet'!$B$10,Paramètres!$A$1:$I$89,5,0)</f>
        <v>115.18560000000009</v>
      </c>
      <c r="AK46" s="13">
        <f t="shared" si="35"/>
        <v>30.549457651972119</v>
      </c>
      <c r="AL46" s="20">
        <f t="shared" si="4"/>
        <v>253.82189207718497</v>
      </c>
      <c r="AM46" s="59">
        <f t="shared" si="5"/>
        <v>547.15522541051826</v>
      </c>
      <c r="AN46" s="59">
        <f ca="1">AVERAGE(OFFSET($AM$3,0,0,'Données projet'!$E$10+1,1))-AVERAGE(OFFSET($H$3,0,0,'Données projet'!$E$10+1,1))</f>
        <v>205.31676282910638</v>
      </c>
      <c r="AO46" s="59">
        <f t="shared" si="36"/>
        <v>190.64998698136026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#VALUE!</v>
      </c>
      <c r="AV46" s="21" t="e">
        <f>EXP(-LN(2)/25)*AV45+(1-EXP(-LN(2)/25))/(LN(2)/25)*Calculateur!AQ46*Calculateur!AS46*VLOOKUP('Données projet'!$B$10,Paramètres!$A$1:$I$89,3,0)*0.475*44/12</f>
        <v>#VALUE!</v>
      </c>
      <c r="AW46" s="21" t="e">
        <f>EXP(-LN(2)/2)*AW45+(1-EXP(-LN(2)/2))/(LN(2)/2)*AQ46*AT46*VLOOKUP('Données projet'!$B$10,Paramètres!$A$1:$I$89,3,0)*0.475*44/12</f>
        <v>#VALUE!</v>
      </c>
      <c r="AX46" s="21" t="e">
        <f t="shared" si="6"/>
        <v>#VALUE!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11.861538461538462</v>
      </c>
      <c r="N47" s="13">
        <f>IF('Données projet'!$A$36&gt;35,N46+M47-V46,IF(A47&lt;'Données projet'!$A$36,$K$205^A47,IF(A47='Données projet'!$A$36,'Données projet'!$B$36,N46+M47-V46)))</f>
        <v>219.9153846153846</v>
      </c>
      <c r="O47" s="13">
        <f>N47*VLOOKUP('Données projet'!$B$9,Paramètres!$A$1:$I$89,3,0)*VLOOKUP('Données projet'!$B$9,Paramètres!$A$1:$I$89,5,0)</f>
        <v>131.5094</v>
      </c>
      <c r="P47" s="13">
        <f t="shared" si="33"/>
        <v>34.344902681781569</v>
      </c>
      <c r="Q47" s="20">
        <f t="shared" si="53"/>
        <v>288.8629105041029</v>
      </c>
      <c r="R47" s="59">
        <f t="shared" si="0"/>
        <v>582.19624383743621</v>
      </c>
      <c r="S47" s="59">
        <f ca="1">AVERAGE(OFFSET($R$3,0,0,'Données projet'!$E$9+1,1))-AVERAGE(OFFSET($H$3,0,0,'Données projet'!$E$9+1,1))</f>
        <v>215.55381529099924</v>
      </c>
      <c r="T47" s="59">
        <f t="shared" si="34"/>
        <v>158.77848520346532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 t="e">
        <f>EXP(-LN(2)/35)*Z46+(1-EXP(-LN(2)/35))/(LN(2)/35)*V47*W47*VLOOKUP('Données projet'!$B$9,Paramètres!$A$1:$I$89,3,0)*0.475*44/12</f>
        <v>#VALUE!</v>
      </c>
      <c r="AA47" s="21" t="e">
        <f>EXP(-LN(2)/25)*AA46+(1-EXP(-LN(2)/25))/(LN(2)/25)*Calculateur!V47*Calculateur!X47*VLOOKUP('Données projet'!$B$9,Paramètres!$A$1:$I$89,3,0)*0.475*44/12</f>
        <v>#VALUE!</v>
      </c>
      <c r="AB47" s="21" t="e">
        <f>EXP(-LN(2)/2)*AB46+(1-EXP(-LN(2)/2))/(LN(2)/2)*V47*Y47*VLOOKUP('Données projet'!$B$9,Paramètres!$A$1:$I$89,3,0)*0.475*44/12</f>
        <v>#VALUE!</v>
      </c>
      <c r="AC47" s="22" t="e">
        <f t="shared" si="3"/>
        <v>#VALUE!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15.599999999999987</v>
      </c>
      <c r="AI47" s="13">
        <f>IF('Données projet'!$A$62&gt;35,AI46+AH47-AQ46,IF(A47&lt;'Données projet'!$A$62,$AF$205^A47,IF(A47='Données projet'!$A$62,'Données projet'!$B$62,AI46+AH47-AQ46)))</f>
        <v>261.72307692307709</v>
      </c>
      <c r="AJ47" s="13">
        <f>AI47*VLOOKUP('Données projet'!$B$10,Paramètres!$A$1:$I$89,3,0)*VLOOKUP('Données projet'!$B$10,Paramètres!$A$1:$I$89,5,0)</f>
        <v>122.48640000000007</v>
      </c>
      <c r="AK47" s="13">
        <f t="shared" si="35"/>
        <v>32.254217278440251</v>
      </c>
      <c r="AL47" s="20">
        <f t="shared" si="4"/>
        <v>269.50657509328352</v>
      </c>
      <c r="AM47" s="59">
        <f t="shared" si="5"/>
        <v>562.83990842661683</v>
      </c>
      <c r="AN47" s="59">
        <f ca="1">AVERAGE(OFFSET($AM$3,0,0,'Données projet'!$E$10+1,1))-AVERAGE(OFFSET($H$3,0,0,'Données projet'!$E$10+1,1))</f>
        <v>205.31676282910638</v>
      </c>
      <c r="AO47" s="59">
        <f t="shared" si="36"/>
        <v>190.64998698136026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#VALUE!</v>
      </c>
      <c r="AV47" s="21" t="e">
        <f>EXP(-LN(2)/25)*AV46+(1-EXP(-LN(2)/25))/(LN(2)/25)*Calculateur!AQ47*Calculateur!AS47*VLOOKUP('Données projet'!$B$10,Paramètres!$A$1:$I$89,3,0)*0.475*44/12</f>
        <v>#VALUE!</v>
      </c>
      <c r="AW47" s="21" t="e">
        <f>EXP(-LN(2)/2)*AW46+(1-EXP(-LN(2)/2))/(LN(2)/2)*AQ47*AT47*VLOOKUP('Données projet'!$B$10,Paramètres!$A$1:$I$89,3,0)*0.475*44/12</f>
        <v>#VALUE!</v>
      </c>
      <c r="AX47" s="21" t="e">
        <f t="shared" si="6"/>
        <v>#VALUE!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11.861538461538462</v>
      </c>
      <c r="N48" s="13">
        <f>IF('Données projet'!$A$36&gt;35,N47+M48-V47,IF(A48&lt;'Données projet'!$A$36,$K$205^A48,IF(A48='Données projet'!$A$36,'Données projet'!$B$36,N47+M48-V47)))</f>
        <v>231.77692307692305</v>
      </c>
      <c r="O48" s="13">
        <f>N48*VLOOKUP('Données projet'!$B$9,Paramètres!$A$1:$I$89,3,0)*VLOOKUP('Données projet'!$B$9,Paramètres!$A$1:$I$89,5,0)</f>
        <v>138.6026</v>
      </c>
      <c r="P48" s="13">
        <f t="shared" si="33"/>
        <v>35.976694116938198</v>
      </c>
      <c r="Q48" s="20">
        <f t="shared" si="53"/>
        <v>304.05893725366735</v>
      </c>
      <c r="R48" s="59">
        <f t="shared" si="0"/>
        <v>597.39227058700067</v>
      </c>
      <c r="S48" s="59">
        <f ca="1">AVERAGE(OFFSET($R$3,0,0,'Données projet'!$E$9+1,1))-AVERAGE(OFFSET($H$3,0,0,'Données projet'!$E$9+1,1))</f>
        <v>215.55381529099924</v>
      </c>
      <c r="T48" s="59">
        <f t="shared" si="34"/>
        <v>158.77848520346532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 t="e">
        <f>EXP(-LN(2)/35)*Z47+(1-EXP(-LN(2)/35))/(LN(2)/35)*V48*W48*VLOOKUP('Données projet'!$B$9,Paramètres!$A$1:$I$89,3,0)*0.475*44/12</f>
        <v>#VALUE!</v>
      </c>
      <c r="AA48" s="21" t="e">
        <f>EXP(-LN(2)/25)*AA47+(1-EXP(-LN(2)/25))/(LN(2)/25)*Calculateur!V48*Calculateur!X48*VLOOKUP('Données projet'!$B$9,Paramètres!$A$1:$I$89,3,0)*0.475*44/12</f>
        <v>#VALUE!</v>
      </c>
      <c r="AB48" s="21" t="e">
        <f>EXP(-LN(2)/2)*AB47+(1-EXP(-LN(2)/2))/(LN(2)/2)*V48*Y48*VLOOKUP('Données projet'!$B$9,Paramètres!$A$1:$I$89,3,0)*0.475*44/12</f>
        <v>#VALUE!</v>
      </c>
      <c r="AC48" s="22" t="e">
        <f t="shared" si="3"/>
        <v>#VALUE!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15.599999999999987</v>
      </c>
      <c r="AI48" s="13">
        <f>IF('Données projet'!$A$62&gt;35,AI47+AH48-AQ47,IF(A48&lt;'Données projet'!$A$62,$AF$205^A48,IF(A48='Données projet'!$A$62,'Données projet'!$B$62,AI47+AH48-AQ47)))</f>
        <v>277.32307692307705</v>
      </c>
      <c r="AJ48" s="13">
        <f>AI48*VLOOKUP('Données projet'!$B$10,Paramètres!$A$1:$I$89,3,0)*VLOOKUP('Données projet'!$B$10,Paramètres!$A$1:$I$89,5,0)</f>
        <v>129.78720000000007</v>
      </c>
      <c r="AK48" s="13">
        <f t="shared" si="35"/>
        <v>33.947182812907982</v>
      </c>
      <c r="AL48" s="20">
        <f t="shared" si="4"/>
        <v>285.17071673248148</v>
      </c>
      <c r="AM48" s="59">
        <f t="shared" si="5"/>
        <v>578.50405006581479</v>
      </c>
      <c r="AN48" s="59">
        <f ca="1">AVERAGE(OFFSET($AM$3,0,0,'Données projet'!$E$10+1,1))-AVERAGE(OFFSET($H$3,0,0,'Données projet'!$E$10+1,1))</f>
        <v>205.31676282910638</v>
      </c>
      <c r="AO48" s="59">
        <f t="shared" si="36"/>
        <v>190.64998698136026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#VALUE!</v>
      </c>
      <c r="AV48" s="21" t="e">
        <f>EXP(-LN(2)/25)*AV47+(1-EXP(-LN(2)/25))/(LN(2)/25)*Calculateur!AQ48*Calculateur!AS48*VLOOKUP('Données projet'!$B$10,Paramètres!$A$1:$I$89,3,0)*0.475*44/12</f>
        <v>#VALUE!</v>
      </c>
      <c r="AW48" s="21" t="e">
        <f>EXP(-LN(2)/2)*AW47+(1-EXP(-LN(2)/2))/(LN(2)/2)*AQ48*AT48*VLOOKUP('Données projet'!$B$10,Paramètres!$A$1:$I$89,3,0)*0.475*44/12</f>
        <v>#VALUE!</v>
      </c>
      <c r="AX48" s="21" t="e">
        <f t="shared" si="6"/>
        <v>#VALUE!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11.861538461538462</v>
      </c>
      <c r="N49" s="13">
        <f>IF('Données projet'!$A$36&gt;35,N48+M49-V48,IF(A49&lt;'Données projet'!$A$36,$K$205^A49,IF(A49='Données projet'!$A$36,'Données projet'!$B$36,N48+M49-V48)))</f>
        <v>243.63846153846151</v>
      </c>
      <c r="O49" s="13">
        <f>N49*VLOOKUP('Données projet'!$B$9,Paramètres!$A$1:$I$89,3,0)*VLOOKUP('Données projet'!$B$9,Paramètres!$A$1:$I$89,5,0)</f>
        <v>145.69579999999999</v>
      </c>
      <c r="P49" s="13">
        <f t="shared" si="33"/>
        <v>37.598789481990465</v>
      </c>
      <c r="Q49" s="20">
        <f t="shared" si="53"/>
        <v>319.23807668113335</v>
      </c>
      <c r="R49" s="59">
        <f t="shared" si="0"/>
        <v>612.57141001446666</v>
      </c>
      <c r="S49" s="59">
        <f ca="1">AVERAGE(OFFSET($R$3,0,0,'Données projet'!$E$9+1,1))-AVERAGE(OFFSET($H$3,0,0,'Données projet'!$E$9+1,1))</f>
        <v>215.55381529099924</v>
      </c>
      <c r="T49" s="59">
        <f t="shared" si="34"/>
        <v>158.77848520346532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 t="e">
        <f>EXP(-LN(2)/35)*Z48+(1-EXP(-LN(2)/35))/(LN(2)/35)*V49*W49*VLOOKUP('Données projet'!$B$9,Paramètres!$A$1:$I$89,3,0)*0.475*44/12</f>
        <v>#VALUE!</v>
      </c>
      <c r="AA49" s="21" t="e">
        <f>EXP(-LN(2)/25)*AA48+(1-EXP(-LN(2)/25))/(LN(2)/25)*Calculateur!V49*Calculateur!X49*VLOOKUP('Données projet'!$B$9,Paramètres!$A$1:$I$89,3,0)*0.475*44/12</f>
        <v>#VALUE!</v>
      </c>
      <c r="AB49" s="21" t="e">
        <f>EXP(-LN(2)/2)*AB48+(1-EXP(-LN(2)/2))/(LN(2)/2)*V49*Y49*VLOOKUP('Données projet'!$B$9,Paramètres!$A$1:$I$89,3,0)*0.475*44/12</f>
        <v>#VALUE!</v>
      </c>
      <c r="AC49" s="22" t="e">
        <f t="shared" si="3"/>
        <v>#VALUE!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292.92307692307691</v>
      </c>
      <c r="AG49" s="12">
        <f>VLOOKUP(A49,'Données projet'!$A$61:$I$81,9,0)</f>
        <v>15.599999999999987</v>
      </c>
      <c r="AH49" s="12">
        <f t="array" ref="AH49">INDEX(AG:AG,MIN(IF(ISNUMBER(AG49:AG245),ROW(AG49:AG245),"")))</f>
        <v>15.599999999999987</v>
      </c>
      <c r="AI49" s="13">
        <f>IF('Données projet'!$A$62&gt;35,AI48+AH49-AQ48,IF(A49&lt;'Données projet'!$A$62,$AF$205^A49,IF(A49='Données projet'!$A$62,'Données projet'!$B$62,AI48+AH49-AQ48)))</f>
        <v>292.92307692307702</v>
      </c>
      <c r="AJ49" s="13">
        <f>AI49*VLOOKUP('Données projet'!$B$10,Paramètres!$A$1:$I$89,3,0)*VLOOKUP('Données projet'!$B$10,Paramètres!$A$1:$I$89,5,0)</f>
        <v>137.08800000000005</v>
      </c>
      <c r="AK49" s="13">
        <f t="shared" si="35"/>
        <v>35.629093303595333</v>
      </c>
      <c r="AL49" s="20">
        <f t="shared" si="4"/>
        <v>300.81560417042863</v>
      </c>
      <c r="AM49" s="59">
        <f t="shared" si="5"/>
        <v>594.148937503762</v>
      </c>
      <c r="AN49" s="59">
        <f ca="1">AVERAGE(OFFSET($AM$3,0,0,'Données projet'!$E$10+1,1))-AVERAGE(OFFSET($H$3,0,0,'Données projet'!$E$10+1,1))</f>
        <v>205.31676282910638</v>
      </c>
      <c r="AO49" s="59">
        <f t="shared" si="36"/>
        <v>190.64998698136026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 t="e">
        <f>IF(ISNA(VLOOKUP(A49,'Données projet'!$A$61:$I$81,6,0)),0%,VLOOKUP(A49,'Données projet'!$A$61:$I$81,6,0)*VLOOKUP('Données projet'!$B$10,Paramètres!$A$1:$I$89,7,0))</f>
        <v>#VALUE!</v>
      </c>
      <c r="AT49" s="16" t="str">
        <f>IF(ISNA(VLOOKUP(A49,'Données projet'!$A$61:$I$81,7,0)),0%,VLOOKUP(A49,'Données projet'!$A$61:$I$81,7,0))</f>
        <v/>
      </c>
      <c r="AU49" s="21" t="e">
        <f>EXP(-LN(2)/35)*AU48+(1-EXP(-LN(2)/35))/(LN(2)/35)*AQ49*AR49*VLOOKUP('Données projet'!$B$10,Paramètres!$A$1:$I$89,3,0)*0.475*44/12</f>
        <v>#VALUE!</v>
      </c>
      <c r="AV49" s="21" t="e">
        <f>EXP(-LN(2)/25)*AV48+(1-EXP(-LN(2)/25))/(LN(2)/25)*Calculateur!AQ49*Calculateur!AS49*VLOOKUP('Données projet'!$B$10,Paramètres!$A$1:$I$89,3,0)*0.475*44/12</f>
        <v>#VALUE!</v>
      </c>
      <c r="AW49" s="21" t="e">
        <f>EXP(-LN(2)/2)*AW48+(1-EXP(-LN(2)/2))/(LN(2)/2)*AQ49*AT49*VLOOKUP('Données projet'!$B$10,Paramètres!$A$1:$I$89,3,0)*0.475*44/12</f>
        <v>#VALUE!</v>
      </c>
      <c r="AX49" s="21" t="e">
        <f t="shared" si="6"/>
        <v>#VALUE!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11.861538461538462</v>
      </c>
      <c r="N50" s="13">
        <f>IF('Données projet'!$A$36&gt;35,N49+M50-V49,IF(A50&lt;'Données projet'!$A$36,$K$205^A50,IF(A50='Données projet'!$A$36,'Données projet'!$B$36,N49+M50-V49)))</f>
        <v>255.49999999999997</v>
      </c>
      <c r="O50" s="13">
        <f>N50*VLOOKUP('Données projet'!$B$9,Paramètres!$A$1:$I$89,3,0)*VLOOKUP('Données projet'!$B$9,Paramètres!$A$1:$I$89,5,0)</f>
        <v>152.78899999999999</v>
      </c>
      <c r="P50" s="13">
        <f t="shared" si="33"/>
        <v>39.211714711932316</v>
      </c>
      <c r="Q50" s="20">
        <f t="shared" si="53"/>
        <v>334.40124478994869</v>
      </c>
      <c r="R50" s="59">
        <f t="shared" si="0"/>
        <v>627.73457812328206</v>
      </c>
      <c r="S50" s="59">
        <f ca="1">AVERAGE(OFFSET($R$3,0,0,'Données projet'!$E$9+1,1))-AVERAGE(OFFSET($H$3,0,0,'Données projet'!$E$9+1,1))</f>
        <v>215.55381529099924</v>
      </c>
      <c r="T50" s="59">
        <f t="shared" si="34"/>
        <v>158.77848520346532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 t="e">
        <f>EXP(-LN(2)/35)*Z49+(1-EXP(-LN(2)/35))/(LN(2)/35)*V50*W50*VLOOKUP('Données projet'!$B$9,Paramètres!$A$1:$I$89,3,0)*0.475*44/12</f>
        <v>#VALUE!</v>
      </c>
      <c r="AA50" s="21" t="e">
        <f>EXP(-LN(2)/25)*AA49+(1-EXP(-LN(2)/25))/(LN(2)/25)*Calculateur!V50*Calculateur!X50*VLOOKUP('Données projet'!$B$9,Paramètres!$A$1:$I$89,3,0)*0.475*44/12</f>
        <v>#VALUE!</v>
      </c>
      <c r="AB50" s="21" t="e">
        <f>EXP(-LN(2)/2)*AB49+(1-EXP(-LN(2)/2))/(LN(2)/2)*V50*Y50*VLOOKUP('Données projet'!$B$9,Paramètres!$A$1:$I$89,3,0)*0.475*44/12</f>
        <v>#VALUE!</v>
      </c>
      <c r="AC50" s="22" t="e">
        <f t="shared" si="3"/>
        <v>#VALUE!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15.643589743589738</v>
      </c>
      <c r="AI50" s="13">
        <f>IF('Données projet'!$A$62&gt;35,AI49+AH50-AQ49,IF(A50&lt;'Données projet'!$A$62,$AF$205^A50,IF(A50='Données projet'!$A$62,'Données projet'!$B$62,AI49+AH50-AQ49)))</f>
        <v>308.56666666666678</v>
      </c>
      <c r="AJ50" s="13">
        <f>AI50*VLOOKUP('Données projet'!$B$10,Paramètres!$A$1:$I$89,3,0)*VLOOKUP('Données projet'!$B$10,Paramètres!$A$1:$I$89,5,0)</f>
        <v>144.40920000000006</v>
      </c>
      <c r="AK50" s="13">
        <f t="shared" si="35"/>
        <v>37.305261189150315</v>
      </c>
      <c r="AL50" s="20">
        <f t="shared" si="4"/>
        <v>316.48601990443689</v>
      </c>
      <c r="AM50" s="59">
        <f t="shared" si="5"/>
        <v>609.8193532377702</v>
      </c>
      <c r="AN50" s="59">
        <f ca="1">AVERAGE(OFFSET($AM$3,0,0,'Données projet'!$E$10+1,1))-AVERAGE(OFFSET($H$3,0,0,'Données projet'!$E$10+1,1))</f>
        <v>205.31676282910638</v>
      </c>
      <c r="AO50" s="59">
        <f t="shared" si="36"/>
        <v>190.64998698136026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#VALUE!</v>
      </c>
      <c r="AV50" s="21" t="e">
        <f>EXP(-LN(2)/25)*AV49+(1-EXP(-LN(2)/25))/(LN(2)/25)*Calculateur!AQ50*Calculateur!AS50*VLOOKUP('Données projet'!$B$10,Paramètres!$A$1:$I$89,3,0)*0.475*44/12</f>
        <v>#VALUE!</v>
      </c>
      <c r="AW50" s="21" t="e">
        <f>EXP(-LN(2)/2)*AW49+(1-EXP(-LN(2)/2))/(LN(2)/2)*AQ50*AT50*VLOOKUP('Données projet'!$B$10,Paramètres!$A$1:$I$89,3,0)*0.475*44/12</f>
        <v>#VALUE!</v>
      </c>
      <c r="AX50" s="21" t="e">
        <f t="shared" si="6"/>
        <v>#VALUE!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11.861538461538462</v>
      </c>
      <c r="N51" s="13">
        <f>IF('Données projet'!$A$36&gt;35,N50+M51-V50,IF(A51&lt;'Données projet'!$A$36,$K$205^A51,IF(A51='Données projet'!$A$36,'Données projet'!$B$36,N50+M51-V50)))</f>
        <v>267.36153846153843</v>
      </c>
      <c r="O51" s="13">
        <f>N51*VLOOKUP('Données projet'!$B$9,Paramètres!$A$1:$I$89,3,0)*VLOOKUP('Données projet'!$B$9,Paramètres!$A$1:$I$89,5,0)</f>
        <v>159.88219999999998</v>
      </c>
      <c r="P51" s="13">
        <f t="shared" si="33"/>
        <v>40.815944149041762</v>
      </c>
      <c r="Q51" s="20">
        <f t="shared" si="53"/>
        <v>349.54926772624771</v>
      </c>
      <c r="R51" s="59">
        <f t="shared" si="0"/>
        <v>642.88260105958102</v>
      </c>
      <c r="S51" s="59">
        <f ca="1">AVERAGE(OFFSET($R$3,0,0,'Données projet'!$E$9+1,1))-AVERAGE(OFFSET($H$3,0,0,'Données projet'!$E$9+1,1))</f>
        <v>215.55381529099924</v>
      </c>
      <c r="T51" s="59">
        <f t="shared" si="34"/>
        <v>158.77848520346532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 t="e">
        <f>EXP(-LN(2)/35)*Z50+(1-EXP(-LN(2)/35))/(LN(2)/35)*V51*W51*VLOOKUP('Données projet'!$B$9,Paramètres!$A$1:$I$89,3,0)*0.475*44/12</f>
        <v>#VALUE!</v>
      </c>
      <c r="AA51" s="21" t="e">
        <f>EXP(-LN(2)/25)*AA50+(1-EXP(-LN(2)/25))/(LN(2)/25)*Calculateur!V51*Calculateur!X51*VLOOKUP('Données projet'!$B$9,Paramètres!$A$1:$I$89,3,0)*0.475*44/12</f>
        <v>#VALUE!</v>
      </c>
      <c r="AB51" s="21" t="e">
        <f>EXP(-LN(2)/2)*AB50+(1-EXP(-LN(2)/2))/(LN(2)/2)*V51*Y51*VLOOKUP('Données projet'!$B$9,Paramètres!$A$1:$I$89,3,0)*0.475*44/12</f>
        <v>#VALUE!</v>
      </c>
      <c r="AC51" s="22" t="e">
        <f t="shared" si="3"/>
        <v>#VALUE!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15.643589743589738</v>
      </c>
      <c r="AI51" s="13">
        <f>IF('Données projet'!$A$62&gt;35,AI50+AH51-AQ50,IF(A51&lt;'Données projet'!$A$62,$AF$205^A51,IF(A51='Données projet'!$A$62,'Données projet'!$B$62,AI50+AH51-AQ50)))</f>
        <v>324.21025641025653</v>
      </c>
      <c r="AJ51" s="13">
        <f>AI51*VLOOKUP('Données projet'!$B$10,Paramètres!$A$1:$I$89,3,0)*VLOOKUP('Données projet'!$B$10,Paramètres!$A$1:$I$89,5,0)</f>
        <v>151.73040000000006</v>
      </c>
      <c r="AK51" s="13">
        <f t="shared" si="35"/>
        <v>38.971562337519707</v>
      </c>
      <c r="AL51" s="20">
        <f t="shared" si="4"/>
        <v>332.1392510711803</v>
      </c>
      <c r="AM51" s="59">
        <f t="shared" si="5"/>
        <v>625.47258440451355</v>
      </c>
      <c r="AN51" s="59">
        <f ca="1">AVERAGE(OFFSET($AM$3,0,0,'Données projet'!$E$10+1,1))-AVERAGE(OFFSET($H$3,0,0,'Données projet'!$E$10+1,1))</f>
        <v>205.31676282910638</v>
      </c>
      <c r="AO51" s="59">
        <f t="shared" si="36"/>
        <v>190.64998698136026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#VALUE!</v>
      </c>
      <c r="AV51" s="21" t="e">
        <f>EXP(-LN(2)/25)*AV50+(1-EXP(-LN(2)/25))/(LN(2)/25)*Calculateur!AQ51*Calculateur!AS51*VLOOKUP('Données projet'!$B$10,Paramètres!$A$1:$I$89,3,0)*0.475*44/12</f>
        <v>#VALUE!</v>
      </c>
      <c r="AW51" s="21" t="e">
        <f>EXP(-LN(2)/2)*AW50+(1-EXP(-LN(2)/2))/(LN(2)/2)*AQ51*AT51*VLOOKUP('Données projet'!$B$10,Paramètres!$A$1:$I$89,3,0)*0.475*44/12</f>
        <v>#VALUE!</v>
      </c>
      <c r="AX51" s="21" t="e">
        <f t="shared" si="6"/>
        <v>#VALUE!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11.861538461538462</v>
      </c>
      <c r="N52" s="13">
        <f>IF('Données projet'!$A$36&gt;35,N51+M52-V51,IF(A52&lt;'Données projet'!$A$36,$K$205^A52,IF(A52='Données projet'!$A$36,'Données projet'!$B$36,N51+M52-V51)))</f>
        <v>279.22307692307692</v>
      </c>
      <c r="O52" s="13">
        <f>N52*VLOOKUP('Données projet'!$B$9,Paramètres!$A$1:$I$89,3,0)*VLOOKUP('Données projet'!$B$9,Paramètres!$A$1:$I$89,5,0)</f>
        <v>166.97540000000001</v>
      </c>
      <c r="P52" s="13">
        <f t="shared" si="33"/>
        <v>42.411907667415186</v>
      </c>
      <c r="Q52" s="20">
        <f t="shared" si="53"/>
        <v>364.68289418741483</v>
      </c>
      <c r="R52" s="59">
        <f t="shared" si="0"/>
        <v>658.01622752074809</v>
      </c>
      <c r="S52" s="59">
        <f ca="1">AVERAGE(OFFSET($R$3,0,0,'Données projet'!$E$9+1,1))-AVERAGE(OFFSET($H$3,0,0,'Données projet'!$E$9+1,1))</f>
        <v>215.55381529099924</v>
      </c>
      <c r="T52" s="59">
        <f t="shared" si="34"/>
        <v>158.77848520346532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 t="e">
        <f>EXP(-LN(2)/35)*Z51+(1-EXP(-LN(2)/35))/(LN(2)/35)*V52*W52*VLOOKUP('Données projet'!$B$9,Paramètres!$A$1:$I$89,3,0)*0.475*44/12</f>
        <v>#VALUE!</v>
      </c>
      <c r="AA52" s="21" t="e">
        <f>EXP(-LN(2)/25)*AA51+(1-EXP(-LN(2)/25))/(LN(2)/25)*Calculateur!V52*Calculateur!X52*VLOOKUP('Données projet'!$B$9,Paramètres!$A$1:$I$89,3,0)*0.475*44/12</f>
        <v>#VALUE!</v>
      </c>
      <c r="AB52" s="21" t="e">
        <f>EXP(-LN(2)/2)*AB51+(1-EXP(-LN(2)/2))/(LN(2)/2)*V52*Y52*VLOOKUP('Données projet'!$B$9,Paramètres!$A$1:$I$89,3,0)*0.475*44/12</f>
        <v>#VALUE!</v>
      </c>
      <c r="AC52" s="22" t="e">
        <f t="shared" si="3"/>
        <v>#VALUE!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339.85384615384612</v>
      </c>
      <c r="AG52" s="12">
        <f>VLOOKUP(A52,'Données projet'!$A$61:$I$81,9,0)</f>
        <v>15.643589743589738</v>
      </c>
      <c r="AH52" s="12">
        <f t="array" ref="AH52">INDEX(AG:AG,MIN(IF(ISNUMBER(AG52:AG248),ROW(AG52:AG248),"")))</f>
        <v>15.643589743589738</v>
      </c>
      <c r="AI52" s="13">
        <f>IF('Données projet'!$A$62&gt;35,AI51+AH52-AQ51,IF(A52&lt;'Données projet'!$A$62,$AF$205^A52,IF(A52='Données projet'!$A$62,'Données projet'!$B$62,AI51+AH52-AQ51)))</f>
        <v>339.85384615384629</v>
      </c>
      <c r="AJ52" s="13">
        <f>AI52*VLOOKUP('Données projet'!$B$10,Paramètres!$A$1:$I$89,3,0)*VLOOKUP('Données projet'!$B$10,Paramètres!$A$1:$I$89,5,0)</f>
        <v>159.05160000000006</v>
      </c>
      <c r="AK52" s="13">
        <f t="shared" si="35"/>
        <v>40.628527179850586</v>
      </c>
      <c r="AL52" s="20">
        <f t="shared" si="4"/>
        <v>347.77622150490652</v>
      </c>
      <c r="AM52" s="59">
        <f t="shared" si="5"/>
        <v>641.10955483823977</v>
      </c>
      <c r="AN52" s="59">
        <f ca="1">AVERAGE(OFFSET($AM$3,0,0,'Données projet'!$E$10+1,1))-AVERAGE(OFFSET($H$3,0,0,'Données projet'!$E$10+1,1))</f>
        <v>205.31676282910638</v>
      </c>
      <c r="AO52" s="59">
        <f t="shared" si="36"/>
        <v>190.64998698136026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94.476923076923072</v>
      </c>
      <c r="AR52" s="16">
        <f>IF(ISNA(VLOOKUP(A52,'Données projet'!$A$61:$I$81,5,0)),0%,VLOOKUP(A52,'Données projet'!$A$61:$I$81,5,0)*VLOOKUP('Données projet'!$B$10,Paramètres!$A$1:$I$89,7,0))</f>
        <v>0</v>
      </c>
      <c r="AS52" s="16" t="e">
        <f>IF(ISNA(VLOOKUP(A52,'Données projet'!$A$61:$I$81,6,0)),0%,VLOOKUP(A52,'Données projet'!$A$61:$I$81,6,0)*VLOOKUP('Données projet'!$B$10,Paramètres!$A$1:$I$89,7,0))</f>
        <v>#VALUE!</v>
      </c>
      <c r="AT52" s="16" t="str">
        <f>IF(ISNA(VLOOKUP(A52,'Données projet'!$A$61:$I$81,7,0)),0%,VLOOKUP(A52,'Données projet'!$A$61:$I$81,7,0))</f>
        <v/>
      </c>
      <c r="AU52" s="21" t="e">
        <f>EXP(-LN(2)/35)*AU51+(1-EXP(-LN(2)/35))/(LN(2)/35)*AQ52*AR52*VLOOKUP('Données projet'!$B$10,Paramètres!$A$1:$I$89,3,0)*0.475*44/12</f>
        <v>#VALUE!</v>
      </c>
      <c r="AV52" s="21" t="e">
        <f>EXP(-LN(2)/25)*AV51+(1-EXP(-LN(2)/25))/(LN(2)/25)*Calculateur!AQ52*Calculateur!AS52*VLOOKUP('Données projet'!$B$10,Paramètres!$A$1:$I$89,3,0)*0.475*44/12</f>
        <v>#VALUE!</v>
      </c>
      <c r="AW52" s="21" t="e">
        <f>EXP(-LN(2)/2)*AW51+(1-EXP(-LN(2)/2))/(LN(2)/2)*AQ52*AT52*VLOOKUP('Données projet'!$B$10,Paramètres!$A$1:$I$89,3,0)*0.475*44/12</f>
        <v>#VALUE!</v>
      </c>
      <c r="AX52" s="21" t="e">
        <f t="shared" si="6"/>
        <v>#VALUE!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291.0846153846154</v>
      </c>
      <c r="L53" s="12">
        <f>VLOOKUP(A53,'Données projet'!$A$35:$I$55,9,0)</f>
        <v>11.861538461538462</v>
      </c>
      <c r="M53" s="12">
        <f t="array" ref="M53">INDEX(L:L,MIN(IF(ISNUMBER(L53:L249),ROW(L53:L249),"")))</f>
        <v>11.861538461538462</v>
      </c>
      <c r="N53" s="13">
        <f>IF('Données projet'!$A$36&gt;35,N52+M53-V52,IF(A53&lt;'Données projet'!$A$36,$K$205^A53,IF(A53='Données projet'!$A$36,'Données projet'!$B$36,N52+M53-V52)))</f>
        <v>291.0846153846154</v>
      </c>
      <c r="O53" s="13">
        <f>N53*VLOOKUP('Données projet'!$B$9,Paramètres!$A$1:$I$89,3,0)*VLOOKUP('Données projet'!$B$9,Paramètres!$A$1:$I$89,5,0)</f>
        <v>174.06860000000003</v>
      </c>
      <c r="P53" s="13">
        <f t="shared" si="33"/>
        <v>43.999996552753835</v>
      </c>
      <c r="Q53" s="20">
        <f t="shared" si="53"/>
        <v>379.80280566271296</v>
      </c>
      <c r="R53" s="59">
        <f t="shared" si="0"/>
        <v>673.13613899604627</v>
      </c>
      <c r="S53" s="59">
        <f ca="1">AVERAGE(OFFSET($R$3,0,0,'Données projet'!$E$9+1,1))-AVERAGE(OFFSET($H$3,0,0,'Données projet'!$E$9+1,1))</f>
        <v>215.55381529099924</v>
      </c>
      <c r="T53" s="59">
        <f t="shared" si="34"/>
        <v>158.77848520346532</v>
      </c>
      <c r="U53" s="15">
        <f>IF(ISNA(VLOOKUP(A53,'Données projet'!$A$35:$I$55,3,0)),0,VLOOKUP(A53,'Données projet'!$A$35:$I$55,3,0))</f>
        <v>5</v>
      </c>
      <c r="V53" s="15">
        <f>IF(ISNA(VLOOKUP(A53,'Données projet'!$A$35:$I$55,4,0)),0,VLOOKUP(A53,'Données projet'!$A$35:$I$55,4,0))</f>
        <v>55.292307692307688</v>
      </c>
      <c r="W53" s="16" t="e">
        <f>IF(ISNA(VLOOKUP(A53,'Données projet'!$A$35:$I$55,5,0)),0%,VLOOKUP(A53,'Données projet'!$A$35:$I$55,5,0)*VLOOKUP('Données projet'!$B$9,Paramètres!$A$1:$I$89,7,0))</f>
        <v>#VALUE!</v>
      </c>
      <c r="X53" s="16" t="e">
        <f>IF(ISNA(VLOOKUP(A53,'Données projet'!$A$35:$I$55,6,0)),0%,VLOOKUP(A53,'Données projet'!$A$35:$I$55,6,0)*VLOOKUP('Données projet'!$B$9,Paramètres!$A$1:$I$89,7,0))</f>
        <v>#VALUE!</v>
      </c>
      <c r="Y53" s="16" t="str">
        <f>IF(ISNA(VLOOKUP(A53,'Données projet'!$A$35:$I$55,7,0)),0%,VLOOKUP(A53,'Données projet'!$A$35:$I$55,7,0))</f>
        <v/>
      </c>
      <c r="Z53" s="21" t="e">
        <f>EXP(-LN(2)/35)*Z52+(1-EXP(-LN(2)/35))/(LN(2)/35)*V53*W53*VLOOKUP('Données projet'!$B$9,Paramètres!$A$1:$I$89,3,0)*0.475*44/12</f>
        <v>#VALUE!</v>
      </c>
      <c r="AA53" s="21" t="e">
        <f>EXP(-LN(2)/25)*AA52+(1-EXP(-LN(2)/25))/(LN(2)/25)*Calculateur!V53*Calculateur!X53*VLOOKUP('Données projet'!$B$9,Paramètres!$A$1:$I$89,3,0)*0.475*44/12</f>
        <v>#VALUE!</v>
      </c>
      <c r="AB53" s="21" t="e">
        <f>EXP(-LN(2)/2)*AB52+(1-EXP(-LN(2)/2))/(LN(2)/2)*V53*Y53*VLOOKUP('Données projet'!$B$9,Paramètres!$A$1:$I$89,3,0)*0.475*44/12</f>
        <v>#VALUE!</v>
      </c>
      <c r="AC53" s="22" t="e">
        <f t="shared" si="3"/>
        <v>#VALUE!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14.413461538461547</v>
      </c>
      <c r="AI53" s="13">
        <f>IF('Données projet'!$A$62&gt;35,AI52+AH53-AQ52,IF(A53&lt;'Données projet'!$A$62,$AF$205^A53,IF(A53='Données projet'!$A$62,'Données projet'!$B$62,AI52+AH53-AQ52)))</f>
        <v>259.79038461538477</v>
      </c>
      <c r="AJ53" s="13">
        <f>AI53*VLOOKUP('Données projet'!$B$10,Paramètres!$A$1:$I$89,3,0)*VLOOKUP('Données projet'!$B$10,Paramètres!$A$1:$I$89,5,0)</f>
        <v>121.58190000000008</v>
      </c>
      <c r="AK53" s="13">
        <f t="shared" si="35"/>
        <v>32.043669802343274</v>
      </c>
      <c r="AL53" s="20">
        <f t="shared" si="4"/>
        <v>267.56453407241469</v>
      </c>
      <c r="AM53" s="59">
        <f t="shared" si="5"/>
        <v>560.897867405748</v>
      </c>
      <c r="AN53" s="59">
        <f ca="1">AVERAGE(OFFSET($AM$3,0,0,'Données projet'!$E$10+1,1))-AVERAGE(OFFSET($H$3,0,0,'Données projet'!$E$10+1,1))</f>
        <v>205.31676282910638</v>
      </c>
      <c r="AO53" s="59">
        <f t="shared" si="36"/>
        <v>190.64998698136026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#VALUE!</v>
      </c>
      <c r="AV53" s="21" t="e">
        <f>EXP(-LN(2)/25)*AV52+(1-EXP(-LN(2)/25))/(LN(2)/25)*Calculateur!AQ53*Calculateur!AS53*VLOOKUP('Données projet'!$B$10,Paramètres!$A$1:$I$89,3,0)*0.475*44/12</f>
        <v>#VALUE!</v>
      </c>
      <c r="AW53" s="21" t="e">
        <f>EXP(-LN(2)/2)*AW52+(1-EXP(-LN(2)/2))/(LN(2)/2)*AQ53*AT53*VLOOKUP('Données projet'!$B$10,Paramètres!$A$1:$I$89,3,0)*0.475*44/12</f>
        <v>#VALUE!</v>
      </c>
      <c r="AX53" s="21" t="e">
        <f t="shared" si="6"/>
        <v>#VALUE!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10.66307692307692</v>
      </c>
      <c r="N54" s="13">
        <f>IF('Données projet'!$A$36&gt;35,N53+M54-V53,IF(A54&lt;'Données projet'!$A$36,$K$205^A54,IF(A54='Données projet'!$A$36,'Données projet'!$B$36,N53+M54-V53)))</f>
        <v>246.45538461538462</v>
      </c>
      <c r="O54" s="13">
        <f>N54*VLOOKUP('Données projet'!$B$9,Paramètres!$A$1:$I$89,3,0)*VLOOKUP('Données projet'!$B$9,Paramètres!$A$1:$I$89,5,0)</f>
        <v>147.38032000000001</v>
      </c>
      <c r="P54" s="13">
        <f t="shared" si="33"/>
        <v>37.982644854557613</v>
      </c>
      <c r="Q54" s="20">
        <f t="shared" si="53"/>
        <v>322.84049712168786</v>
      </c>
      <c r="R54" s="59">
        <f t="shared" si="0"/>
        <v>616.17383045502118</v>
      </c>
      <c r="S54" s="59">
        <f ca="1">AVERAGE(OFFSET($R$3,0,0,'Données projet'!$E$9+1,1))-AVERAGE(OFFSET($H$3,0,0,'Données projet'!$E$9+1,1))</f>
        <v>215.55381529099924</v>
      </c>
      <c r="T54" s="59">
        <f t="shared" si="34"/>
        <v>158.77848520346532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 t="e">
        <f>EXP(-LN(2)/35)*Z53+(1-EXP(-LN(2)/35))/(LN(2)/35)*V54*W54*VLOOKUP('Données projet'!$B$9,Paramètres!$A$1:$I$89,3,0)*0.475*44/12</f>
        <v>#VALUE!</v>
      </c>
      <c r="AA54" s="21" t="e">
        <f>EXP(-LN(2)/25)*AA53+(1-EXP(-LN(2)/25))/(LN(2)/25)*Calculateur!V54*Calculateur!X54*VLOOKUP('Données projet'!$B$9,Paramètres!$A$1:$I$89,3,0)*0.475*44/12</f>
        <v>#VALUE!</v>
      </c>
      <c r="AB54" s="21" t="e">
        <f>EXP(-LN(2)/2)*AB53+(1-EXP(-LN(2)/2))/(LN(2)/2)*V54*Y54*VLOOKUP('Données projet'!$B$9,Paramètres!$A$1:$I$89,3,0)*0.475*44/12</f>
        <v>#VALUE!</v>
      </c>
      <c r="AC54" s="22" t="e">
        <f t="shared" si="3"/>
        <v>#VALUE!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14.413461538461547</v>
      </c>
      <c r="AI54" s="13">
        <f>IF('Données projet'!$A$62&gt;35,AI53+AH54-AQ53,IF(A54&lt;'Données projet'!$A$62,$AF$205^A54,IF(A54='Données projet'!$A$62,'Données projet'!$B$62,AI53+AH54-AQ53)))</f>
        <v>274.20384615384631</v>
      </c>
      <c r="AJ54" s="13">
        <f>AI54*VLOOKUP('Données projet'!$B$10,Paramètres!$A$1:$I$89,3,0)*VLOOKUP('Données projet'!$B$10,Paramètres!$A$1:$I$89,5,0)</f>
        <v>128.32740000000007</v>
      </c>
      <c r="AK54" s="13">
        <f t="shared" si="35"/>
        <v>33.609579779226429</v>
      </c>
      <c r="AL54" s="20">
        <f t="shared" si="4"/>
        <v>282.04023978215281</v>
      </c>
      <c r="AM54" s="59">
        <f t="shared" si="5"/>
        <v>575.37357311548612</v>
      </c>
      <c r="AN54" s="59">
        <f ca="1">AVERAGE(OFFSET($AM$3,0,0,'Données projet'!$E$10+1,1))-AVERAGE(OFFSET($H$3,0,0,'Données projet'!$E$10+1,1))</f>
        <v>205.31676282910638</v>
      </c>
      <c r="AO54" s="59">
        <f t="shared" si="36"/>
        <v>190.64998698136026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#VALUE!</v>
      </c>
      <c r="AV54" s="21" t="e">
        <f>EXP(-LN(2)/25)*AV53+(1-EXP(-LN(2)/25))/(LN(2)/25)*Calculateur!AQ54*Calculateur!AS54*VLOOKUP('Données projet'!$B$10,Paramètres!$A$1:$I$89,3,0)*0.475*44/12</f>
        <v>#VALUE!</v>
      </c>
      <c r="AW54" s="21" t="e">
        <f>EXP(-LN(2)/2)*AW53+(1-EXP(-LN(2)/2))/(LN(2)/2)*AQ54*AT54*VLOOKUP('Données projet'!$B$10,Paramètres!$A$1:$I$89,3,0)*0.475*44/12</f>
        <v>#VALUE!</v>
      </c>
      <c r="AX54" s="21" t="e">
        <f t="shared" si="6"/>
        <v>#VALUE!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10.66307692307692</v>
      </c>
      <c r="N55" s="13">
        <f>IF('Données projet'!$A$36&gt;35,N54+M55-V54,IF(A55&lt;'Données projet'!$A$36,$K$205^A55,IF(A55='Données projet'!$A$36,'Données projet'!$B$36,N54+M55-V54)))</f>
        <v>257.11846153846153</v>
      </c>
      <c r="O55" s="13">
        <f>N55*VLOOKUP('Données projet'!$B$9,Paramètres!$A$1:$I$89,3,0)*VLOOKUP('Données projet'!$B$9,Paramètres!$A$1:$I$89,5,0)</f>
        <v>153.75684000000001</v>
      </c>
      <c r="P55" s="13">
        <f t="shared" si="33"/>
        <v>39.431107959482766</v>
      </c>
      <c r="Q55" s="20">
        <f t="shared" si="53"/>
        <v>336.4690093627658</v>
      </c>
      <c r="R55" s="59">
        <f t="shared" si="0"/>
        <v>629.80234269609912</v>
      </c>
      <c r="S55" s="59">
        <f ca="1">AVERAGE(OFFSET($R$3,0,0,'Données projet'!$E$9+1,1))-AVERAGE(OFFSET($H$3,0,0,'Données projet'!$E$9+1,1))</f>
        <v>215.55381529099924</v>
      </c>
      <c r="T55" s="59">
        <f t="shared" si="34"/>
        <v>158.77848520346532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 t="e">
        <f>EXP(-LN(2)/35)*Z54+(1-EXP(-LN(2)/35))/(LN(2)/35)*V55*W55*VLOOKUP('Données projet'!$B$9,Paramètres!$A$1:$I$89,3,0)*0.475*44/12</f>
        <v>#VALUE!</v>
      </c>
      <c r="AA55" s="21" t="e">
        <f>EXP(-LN(2)/25)*AA54+(1-EXP(-LN(2)/25))/(LN(2)/25)*Calculateur!V55*Calculateur!X55*VLOOKUP('Données projet'!$B$9,Paramètres!$A$1:$I$89,3,0)*0.475*44/12</f>
        <v>#VALUE!</v>
      </c>
      <c r="AB55" s="21" t="e">
        <f>EXP(-LN(2)/2)*AB54+(1-EXP(-LN(2)/2))/(LN(2)/2)*V55*Y55*VLOOKUP('Données projet'!$B$9,Paramètres!$A$1:$I$89,3,0)*0.475*44/12</f>
        <v>#VALUE!</v>
      </c>
      <c r="AC55" s="22" t="e">
        <f t="shared" si="3"/>
        <v>#VALUE!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14.413461538461547</v>
      </c>
      <c r="AI55" s="13">
        <f>IF('Données projet'!$A$62&gt;35,AI54+AH55-AQ54,IF(A55&lt;'Données projet'!$A$62,$AF$205^A55,IF(A55='Données projet'!$A$62,'Données projet'!$B$62,AI54+AH55-AQ54)))</f>
        <v>288.61730769230786</v>
      </c>
      <c r="AJ55" s="13">
        <f>AI55*VLOOKUP('Données projet'!$B$10,Paramètres!$A$1:$I$89,3,0)*VLOOKUP('Données projet'!$B$10,Paramètres!$A$1:$I$89,5,0)</f>
        <v>135.07290000000009</v>
      </c>
      <c r="AK55" s="13">
        <f t="shared" si="35"/>
        <v>35.165933280431886</v>
      </c>
      <c r="AL55" s="20">
        <f t="shared" si="4"/>
        <v>296.49930129675232</v>
      </c>
      <c r="AM55" s="59">
        <f t="shared" si="5"/>
        <v>589.83263463008564</v>
      </c>
      <c r="AN55" s="59">
        <f ca="1">AVERAGE(OFFSET($AM$3,0,0,'Données projet'!$E$10+1,1))-AVERAGE(OFFSET($H$3,0,0,'Données projet'!$E$10+1,1))</f>
        <v>205.31676282910638</v>
      </c>
      <c r="AO55" s="59">
        <f t="shared" si="36"/>
        <v>190.64998698136026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#VALUE!</v>
      </c>
      <c r="AV55" s="21" t="e">
        <f>EXP(-LN(2)/25)*AV54+(1-EXP(-LN(2)/25))/(LN(2)/25)*Calculateur!AQ55*Calculateur!AS55*VLOOKUP('Données projet'!$B$10,Paramètres!$A$1:$I$89,3,0)*0.475*44/12</f>
        <v>#VALUE!</v>
      </c>
      <c r="AW55" s="21" t="e">
        <f>EXP(-LN(2)/2)*AW54+(1-EXP(-LN(2)/2))/(LN(2)/2)*AQ55*AT55*VLOOKUP('Données projet'!$B$10,Paramètres!$A$1:$I$89,3,0)*0.475*44/12</f>
        <v>#VALUE!</v>
      </c>
      <c r="AX55" s="21" t="e">
        <f t="shared" si="6"/>
        <v>#VALUE!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10.66307692307692</v>
      </c>
      <c r="N56" s="13">
        <f>IF('Données projet'!$A$36&gt;35,N55+M56-V55,IF(A56&lt;'Données projet'!$A$36,$K$205^A56,IF(A56='Données projet'!$A$36,'Données projet'!$B$36,N55+M56-V55)))</f>
        <v>267.78153846153845</v>
      </c>
      <c r="O56" s="13">
        <f>N56*VLOOKUP('Données projet'!$B$9,Paramètres!$A$1:$I$89,3,0)*VLOOKUP('Données projet'!$B$9,Paramètres!$A$1:$I$89,5,0)</f>
        <v>160.13336000000001</v>
      </c>
      <c r="P56" s="13">
        <f t="shared" si="33"/>
        <v>40.872593668242253</v>
      </c>
      <c r="Q56" s="20">
        <f t="shared" si="53"/>
        <v>350.08536930552191</v>
      </c>
      <c r="R56" s="59">
        <f t="shared" si="0"/>
        <v>643.41870263885517</v>
      </c>
      <c r="S56" s="59">
        <f ca="1">AVERAGE(OFFSET($R$3,0,0,'Données projet'!$E$9+1,1))-AVERAGE(OFFSET($H$3,0,0,'Données projet'!$E$9+1,1))</f>
        <v>215.55381529099924</v>
      </c>
      <c r="T56" s="59">
        <f t="shared" si="34"/>
        <v>158.77848520346532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 t="e">
        <f>EXP(-LN(2)/35)*Z55+(1-EXP(-LN(2)/35))/(LN(2)/35)*V56*W56*VLOOKUP('Données projet'!$B$9,Paramètres!$A$1:$I$89,3,0)*0.475*44/12</f>
        <v>#VALUE!</v>
      </c>
      <c r="AA56" s="21" t="e">
        <f>EXP(-LN(2)/25)*AA55+(1-EXP(-LN(2)/25))/(LN(2)/25)*Calculateur!V56*Calculateur!X56*VLOOKUP('Données projet'!$B$9,Paramètres!$A$1:$I$89,3,0)*0.475*44/12</f>
        <v>#VALUE!</v>
      </c>
      <c r="AB56" s="21" t="e">
        <f>EXP(-LN(2)/2)*AB55+(1-EXP(-LN(2)/2))/(LN(2)/2)*V56*Y56*VLOOKUP('Données projet'!$B$9,Paramètres!$A$1:$I$89,3,0)*0.475*44/12</f>
        <v>#VALUE!</v>
      </c>
      <c r="AC56" s="22" t="e">
        <f t="shared" si="3"/>
        <v>#VALUE!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>
        <f>VLOOKUP(A56,'Données projet'!$A$61:$I$81,2,0)</f>
        <v>303.03076923076924</v>
      </c>
      <c r="AG56" s="12">
        <f>VLOOKUP(A56,'Données projet'!$A$61:$I$81,9,0)</f>
        <v>14.413461538461547</v>
      </c>
      <c r="AH56" s="12">
        <f t="array" ref="AH56">INDEX(AG:AG,MIN(IF(ISNUMBER(AG56:AG252),ROW(AG56:AG252),"")))</f>
        <v>14.413461538461547</v>
      </c>
      <c r="AI56" s="13">
        <f>IF('Données projet'!$A$62&gt;35,AI55+AH56-AQ55,IF(A56&lt;'Données projet'!$A$62,$AF$205^A56,IF(A56='Données projet'!$A$62,'Données projet'!$B$62,AI55+AH56-AQ55)))</f>
        <v>303.03076923076941</v>
      </c>
      <c r="AJ56" s="13">
        <f>AI56*VLOOKUP('Données projet'!$B$10,Paramètres!$A$1:$I$89,3,0)*VLOOKUP('Données projet'!$B$10,Paramètres!$A$1:$I$89,5,0)</f>
        <v>141.81840000000008</v>
      </c>
      <c r="AK56" s="13">
        <f t="shared" si="35"/>
        <v>36.713262012169757</v>
      </c>
      <c r="AL56" s="20">
        <f t="shared" si="4"/>
        <v>310.94264467119581</v>
      </c>
      <c r="AM56" s="59">
        <f t="shared" si="5"/>
        <v>604.27597800452918</v>
      </c>
      <c r="AN56" s="59">
        <f ca="1">AVERAGE(OFFSET($AM$3,0,0,'Données projet'!$E$10+1,1))-AVERAGE(OFFSET($H$3,0,0,'Données projet'!$E$10+1,1))</f>
        <v>205.31676282910638</v>
      </c>
      <c r="AO56" s="59">
        <f t="shared" si="36"/>
        <v>190.64998698136026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 t="e">
        <f>IF(ISNA(VLOOKUP(A56,'Données projet'!$A$61:$I$81,6,0)),0%,VLOOKUP(A56,'Données projet'!$A$61:$I$81,6,0)*VLOOKUP('Données projet'!$B$10,Paramètres!$A$1:$I$89,7,0))</f>
        <v>#VALUE!</v>
      </c>
      <c r="AT56" s="16" t="str">
        <f>IF(ISNA(VLOOKUP(A56,'Données projet'!$A$61:$I$81,7,0)),0%,VLOOKUP(A56,'Données projet'!$A$61:$I$81,7,0))</f>
        <v/>
      </c>
      <c r="AU56" s="21" t="e">
        <f>EXP(-LN(2)/35)*AU55+(1-EXP(-LN(2)/35))/(LN(2)/35)*AQ56*AR56*VLOOKUP('Données projet'!$B$10,Paramètres!$A$1:$I$89,3,0)*0.475*44/12</f>
        <v>#VALUE!</v>
      </c>
      <c r="AV56" s="21" t="e">
        <f>EXP(-LN(2)/25)*AV55+(1-EXP(-LN(2)/25))/(LN(2)/25)*Calculateur!AQ56*Calculateur!AS56*VLOOKUP('Données projet'!$B$10,Paramètres!$A$1:$I$89,3,0)*0.475*44/12</f>
        <v>#VALUE!</v>
      </c>
      <c r="AW56" s="21" t="e">
        <f>EXP(-LN(2)/2)*AW55+(1-EXP(-LN(2)/2))/(LN(2)/2)*AQ56*AT56*VLOOKUP('Données projet'!$B$10,Paramètres!$A$1:$I$89,3,0)*0.475*44/12</f>
        <v>#VALUE!</v>
      </c>
      <c r="AX56" s="21" t="e">
        <f t="shared" si="6"/>
        <v>#VALUE!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10.66307692307692</v>
      </c>
      <c r="N57" s="13">
        <f>IF('Données projet'!$A$36&gt;35,N56+M57-V56,IF(A57&lt;'Données projet'!$A$36,$K$205^A57,IF(A57='Données projet'!$A$36,'Données projet'!$B$36,N56+M57-V56)))</f>
        <v>278.44461538461536</v>
      </c>
      <c r="O57" s="13">
        <f>N57*VLOOKUP('Données projet'!$B$9,Paramètres!$A$1:$I$89,3,0)*VLOOKUP('Données projet'!$B$9,Paramètres!$A$1:$I$89,5,0)</f>
        <v>166.50987999999998</v>
      </c>
      <c r="P57" s="13">
        <f t="shared" si="33"/>
        <v>42.307411610776938</v>
      </c>
      <c r="Q57" s="20">
        <f t="shared" si="53"/>
        <v>363.69011622210314</v>
      </c>
      <c r="R57" s="59">
        <f t="shared" si="0"/>
        <v>657.0234495554364</v>
      </c>
      <c r="S57" s="59">
        <f ca="1">AVERAGE(OFFSET($R$3,0,0,'Données projet'!$E$9+1,1))-AVERAGE(OFFSET($H$3,0,0,'Données projet'!$E$9+1,1))</f>
        <v>215.55381529099924</v>
      </c>
      <c r="T57" s="59">
        <f t="shared" si="34"/>
        <v>158.77848520346532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 t="e">
        <f>EXP(-LN(2)/35)*Z56+(1-EXP(-LN(2)/35))/(LN(2)/35)*V57*W57*VLOOKUP('Données projet'!$B$9,Paramètres!$A$1:$I$89,3,0)*0.475*44/12</f>
        <v>#VALUE!</v>
      </c>
      <c r="AA57" s="21" t="e">
        <f>EXP(-LN(2)/25)*AA56+(1-EXP(-LN(2)/25))/(LN(2)/25)*Calculateur!V57*Calculateur!X57*VLOOKUP('Données projet'!$B$9,Paramètres!$A$1:$I$89,3,0)*0.475*44/12</f>
        <v>#VALUE!</v>
      </c>
      <c r="AB57" s="21" t="e">
        <f>EXP(-LN(2)/2)*AB56+(1-EXP(-LN(2)/2))/(LN(2)/2)*V57*Y57*VLOOKUP('Données projet'!$B$9,Paramètres!$A$1:$I$89,3,0)*0.475*44/12</f>
        <v>#VALUE!</v>
      </c>
      <c r="AC57" s="22" t="e">
        <f t="shared" si="3"/>
        <v>#VALUE!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15.007692307692309</v>
      </c>
      <c r="AI57" s="13">
        <f>IF('Données projet'!$A$62&gt;35,AI56+AH57-AQ56,IF(A57&lt;'Données projet'!$A$62,$AF$205^A57,IF(A57='Données projet'!$A$62,'Données projet'!$B$62,AI56+AH57-AQ56)))</f>
        <v>318.03846153846172</v>
      </c>
      <c r="AJ57" s="13">
        <f>AI57*VLOOKUP('Données projet'!$B$10,Paramètres!$A$1:$I$89,3,0)*VLOOKUP('Données projet'!$B$10,Paramètres!$A$1:$I$89,5,0)</f>
        <v>148.8420000000001</v>
      </c>
      <c r="AK57" s="13">
        <f t="shared" si="35"/>
        <v>38.315307385764029</v>
      </c>
      <c r="AL57" s="20">
        <f t="shared" si="4"/>
        <v>325.96564369687246</v>
      </c>
      <c r="AM57" s="59">
        <f t="shared" si="5"/>
        <v>619.29897703020583</v>
      </c>
      <c r="AN57" s="59">
        <f ca="1">AVERAGE(OFFSET($AM$3,0,0,'Données projet'!$E$10+1,1))-AVERAGE(OFFSET($H$3,0,0,'Données projet'!$E$10+1,1))</f>
        <v>205.31676282910638</v>
      </c>
      <c r="AO57" s="59">
        <f t="shared" si="36"/>
        <v>190.64998698136026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#VALUE!</v>
      </c>
      <c r="AV57" s="21" t="e">
        <f>EXP(-LN(2)/25)*AV56+(1-EXP(-LN(2)/25))/(LN(2)/25)*Calculateur!AQ57*Calculateur!AS57*VLOOKUP('Données projet'!$B$10,Paramètres!$A$1:$I$89,3,0)*0.475*44/12</f>
        <v>#VALUE!</v>
      </c>
      <c r="AW57" s="21" t="e">
        <f>EXP(-LN(2)/2)*AW56+(1-EXP(-LN(2)/2))/(LN(2)/2)*AQ57*AT57*VLOOKUP('Données projet'!$B$10,Paramètres!$A$1:$I$89,3,0)*0.475*44/12</f>
        <v>#VALUE!</v>
      </c>
      <c r="AX57" s="21" t="e">
        <f t="shared" si="6"/>
        <v>#VALUE!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10.66307692307692</v>
      </c>
      <c r="N58" s="13">
        <f>IF('Données projet'!$A$36&gt;35,N57+M58-V57,IF(A58&lt;'Données projet'!$A$36,$K$205^A58,IF(A58='Données projet'!$A$36,'Données projet'!$B$36,N57+M58-V57)))</f>
        <v>289.10769230769228</v>
      </c>
      <c r="O58" s="13">
        <f>N58*VLOOKUP('Données projet'!$B$9,Paramètres!$A$1:$I$89,3,0)*VLOOKUP('Données projet'!$B$9,Paramètres!$A$1:$I$89,5,0)</f>
        <v>172.88639999999998</v>
      </c>
      <c r="P58" s="13">
        <f t="shared" si="33"/>
        <v>43.735846359314316</v>
      </c>
      <c r="Q58" s="20">
        <f t="shared" si="53"/>
        <v>377.28374574247232</v>
      </c>
      <c r="R58" s="59">
        <f t="shared" si="0"/>
        <v>670.61707907580558</v>
      </c>
      <c r="S58" s="59">
        <f ca="1">AVERAGE(OFFSET($R$3,0,0,'Données projet'!$E$9+1,1))-AVERAGE(OFFSET($H$3,0,0,'Données projet'!$E$9+1,1))</f>
        <v>215.55381529099924</v>
      </c>
      <c r="T58" s="59">
        <f t="shared" si="34"/>
        <v>158.77848520346532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 t="e">
        <f>EXP(-LN(2)/35)*Z57+(1-EXP(-LN(2)/35))/(LN(2)/35)*V58*W58*VLOOKUP('Données projet'!$B$9,Paramètres!$A$1:$I$89,3,0)*0.475*44/12</f>
        <v>#VALUE!</v>
      </c>
      <c r="AA58" s="21" t="e">
        <f>EXP(-LN(2)/25)*AA57+(1-EXP(-LN(2)/25))/(LN(2)/25)*Calculateur!V58*Calculateur!X58*VLOOKUP('Données projet'!$B$9,Paramètres!$A$1:$I$89,3,0)*0.475*44/12</f>
        <v>#VALUE!</v>
      </c>
      <c r="AB58" s="21" t="e">
        <f>EXP(-LN(2)/2)*AB57+(1-EXP(-LN(2)/2))/(LN(2)/2)*V58*Y58*VLOOKUP('Données projet'!$B$9,Paramètres!$A$1:$I$89,3,0)*0.475*44/12</f>
        <v>#VALUE!</v>
      </c>
      <c r="AC58" s="22" t="e">
        <f t="shared" si="3"/>
        <v>#VALUE!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15.007692307692309</v>
      </c>
      <c r="AI58" s="13">
        <f>IF('Données projet'!$A$62&gt;35,AI57+AH58-AQ57,IF(A58&lt;'Données projet'!$A$62,$AF$205^A58,IF(A58='Données projet'!$A$62,'Données projet'!$B$62,AI57+AH58-AQ57)))</f>
        <v>333.04615384615403</v>
      </c>
      <c r="AJ58" s="13">
        <f>AI58*VLOOKUP('Données projet'!$B$10,Paramètres!$A$1:$I$89,3,0)*VLOOKUP('Données projet'!$B$10,Paramètres!$A$1:$I$89,5,0)</f>
        <v>155.86560000000009</v>
      </c>
      <c r="AK58" s="13">
        <f t="shared" si="35"/>
        <v>39.908573859453959</v>
      </c>
      <c r="AL58" s="20">
        <f t="shared" si="4"/>
        <v>340.97335280521577</v>
      </c>
      <c r="AM58" s="59">
        <f t="shared" si="5"/>
        <v>634.30668613854914</v>
      </c>
      <c r="AN58" s="59">
        <f ca="1">AVERAGE(OFFSET($AM$3,0,0,'Données projet'!$E$10+1,1))-AVERAGE(OFFSET($H$3,0,0,'Données projet'!$E$10+1,1))</f>
        <v>205.31676282910638</v>
      </c>
      <c r="AO58" s="59">
        <f t="shared" si="36"/>
        <v>190.64998698136026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#VALUE!</v>
      </c>
      <c r="AV58" s="21" t="e">
        <f>EXP(-LN(2)/25)*AV57+(1-EXP(-LN(2)/25))/(LN(2)/25)*Calculateur!AQ58*Calculateur!AS58*VLOOKUP('Données projet'!$B$10,Paramètres!$A$1:$I$89,3,0)*0.475*44/12</f>
        <v>#VALUE!</v>
      </c>
      <c r="AW58" s="21" t="e">
        <f>EXP(-LN(2)/2)*AW57+(1-EXP(-LN(2)/2))/(LN(2)/2)*AQ58*AT58*VLOOKUP('Données projet'!$B$10,Paramètres!$A$1:$I$89,3,0)*0.475*44/12</f>
        <v>#VALUE!</v>
      </c>
      <c r="AX58" s="21" t="e">
        <f t="shared" si="6"/>
        <v>#VALUE!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10.66307692307692</v>
      </c>
      <c r="N59" s="13">
        <f>IF('Données projet'!$A$36&gt;35,N58+M59-V58,IF(A59&lt;'Données projet'!$A$36,$K$205^A59,IF(A59='Données projet'!$A$36,'Données projet'!$B$36,N58+M59-V58)))</f>
        <v>299.77076923076919</v>
      </c>
      <c r="O59" s="13">
        <f>N59*VLOOKUP('Données projet'!$B$9,Paramètres!$A$1:$I$89,3,0)*VLOOKUP('Données projet'!$B$9,Paramètres!$A$1:$I$89,5,0)</f>
        <v>179.26291999999998</v>
      </c>
      <c r="P59" s="13">
        <f t="shared" si="33"/>
        <v>45.158160305042841</v>
      </c>
      <c r="Q59" s="20">
        <f t="shared" si="53"/>
        <v>390.8667148646162</v>
      </c>
      <c r="R59" s="59">
        <f t="shared" si="0"/>
        <v>684.20004819794951</v>
      </c>
      <c r="S59" s="59">
        <f ca="1">AVERAGE(OFFSET($R$3,0,0,'Données projet'!$E$9+1,1))-AVERAGE(OFFSET($H$3,0,0,'Données projet'!$E$9+1,1))</f>
        <v>215.55381529099924</v>
      </c>
      <c r="T59" s="59">
        <f t="shared" si="34"/>
        <v>158.77848520346532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 t="e">
        <f>EXP(-LN(2)/35)*Z58+(1-EXP(-LN(2)/35))/(LN(2)/35)*V59*W59*VLOOKUP('Données projet'!$B$9,Paramètres!$A$1:$I$89,3,0)*0.475*44/12</f>
        <v>#VALUE!</v>
      </c>
      <c r="AA59" s="21" t="e">
        <f>EXP(-LN(2)/25)*AA58+(1-EXP(-LN(2)/25))/(LN(2)/25)*Calculateur!V59*Calculateur!X59*VLOOKUP('Données projet'!$B$9,Paramètres!$A$1:$I$89,3,0)*0.475*44/12</f>
        <v>#VALUE!</v>
      </c>
      <c r="AB59" s="21" t="e">
        <f>EXP(-LN(2)/2)*AB58+(1-EXP(-LN(2)/2))/(LN(2)/2)*V59*Y59*VLOOKUP('Données projet'!$B$9,Paramètres!$A$1:$I$89,3,0)*0.475*44/12</f>
        <v>#VALUE!</v>
      </c>
      <c r="AC59" s="22" t="e">
        <f t="shared" si="3"/>
        <v>#VALUE!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348.05384615384617</v>
      </c>
      <c r="AG59" s="12">
        <f>VLOOKUP(A59,'Données projet'!$A$61:$I$81,9,0)</f>
        <v>15.007692307692309</v>
      </c>
      <c r="AH59" s="12">
        <f t="array" ref="AH59">INDEX(AG:AG,MIN(IF(ISNUMBER(AG59:AG255),ROW(AG59:AG255),"")))</f>
        <v>15.007692307692309</v>
      </c>
      <c r="AI59" s="13">
        <f>IF('Données projet'!$A$62&gt;35,AI58+AH59-AQ58,IF(A59&lt;'Données projet'!$A$62,$AF$205^A59,IF(A59='Données projet'!$A$62,'Données projet'!$B$62,AI58+AH59-AQ58)))</f>
        <v>348.05384615384634</v>
      </c>
      <c r="AJ59" s="13">
        <f>AI59*VLOOKUP('Données projet'!$B$10,Paramètres!$A$1:$I$89,3,0)*VLOOKUP('Données projet'!$B$10,Paramètres!$A$1:$I$89,5,0)</f>
        <v>162.8892000000001</v>
      </c>
      <c r="AK59" s="13">
        <f t="shared" si="35"/>
        <v>41.493502222820929</v>
      </c>
      <c r="AL59" s="20">
        <f t="shared" si="4"/>
        <v>355.96653970474659</v>
      </c>
      <c r="AM59" s="59">
        <f t="shared" si="5"/>
        <v>649.29987303807991</v>
      </c>
      <c r="AN59" s="59">
        <f ca="1">AVERAGE(OFFSET($AM$3,0,0,'Données projet'!$E$10+1,1))-AVERAGE(OFFSET($H$3,0,0,'Données projet'!$E$10+1,1))</f>
        <v>205.31676282910638</v>
      </c>
      <c r="AO59" s="59">
        <f t="shared" si="36"/>
        <v>190.64998698136026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72.769230769230759</v>
      </c>
      <c r="AR59" s="16">
        <f>IF(ISNA(VLOOKUP(A59,'Données projet'!$A$61:$I$81,5,0)),0%,VLOOKUP(A59,'Données projet'!$A$61:$I$81,5,0)*VLOOKUP('Données projet'!$B$10,Paramètres!$A$1:$I$89,7,0))</f>
        <v>0</v>
      </c>
      <c r="AS59" s="16" t="e">
        <f>IF(ISNA(VLOOKUP(A59,'Données projet'!$A$61:$I$81,6,0)),0%,VLOOKUP(A59,'Données projet'!$A$61:$I$81,6,0)*VLOOKUP('Données projet'!$B$10,Paramètres!$A$1:$I$89,7,0))</f>
        <v>#VALUE!</v>
      </c>
      <c r="AT59" s="16" t="str">
        <f>IF(ISNA(VLOOKUP(A59,'Données projet'!$A$61:$I$81,7,0)),0%,VLOOKUP(A59,'Données projet'!$A$61:$I$81,7,0))</f>
        <v/>
      </c>
      <c r="AU59" s="21" t="e">
        <f>EXP(-LN(2)/35)*AU58+(1-EXP(-LN(2)/35))/(LN(2)/35)*AQ59*AR59*VLOOKUP('Données projet'!$B$10,Paramètres!$A$1:$I$89,3,0)*0.475*44/12</f>
        <v>#VALUE!</v>
      </c>
      <c r="AV59" s="21" t="e">
        <f>EXP(-LN(2)/25)*AV58+(1-EXP(-LN(2)/25))/(LN(2)/25)*Calculateur!AQ59*Calculateur!AS59*VLOOKUP('Données projet'!$B$10,Paramètres!$A$1:$I$89,3,0)*0.475*44/12</f>
        <v>#VALUE!</v>
      </c>
      <c r="AW59" s="21" t="e">
        <f>EXP(-LN(2)/2)*AW58+(1-EXP(-LN(2)/2))/(LN(2)/2)*AQ59*AT59*VLOOKUP('Données projet'!$B$10,Paramètres!$A$1:$I$89,3,0)*0.475*44/12</f>
        <v>#VALUE!</v>
      </c>
      <c r="AX59" s="21" t="e">
        <f t="shared" si="6"/>
        <v>#VALUE!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10.66307692307692</v>
      </c>
      <c r="N60" s="13">
        <f>IF('Données projet'!$A$36&gt;35,N59+M60-V59,IF(A60&lt;'Données projet'!$A$36,$K$205^A60,IF(A60='Données projet'!$A$36,'Données projet'!$B$36,N59+M60-V59)))</f>
        <v>310.4338461538461</v>
      </c>
      <c r="O60" s="13">
        <f>N60*VLOOKUP('Données projet'!$B$9,Paramètres!$A$1:$I$89,3,0)*VLOOKUP('Données projet'!$B$9,Paramètres!$A$1:$I$89,5,0)</f>
        <v>185.63943999999998</v>
      </c>
      <c r="P60" s="13">
        <f t="shared" si="33"/>
        <v>46.574596113982338</v>
      </c>
      <c r="Q60" s="20">
        <f t="shared" si="53"/>
        <v>404.43944623185251</v>
      </c>
      <c r="R60" s="59">
        <f t="shared" si="0"/>
        <v>697.77277956518583</v>
      </c>
      <c r="S60" s="59">
        <f ca="1">AVERAGE(OFFSET($R$3,0,0,'Données projet'!$E$9+1,1))-AVERAGE(OFFSET($H$3,0,0,'Données projet'!$E$9+1,1))</f>
        <v>215.55381529099924</v>
      </c>
      <c r="T60" s="59">
        <f t="shared" si="34"/>
        <v>158.77848520346532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 t="e">
        <f>EXP(-LN(2)/35)*Z59+(1-EXP(-LN(2)/35))/(LN(2)/35)*V60*W60*VLOOKUP('Données projet'!$B$9,Paramètres!$A$1:$I$89,3,0)*0.475*44/12</f>
        <v>#VALUE!</v>
      </c>
      <c r="AA60" s="21" t="e">
        <f>EXP(-LN(2)/25)*AA59+(1-EXP(-LN(2)/25))/(LN(2)/25)*Calculateur!V60*Calculateur!X60*VLOOKUP('Données projet'!$B$9,Paramètres!$A$1:$I$89,3,0)*0.475*44/12</f>
        <v>#VALUE!</v>
      </c>
      <c r="AB60" s="21" t="e">
        <f>EXP(-LN(2)/2)*AB59+(1-EXP(-LN(2)/2))/(LN(2)/2)*V60*Y60*VLOOKUP('Données projet'!$B$9,Paramètres!$A$1:$I$89,3,0)*0.475*44/12</f>
        <v>#VALUE!</v>
      </c>
      <c r="AC60" s="22" t="e">
        <f t="shared" si="3"/>
        <v>#VALUE!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14.059615384615384</v>
      </c>
      <c r="AI60" s="13">
        <f>IF('Données projet'!$A$62&gt;35,AI59+AH60-AQ59,IF(A60&lt;'Données projet'!$A$62,$AF$205^A60,IF(A60='Données projet'!$A$62,'Données projet'!$B$62,AI59+AH60-AQ59)))</f>
        <v>289.34423076923093</v>
      </c>
      <c r="AJ60" s="13">
        <f>AI60*VLOOKUP('Données projet'!$B$10,Paramètres!$A$1:$I$89,3,0)*VLOOKUP('Données projet'!$B$10,Paramètres!$A$1:$I$89,5,0)</f>
        <v>135.41310000000007</v>
      </c>
      <c r="AK60" s="13">
        <f t="shared" si="35"/>
        <v>35.24418255752245</v>
      </c>
      <c r="AL60" s="20">
        <f t="shared" si="4"/>
        <v>297.2281004543517</v>
      </c>
      <c r="AM60" s="59">
        <f t="shared" si="5"/>
        <v>590.56143378768502</v>
      </c>
      <c r="AN60" s="59">
        <f ca="1">AVERAGE(OFFSET($AM$3,0,0,'Données projet'!$E$10+1,1))-AVERAGE(OFFSET($H$3,0,0,'Données projet'!$E$10+1,1))</f>
        <v>205.31676282910638</v>
      </c>
      <c r="AO60" s="59">
        <f t="shared" si="36"/>
        <v>190.64998698136026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#VALUE!</v>
      </c>
      <c r="AV60" s="21" t="e">
        <f>EXP(-LN(2)/25)*AV59+(1-EXP(-LN(2)/25))/(LN(2)/25)*Calculateur!AQ60*Calculateur!AS60*VLOOKUP('Données projet'!$B$10,Paramètres!$A$1:$I$89,3,0)*0.475*44/12</f>
        <v>#VALUE!</v>
      </c>
      <c r="AW60" s="21" t="e">
        <f>EXP(-LN(2)/2)*AW59+(1-EXP(-LN(2)/2))/(LN(2)/2)*AQ60*AT60*VLOOKUP('Données projet'!$B$10,Paramètres!$A$1:$I$89,3,0)*0.475*44/12</f>
        <v>#VALUE!</v>
      </c>
      <c r="AX60" s="21" t="e">
        <f t="shared" si="6"/>
        <v>#VALUE!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10.66307692307692</v>
      </c>
      <c r="N61" s="13">
        <f>IF('Données projet'!$A$36&gt;35,N60+M61-V60,IF(A61&lt;'Données projet'!$A$36,$K$205^A61,IF(A61='Données projet'!$A$36,'Données projet'!$B$36,N60+M61-V60)))</f>
        <v>321.09692307692302</v>
      </c>
      <c r="O61" s="13">
        <f>N61*VLOOKUP('Données projet'!$B$9,Paramètres!$A$1:$I$89,3,0)*VLOOKUP('Données projet'!$B$9,Paramètres!$A$1:$I$89,5,0)</f>
        <v>192.01595999999998</v>
      </c>
      <c r="P61" s="13">
        <f t="shared" si="33"/>
        <v>47.985378835949042</v>
      </c>
      <c r="Q61" s="20">
        <f t="shared" si="53"/>
        <v>418.00233180594455</v>
      </c>
      <c r="R61" s="59">
        <f t="shared" si="0"/>
        <v>711.33566513927781</v>
      </c>
      <c r="S61" s="59">
        <f ca="1">AVERAGE(OFFSET($R$3,0,0,'Données projet'!$E$9+1,1))-AVERAGE(OFFSET($H$3,0,0,'Données projet'!$E$9+1,1))</f>
        <v>215.55381529099924</v>
      </c>
      <c r="T61" s="59">
        <f t="shared" si="34"/>
        <v>158.77848520346532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 t="e">
        <f>EXP(-LN(2)/35)*Z60+(1-EXP(-LN(2)/35))/(LN(2)/35)*V61*W61*VLOOKUP('Données projet'!$B$9,Paramètres!$A$1:$I$89,3,0)*0.475*44/12</f>
        <v>#VALUE!</v>
      </c>
      <c r="AA61" s="21" t="e">
        <f>EXP(-LN(2)/25)*AA60+(1-EXP(-LN(2)/25))/(LN(2)/25)*Calculateur!V61*Calculateur!X61*VLOOKUP('Données projet'!$B$9,Paramètres!$A$1:$I$89,3,0)*0.475*44/12</f>
        <v>#VALUE!</v>
      </c>
      <c r="AB61" s="21" t="e">
        <f>EXP(-LN(2)/2)*AB60+(1-EXP(-LN(2)/2))/(LN(2)/2)*V61*Y61*VLOOKUP('Données projet'!$B$9,Paramètres!$A$1:$I$89,3,0)*0.475*44/12</f>
        <v>#VALUE!</v>
      </c>
      <c r="AC61" s="22" t="e">
        <f t="shared" si="3"/>
        <v>#VALUE!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14.059615384615384</v>
      </c>
      <c r="AI61" s="13">
        <f>IF('Données projet'!$A$62&gt;35,AI60+AH61-AQ60,IF(A61&lt;'Données projet'!$A$62,$AF$205^A61,IF(A61='Données projet'!$A$62,'Données projet'!$B$62,AI60+AH61-AQ60)))</f>
        <v>303.4038461538463</v>
      </c>
      <c r="AJ61" s="13">
        <f>AI61*VLOOKUP('Données projet'!$B$10,Paramètres!$A$1:$I$89,3,0)*VLOOKUP('Données projet'!$B$10,Paramètres!$A$1:$I$89,5,0)</f>
        <v>141.99300000000008</v>
      </c>
      <c r="AK61" s="13">
        <f t="shared" si="35"/>
        <v>36.7531975220394</v>
      </c>
      <c r="AL61" s="20">
        <f t="shared" si="4"/>
        <v>311.31629401755214</v>
      </c>
      <c r="AM61" s="59">
        <f t="shared" si="5"/>
        <v>604.64962735088545</v>
      </c>
      <c r="AN61" s="59">
        <f ca="1">AVERAGE(OFFSET($AM$3,0,0,'Données projet'!$E$10+1,1))-AVERAGE(OFFSET($H$3,0,0,'Données projet'!$E$10+1,1))</f>
        <v>205.31676282910638</v>
      </c>
      <c r="AO61" s="59">
        <f t="shared" si="36"/>
        <v>190.64998698136026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#VALUE!</v>
      </c>
      <c r="AV61" s="21" t="e">
        <f>EXP(-LN(2)/25)*AV60+(1-EXP(-LN(2)/25))/(LN(2)/25)*Calculateur!AQ61*Calculateur!AS61*VLOOKUP('Données projet'!$B$10,Paramètres!$A$1:$I$89,3,0)*0.475*44/12</f>
        <v>#VALUE!</v>
      </c>
      <c r="AW61" s="21" t="e">
        <f>EXP(-LN(2)/2)*AW60+(1-EXP(-LN(2)/2))/(LN(2)/2)*AQ61*AT61*VLOOKUP('Données projet'!$B$10,Paramètres!$A$1:$I$89,3,0)*0.475*44/12</f>
        <v>#VALUE!</v>
      </c>
      <c r="AX61" s="21" t="e">
        <f t="shared" si="6"/>
        <v>#VALUE!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10.66307692307692</v>
      </c>
      <c r="N62" s="13">
        <f>IF('Données projet'!$A$36&gt;35,N61+M62-V61,IF(A62&lt;'Données projet'!$A$36,$K$205^A62,IF(A62='Données projet'!$A$36,'Données projet'!$B$36,N61+M62-V61)))</f>
        <v>331.75999999999993</v>
      </c>
      <c r="O62" s="13">
        <f>N62*VLOOKUP('Données projet'!$B$9,Paramètres!$A$1:$I$89,3,0)*VLOOKUP('Données projet'!$B$9,Paramètres!$A$1:$I$89,5,0)</f>
        <v>198.39247999999998</v>
      </c>
      <c r="P62" s="13">
        <f t="shared" si="33"/>
        <v>49.39071772551025</v>
      </c>
      <c r="Q62" s="20">
        <f t="shared" si="53"/>
        <v>431.55573603859693</v>
      </c>
      <c r="R62" s="59">
        <f t="shared" si="0"/>
        <v>724.88906937193019</v>
      </c>
      <c r="S62" s="59">
        <f ca="1">AVERAGE(OFFSET($R$3,0,0,'Données projet'!$E$9+1,1))-AVERAGE(OFFSET($H$3,0,0,'Données projet'!$E$9+1,1))</f>
        <v>215.55381529099924</v>
      </c>
      <c r="T62" s="59">
        <f t="shared" si="34"/>
        <v>158.77848520346532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 t="e">
        <f>EXP(-LN(2)/35)*Z61+(1-EXP(-LN(2)/35))/(LN(2)/35)*V62*W62*VLOOKUP('Données projet'!$B$9,Paramètres!$A$1:$I$89,3,0)*0.475*44/12</f>
        <v>#VALUE!</v>
      </c>
      <c r="AA62" s="21" t="e">
        <f>EXP(-LN(2)/25)*AA61+(1-EXP(-LN(2)/25))/(LN(2)/25)*Calculateur!V62*Calculateur!X62*VLOOKUP('Données projet'!$B$9,Paramètres!$A$1:$I$89,3,0)*0.475*44/12</f>
        <v>#VALUE!</v>
      </c>
      <c r="AB62" s="21" t="e">
        <f>EXP(-LN(2)/2)*AB61+(1-EXP(-LN(2)/2))/(LN(2)/2)*V62*Y62*VLOOKUP('Données projet'!$B$9,Paramètres!$A$1:$I$89,3,0)*0.475*44/12</f>
        <v>#VALUE!</v>
      </c>
      <c r="AC62" s="22" t="e">
        <f t="shared" si="3"/>
        <v>#VALUE!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14.059615384615384</v>
      </c>
      <c r="AI62" s="13">
        <f>IF('Données projet'!$A$62&gt;35,AI61+AH62-AQ61,IF(A62&lt;'Données projet'!$A$62,$AF$205^A62,IF(A62='Données projet'!$A$62,'Données projet'!$B$62,AI61+AH62-AQ61)))</f>
        <v>317.46346153846167</v>
      </c>
      <c r="AJ62" s="13">
        <f>AI62*VLOOKUP('Données projet'!$B$10,Paramètres!$A$1:$I$89,3,0)*VLOOKUP('Données projet'!$B$10,Paramètres!$A$1:$I$89,5,0)</f>
        <v>148.57290000000006</v>
      </c>
      <c r="AK62" s="13">
        <f t="shared" si="35"/>
        <v>38.254091808653072</v>
      </c>
      <c r="AL62" s="20">
        <f t="shared" si="4"/>
        <v>325.39034406673755</v>
      </c>
      <c r="AM62" s="59">
        <f t="shared" si="5"/>
        <v>618.72367740007087</v>
      </c>
      <c r="AN62" s="59">
        <f ca="1">AVERAGE(OFFSET($AM$3,0,0,'Données projet'!$E$10+1,1))-AVERAGE(OFFSET($H$3,0,0,'Données projet'!$E$10+1,1))</f>
        <v>205.31676282910638</v>
      </c>
      <c r="AO62" s="59">
        <f t="shared" si="36"/>
        <v>190.64998698136026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#VALUE!</v>
      </c>
      <c r="AV62" s="21" t="e">
        <f>EXP(-LN(2)/25)*AV61+(1-EXP(-LN(2)/25))/(LN(2)/25)*Calculateur!AQ62*Calculateur!AS62*VLOOKUP('Données projet'!$B$10,Paramètres!$A$1:$I$89,3,0)*0.475*44/12</f>
        <v>#VALUE!</v>
      </c>
      <c r="AW62" s="21" t="e">
        <f>EXP(-LN(2)/2)*AW61+(1-EXP(-LN(2)/2))/(LN(2)/2)*AQ62*AT62*VLOOKUP('Données projet'!$B$10,Paramètres!$A$1:$I$89,3,0)*0.475*44/12</f>
        <v>#VALUE!</v>
      </c>
      <c r="AX62" s="21" t="e">
        <f t="shared" si="6"/>
        <v>#VALUE!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342.42307692307691</v>
      </c>
      <c r="L63" s="12">
        <f>VLOOKUP(A63,'Données projet'!$A$35:$I$55,9,0)</f>
        <v>10.66307692307692</v>
      </c>
      <c r="M63" s="12">
        <f t="array" ref="M63">INDEX(L:L,MIN(IF(ISNUMBER(L63:L259),ROW(L63:L259),"")))</f>
        <v>10.66307692307692</v>
      </c>
      <c r="N63" s="13">
        <f>IF('Données projet'!$A$36&gt;35,N62+M63-V62,IF(A63&lt;'Données projet'!$A$36,$K$205^A63,IF(A63='Données projet'!$A$36,'Données projet'!$B$36,N62+M63-V62)))</f>
        <v>342.42307692307685</v>
      </c>
      <c r="O63" s="13">
        <f>N63*VLOOKUP('Données projet'!$B$9,Paramètres!$A$1:$I$89,3,0)*VLOOKUP('Données projet'!$B$9,Paramètres!$A$1:$I$89,5,0)</f>
        <v>204.76899999999998</v>
      </c>
      <c r="P63" s="13">
        <f t="shared" si="33"/>
        <v>50.790807822253974</v>
      </c>
      <c r="Q63" s="20">
        <f t="shared" si="53"/>
        <v>445.09999862375895</v>
      </c>
      <c r="R63" s="59">
        <f t="shared" si="0"/>
        <v>738.43333195709226</v>
      </c>
      <c r="S63" s="59">
        <f ca="1">AVERAGE(OFFSET($R$3,0,0,'Données projet'!$E$9+1,1))-AVERAGE(OFFSET($H$3,0,0,'Données projet'!$E$9+1,1))</f>
        <v>215.55381529099924</v>
      </c>
      <c r="T63" s="59">
        <f t="shared" si="34"/>
        <v>158.77848520346532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54.261538461538464</v>
      </c>
      <c r="W63" s="16" t="e">
        <f>IF(ISNA(VLOOKUP(A63,'Données projet'!$A$35:$I$55,5,0)),0%,VLOOKUP(A63,'Données projet'!$A$35:$I$55,5,0)*VLOOKUP('Données projet'!$B$9,Paramètres!$A$1:$I$89,7,0))</f>
        <v>#VALUE!</v>
      </c>
      <c r="X63" s="16" t="e">
        <f>IF(ISNA(VLOOKUP(A63,'Données projet'!$A$35:$I$55,6,0)),0%,VLOOKUP(A63,'Données projet'!$A$35:$I$55,6,0)*VLOOKUP('Données projet'!$B$9,Paramètres!$A$1:$I$89,7,0))</f>
        <v>#VALUE!</v>
      </c>
      <c r="Y63" s="16" t="str">
        <f>IF(ISNA(VLOOKUP(A63,'Données projet'!$A$35:$I$55,7,0)),0%,VLOOKUP(A63,'Données projet'!$A$35:$I$55,7,0))</f>
        <v/>
      </c>
      <c r="Z63" s="21" t="e">
        <f>EXP(-LN(2)/35)*Z62+(1-EXP(-LN(2)/35))/(LN(2)/35)*V63*W63*VLOOKUP('Données projet'!$B$9,Paramètres!$A$1:$I$89,3,0)*0.475*44/12</f>
        <v>#VALUE!</v>
      </c>
      <c r="AA63" s="21" t="e">
        <f>EXP(-LN(2)/25)*AA62+(1-EXP(-LN(2)/25))/(LN(2)/25)*Calculateur!V63*Calculateur!X63*VLOOKUP('Données projet'!$B$9,Paramètres!$A$1:$I$89,3,0)*0.475*44/12</f>
        <v>#VALUE!</v>
      </c>
      <c r="AB63" s="21" t="e">
        <f>EXP(-LN(2)/2)*AB62+(1-EXP(-LN(2)/2))/(LN(2)/2)*V63*Y63*VLOOKUP('Données projet'!$B$9,Paramètres!$A$1:$I$89,3,0)*0.475*44/12</f>
        <v>#VALUE!</v>
      </c>
      <c r="AC63" s="22" t="e">
        <f t="shared" si="3"/>
        <v>#VALUE!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331.52307692307693</v>
      </c>
      <c r="AG63" s="12">
        <f>VLOOKUP(A63,'Données projet'!$A$61:$I$81,9,0)</f>
        <v>14.059615384615384</v>
      </c>
      <c r="AH63" s="12">
        <f t="array" ref="AH63">INDEX(AG:AG,MIN(IF(ISNUMBER(AG63:AG259),ROW(AG63:AG259),"")))</f>
        <v>14.059615384615384</v>
      </c>
      <c r="AI63" s="13">
        <f>IF('Données projet'!$A$62&gt;35,AI62+AH63-AQ62,IF(A63&lt;'Données projet'!$A$62,$AF$205^A63,IF(A63='Données projet'!$A$62,'Données projet'!$B$62,AI62+AH63-AQ62)))</f>
        <v>331.52307692307704</v>
      </c>
      <c r="AJ63" s="13">
        <f>AI63*VLOOKUP('Données projet'!$B$10,Paramètres!$A$1:$I$89,3,0)*VLOOKUP('Données projet'!$B$10,Paramètres!$A$1:$I$89,5,0)</f>
        <v>155.15280000000004</v>
      </c>
      <c r="AK63" s="13">
        <f t="shared" si="35"/>
        <v>39.747266157565534</v>
      </c>
      <c r="AL63" s="20">
        <f t="shared" si="4"/>
        <v>339.45094855776</v>
      </c>
      <c r="AM63" s="59">
        <f t="shared" si="5"/>
        <v>632.78428189109331</v>
      </c>
      <c r="AN63" s="59">
        <f ca="1">AVERAGE(OFFSET($AM$3,0,0,'Données projet'!$E$10+1,1))-AVERAGE(OFFSET($H$3,0,0,'Données projet'!$E$10+1,1))</f>
        <v>205.31676282910638</v>
      </c>
      <c r="AO63" s="59">
        <f t="shared" si="36"/>
        <v>190.64998698136026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 t="e">
        <f>IF(ISNA(VLOOKUP(A63,'Données projet'!$A$61:$I$81,6,0)),0%,VLOOKUP(A63,'Données projet'!$A$61:$I$81,6,0)*VLOOKUP('Données projet'!$B$10,Paramètres!$A$1:$I$89,7,0))</f>
        <v>#VALUE!</v>
      </c>
      <c r="AT63" s="16" t="str">
        <f>IF(ISNA(VLOOKUP(A63,'Données projet'!$A$61:$I$81,7,0)),0%,VLOOKUP(A63,'Données projet'!$A$61:$I$81,7,0))</f>
        <v/>
      </c>
      <c r="AU63" s="21" t="e">
        <f>EXP(-LN(2)/35)*AU62+(1-EXP(-LN(2)/35))/(LN(2)/35)*AQ63*AR63*VLOOKUP('Données projet'!$B$10,Paramètres!$A$1:$I$89,3,0)*0.475*44/12</f>
        <v>#VALUE!</v>
      </c>
      <c r="AV63" s="21" t="e">
        <f>EXP(-LN(2)/25)*AV62+(1-EXP(-LN(2)/25))/(LN(2)/25)*Calculateur!AQ63*Calculateur!AS63*VLOOKUP('Données projet'!$B$10,Paramètres!$A$1:$I$89,3,0)*0.475*44/12</f>
        <v>#VALUE!</v>
      </c>
      <c r="AW63" s="21" t="e">
        <f>EXP(-LN(2)/2)*AW62+(1-EXP(-LN(2)/2))/(LN(2)/2)*AQ63*AT63*VLOOKUP('Données projet'!$B$10,Paramètres!$A$1:$I$89,3,0)*0.475*44/12</f>
        <v>#VALUE!</v>
      </c>
      <c r="AX63" s="21" t="e">
        <f t="shared" si="6"/>
        <v>#VALUE!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9.1830769230769249</v>
      </c>
      <c r="N64" s="13">
        <f>IF('Données projet'!$A$36&gt;35,N63+M64-V63,IF(A64&lt;'Données projet'!$A$36,$K$205^A64,IF(A64='Données projet'!$A$36,'Données projet'!$B$36,N63+M64-V63)))</f>
        <v>297.34461538461534</v>
      </c>
      <c r="O64" s="13">
        <f>N64*VLOOKUP('Données projet'!$B$9,Paramètres!$A$1:$I$89,3,0)*VLOOKUP('Données projet'!$B$9,Paramètres!$A$1:$I$89,5,0)</f>
        <v>177.81207999999998</v>
      </c>
      <c r="P64" s="13">
        <f t="shared" si="33"/>
        <v>44.835068353066951</v>
      </c>
      <c r="Q64" s="20">
        <f t="shared" si="53"/>
        <v>387.77711671492489</v>
      </c>
      <c r="R64" s="59">
        <f t="shared" si="0"/>
        <v>681.11045004825814</v>
      </c>
      <c r="S64" s="59">
        <f ca="1">AVERAGE(OFFSET($R$3,0,0,'Données projet'!$E$9+1,1))-AVERAGE(OFFSET($H$3,0,0,'Données projet'!$E$9+1,1))</f>
        <v>215.55381529099924</v>
      </c>
      <c r="T64" s="59">
        <f t="shared" si="34"/>
        <v>158.77848520346532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 t="e">
        <f>EXP(-LN(2)/35)*Z63+(1-EXP(-LN(2)/35))/(LN(2)/35)*V64*W64*VLOOKUP('Données projet'!$B$9,Paramètres!$A$1:$I$89,3,0)*0.475*44/12</f>
        <v>#VALUE!</v>
      </c>
      <c r="AA64" s="21" t="e">
        <f>EXP(-LN(2)/25)*AA63+(1-EXP(-LN(2)/25))/(LN(2)/25)*Calculateur!V64*Calculateur!X64*VLOOKUP('Données projet'!$B$9,Paramètres!$A$1:$I$89,3,0)*0.475*44/12</f>
        <v>#VALUE!</v>
      </c>
      <c r="AB64" s="21" t="e">
        <f>EXP(-LN(2)/2)*AB63+(1-EXP(-LN(2)/2))/(LN(2)/2)*V64*Y64*VLOOKUP('Données projet'!$B$9,Paramètres!$A$1:$I$89,3,0)*0.475*44/12</f>
        <v>#VALUE!</v>
      </c>
      <c r="AC64" s="22" t="e">
        <f t="shared" si="3"/>
        <v>#VALUE!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14.551282051282044</v>
      </c>
      <c r="AI64" s="13">
        <f>IF('Données projet'!$A$62&gt;35,AI63+AH64-AQ63,IF(A64&lt;'Données projet'!$A$62,$AF$205^A64,IF(A64='Données projet'!$A$62,'Données projet'!$B$62,AI63+AH64-AQ63)))</f>
        <v>346.07435897435909</v>
      </c>
      <c r="AJ64" s="13">
        <f>AI64*VLOOKUP('Données projet'!$B$10,Paramètres!$A$1:$I$89,3,0)*VLOOKUP('Données projet'!$B$10,Paramètres!$A$1:$I$89,5,0)</f>
        <v>161.96280000000004</v>
      </c>
      <c r="AK64" s="13">
        <f t="shared" si="35"/>
        <v>41.28491577462448</v>
      </c>
      <c r="AL64" s="20">
        <f t="shared" si="4"/>
        <v>353.98977164080435</v>
      </c>
      <c r="AM64" s="59">
        <f t="shared" si="5"/>
        <v>647.32310497413766</v>
      </c>
      <c r="AN64" s="59">
        <f ca="1">AVERAGE(OFFSET($AM$3,0,0,'Données projet'!$E$10+1,1))-AVERAGE(OFFSET($H$3,0,0,'Données projet'!$E$10+1,1))</f>
        <v>205.31676282910638</v>
      </c>
      <c r="AO64" s="59">
        <f t="shared" si="36"/>
        <v>190.64998698136026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#VALUE!</v>
      </c>
      <c r="AV64" s="21" t="e">
        <f>EXP(-LN(2)/25)*AV63+(1-EXP(-LN(2)/25))/(LN(2)/25)*Calculateur!AQ64*Calculateur!AS64*VLOOKUP('Données projet'!$B$10,Paramètres!$A$1:$I$89,3,0)*0.475*44/12</f>
        <v>#VALUE!</v>
      </c>
      <c r="AW64" s="21" t="e">
        <f>EXP(-LN(2)/2)*AW63+(1-EXP(-LN(2)/2))/(LN(2)/2)*AQ64*AT64*VLOOKUP('Données projet'!$B$10,Paramètres!$A$1:$I$89,3,0)*0.475*44/12</f>
        <v>#VALUE!</v>
      </c>
      <c r="AX64" s="21" t="e">
        <f t="shared" si="6"/>
        <v>#VALUE!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9.1830769230769249</v>
      </c>
      <c r="N65" s="13">
        <f>IF('Données projet'!$A$36&gt;35,N64+M65-V64,IF(A65&lt;'Données projet'!$A$36,$K$205^A65,IF(A65='Données projet'!$A$36,'Données projet'!$B$36,N64+M65-V64)))</f>
        <v>306.52769230769229</v>
      </c>
      <c r="O65" s="13">
        <f>N65*VLOOKUP('Données projet'!$B$9,Paramètres!$A$1:$I$89,3,0)*VLOOKUP('Données projet'!$B$9,Paramètres!$A$1:$I$89,5,0)</f>
        <v>183.30356</v>
      </c>
      <c r="P65" s="13">
        <f t="shared" si="33"/>
        <v>46.056387641494027</v>
      </c>
      <c r="Q65" s="20">
        <f t="shared" si="53"/>
        <v>399.46857547560211</v>
      </c>
      <c r="R65" s="59">
        <f t="shared" si="0"/>
        <v>692.80190880893542</v>
      </c>
      <c r="S65" s="59">
        <f ca="1">AVERAGE(OFFSET($R$3,0,0,'Données projet'!$E$9+1,1))-AVERAGE(OFFSET($H$3,0,0,'Données projet'!$E$9+1,1))</f>
        <v>215.55381529099924</v>
      </c>
      <c r="T65" s="59">
        <f t="shared" si="34"/>
        <v>158.77848520346532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 t="e">
        <f>EXP(-LN(2)/35)*Z64+(1-EXP(-LN(2)/35))/(LN(2)/35)*V65*W65*VLOOKUP('Données projet'!$B$9,Paramètres!$A$1:$I$89,3,0)*0.475*44/12</f>
        <v>#VALUE!</v>
      </c>
      <c r="AA65" s="21" t="e">
        <f>EXP(-LN(2)/25)*AA64+(1-EXP(-LN(2)/25))/(LN(2)/25)*Calculateur!V65*Calculateur!X65*VLOOKUP('Données projet'!$B$9,Paramètres!$A$1:$I$89,3,0)*0.475*44/12</f>
        <v>#VALUE!</v>
      </c>
      <c r="AB65" s="21" t="e">
        <f>EXP(-LN(2)/2)*AB64+(1-EXP(-LN(2)/2))/(LN(2)/2)*V65*Y65*VLOOKUP('Données projet'!$B$9,Paramètres!$A$1:$I$89,3,0)*0.475*44/12</f>
        <v>#VALUE!</v>
      </c>
      <c r="AC65" s="22" t="e">
        <f t="shared" si="3"/>
        <v>#VALUE!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14.551282051282044</v>
      </c>
      <c r="AI65" s="13">
        <f>IF('Données projet'!$A$62&gt;35,AI64+AH65-AQ64,IF(A65&lt;'Données projet'!$A$62,$AF$205^A65,IF(A65='Données projet'!$A$62,'Données projet'!$B$62,AI64+AH65-AQ64)))</f>
        <v>360.62564102564113</v>
      </c>
      <c r="AJ65" s="13">
        <f>AI65*VLOOKUP('Données projet'!$B$10,Paramètres!$A$1:$I$89,3,0)*VLOOKUP('Données projet'!$B$10,Paramètres!$A$1:$I$89,5,0)</f>
        <v>168.77280000000007</v>
      </c>
      <c r="AK65" s="13">
        <f t="shared" si="35"/>
        <v>42.81505582243534</v>
      </c>
      <c r="AL65" s="20">
        <f t="shared" si="4"/>
        <v>368.51551555740826</v>
      </c>
      <c r="AM65" s="59">
        <f t="shared" si="5"/>
        <v>661.84884889074158</v>
      </c>
      <c r="AN65" s="59">
        <f ca="1">AVERAGE(OFFSET($AM$3,0,0,'Données projet'!$E$10+1,1))-AVERAGE(OFFSET($H$3,0,0,'Données projet'!$E$10+1,1))</f>
        <v>205.31676282910638</v>
      </c>
      <c r="AO65" s="59">
        <f t="shared" si="36"/>
        <v>190.64998698136026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#VALUE!</v>
      </c>
      <c r="AV65" s="21" t="e">
        <f>EXP(-LN(2)/25)*AV64+(1-EXP(-LN(2)/25))/(LN(2)/25)*Calculateur!AQ65*Calculateur!AS65*VLOOKUP('Données projet'!$B$10,Paramètres!$A$1:$I$89,3,0)*0.475*44/12</f>
        <v>#VALUE!</v>
      </c>
      <c r="AW65" s="21" t="e">
        <f>EXP(-LN(2)/2)*AW64+(1-EXP(-LN(2)/2))/(LN(2)/2)*AQ65*AT65*VLOOKUP('Données projet'!$B$10,Paramètres!$A$1:$I$89,3,0)*0.475*44/12</f>
        <v>#VALUE!</v>
      </c>
      <c r="AX65" s="21" t="e">
        <f t="shared" si="6"/>
        <v>#VALUE!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9.1830769230769249</v>
      </c>
      <c r="N66" s="13">
        <f>IF('Données projet'!$A$36&gt;35,N65+M66-V65,IF(A66&lt;'Données projet'!$A$36,$K$205^A66,IF(A66='Données projet'!$A$36,'Données projet'!$B$36,N65+M66-V65)))</f>
        <v>315.71076923076919</v>
      </c>
      <c r="O66" s="13">
        <f>N66*VLOOKUP('Données projet'!$B$9,Paramètres!$A$1:$I$89,3,0)*VLOOKUP('Données projet'!$B$9,Paramètres!$A$1:$I$89,5,0)</f>
        <v>188.79504</v>
      </c>
      <c r="P66" s="13">
        <f t="shared" si="33"/>
        <v>47.273454743056831</v>
      </c>
      <c r="Q66" s="20">
        <f t="shared" si="53"/>
        <v>411.15262834415722</v>
      </c>
      <c r="R66" s="59">
        <f t="shared" si="0"/>
        <v>704.48596167749054</v>
      </c>
      <c r="S66" s="59">
        <f ca="1">AVERAGE(OFFSET($R$3,0,0,'Données projet'!$E$9+1,1))-AVERAGE(OFFSET($H$3,0,0,'Données projet'!$E$9+1,1))</f>
        <v>215.55381529099924</v>
      </c>
      <c r="T66" s="59">
        <f t="shared" si="34"/>
        <v>158.77848520346532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 t="e">
        <f>EXP(-LN(2)/35)*Z65+(1-EXP(-LN(2)/35))/(LN(2)/35)*V66*W66*VLOOKUP('Données projet'!$B$9,Paramètres!$A$1:$I$89,3,0)*0.475*44/12</f>
        <v>#VALUE!</v>
      </c>
      <c r="AA66" s="21" t="e">
        <f>EXP(-LN(2)/25)*AA65+(1-EXP(-LN(2)/25))/(LN(2)/25)*Calculateur!V66*Calculateur!X66*VLOOKUP('Données projet'!$B$9,Paramètres!$A$1:$I$89,3,0)*0.475*44/12</f>
        <v>#VALUE!</v>
      </c>
      <c r="AB66" s="21" t="e">
        <f>EXP(-LN(2)/2)*AB65+(1-EXP(-LN(2)/2))/(LN(2)/2)*V66*Y66*VLOOKUP('Données projet'!$B$9,Paramètres!$A$1:$I$89,3,0)*0.475*44/12</f>
        <v>#VALUE!</v>
      </c>
      <c r="AC66" s="22" t="e">
        <f t="shared" si="3"/>
        <v>#VALUE!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375.17692307692306</v>
      </c>
      <c r="AG66" s="12">
        <f>VLOOKUP(A66,'Données projet'!$A$61:$I$81,9,0)</f>
        <v>14.551282051282044</v>
      </c>
      <c r="AH66" s="12">
        <f t="array" ref="AH66">INDEX(AG:AG,MIN(IF(ISNUMBER(AG66:AG262),ROW(AG66:AG262),"")))</f>
        <v>14.551282051282044</v>
      </c>
      <c r="AI66" s="13">
        <f>IF('Données projet'!$A$62&gt;35,AI65+AH66-AQ65,IF(A66&lt;'Données projet'!$A$62,$AF$205^A66,IF(A66='Données projet'!$A$62,'Données projet'!$B$62,AI65+AH66-AQ65)))</f>
        <v>375.17692307692317</v>
      </c>
      <c r="AJ66" s="13">
        <f>AI66*VLOOKUP('Données projet'!$B$10,Paramètres!$A$1:$I$89,3,0)*VLOOKUP('Données projet'!$B$10,Paramètres!$A$1:$I$89,5,0)</f>
        <v>175.58280000000005</v>
      </c>
      <c r="AK66" s="13">
        <f t="shared" si="35"/>
        <v>44.338023977070634</v>
      </c>
      <c r="AL66" s="20">
        <f t="shared" si="4"/>
        <v>383.0287684267314</v>
      </c>
      <c r="AM66" s="59">
        <f t="shared" si="5"/>
        <v>676.36210176006466</v>
      </c>
      <c r="AN66" s="59">
        <f ca="1">AVERAGE(OFFSET($AM$3,0,0,'Données projet'!$E$10+1,1))-AVERAGE(OFFSET($H$3,0,0,'Données projet'!$E$10+1,1))</f>
        <v>205.31676282910638</v>
      </c>
      <c r="AO66" s="59">
        <f t="shared" si="36"/>
        <v>190.64998698136026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71.123076923076923</v>
      </c>
      <c r="AR66" s="16">
        <f>IF(ISNA(VLOOKUP(A66,'Données projet'!$A$61:$I$81,5,0)),0%,VLOOKUP(A66,'Données projet'!$A$61:$I$81,5,0)*VLOOKUP('Données projet'!$B$10,Paramètres!$A$1:$I$89,7,0))</f>
        <v>0</v>
      </c>
      <c r="AS66" s="16" t="e">
        <f>IF(ISNA(VLOOKUP(A66,'Données projet'!$A$61:$I$81,6,0)),0%,VLOOKUP(A66,'Données projet'!$A$61:$I$81,6,0)*VLOOKUP('Données projet'!$B$10,Paramètres!$A$1:$I$89,7,0))</f>
        <v>#VALUE!</v>
      </c>
      <c r="AT66" s="16" t="str">
        <f>IF(ISNA(VLOOKUP(A66,'Données projet'!$A$61:$I$81,7,0)),0%,VLOOKUP(A66,'Données projet'!$A$61:$I$81,7,0))</f>
        <v/>
      </c>
      <c r="AU66" s="21" t="e">
        <f>EXP(-LN(2)/35)*AU65+(1-EXP(-LN(2)/35))/(LN(2)/35)*AQ66*AR66*VLOOKUP('Données projet'!$B$10,Paramètres!$A$1:$I$89,3,0)*0.475*44/12</f>
        <v>#VALUE!</v>
      </c>
      <c r="AV66" s="21" t="e">
        <f>EXP(-LN(2)/25)*AV65+(1-EXP(-LN(2)/25))/(LN(2)/25)*Calculateur!AQ66*Calculateur!AS66*VLOOKUP('Données projet'!$B$10,Paramètres!$A$1:$I$89,3,0)*0.475*44/12</f>
        <v>#VALUE!</v>
      </c>
      <c r="AW66" s="21" t="e">
        <f>EXP(-LN(2)/2)*AW65+(1-EXP(-LN(2)/2))/(LN(2)/2)*AQ66*AT66*VLOOKUP('Données projet'!$B$10,Paramètres!$A$1:$I$89,3,0)*0.475*44/12</f>
        <v>#VALUE!</v>
      </c>
      <c r="AX66" s="21" t="e">
        <f t="shared" si="6"/>
        <v>#VALUE!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9.1830769230769249</v>
      </c>
      <c r="N67" s="13">
        <f>IF('Données projet'!$A$36&gt;35,N66+M67-V66,IF(A67&lt;'Données projet'!$A$36,$K$205^A67,IF(A67='Données projet'!$A$36,'Données projet'!$B$36,N66+M67-V66)))</f>
        <v>324.89384615384608</v>
      </c>
      <c r="O67" s="13">
        <f>N67*VLOOKUP('Données projet'!$B$9,Paramètres!$A$1:$I$89,3,0)*VLOOKUP('Données projet'!$B$9,Paramètres!$A$1:$I$89,5,0)</f>
        <v>194.28651999999997</v>
      </c>
      <c r="P67" s="13">
        <f t="shared" si="33"/>
        <v>48.486407543748122</v>
      </c>
      <c r="Q67" s="20">
        <f t="shared" ref="Q67:Q98" si="54">(O67+P67)*0.475*44/12</f>
        <v>422.82951547202788</v>
      </c>
      <c r="R67" s="59">
        <f t="shared" ref="R67:R130" si="55">Q67+(I67+J67)*44/12</f>
        <v>716.16284880536114</v>
      </c>
      <c r="S67" s="59">
        <f ca="1">AVERAGE(OFFSET($R$3,0,0,'Données projet'!$E$9+1,1))-AVERAGE(OFFSET($H$3,0,0,'Données projet'!$E$9+1,1))</f>
        <v>215.55381529099924</v>
      </c>
      <c r="T67" s="59">
        <f t="shared" si="34"/>
        <v>158.77848520346532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 t="e">
        <f>EXP(-LN(2)/35)*Z66+(1-EXP(-LN(2)/35))/(LN(2)/35)*V67*W67*VLOOKUP('Données projet'!$B$9,Paramètres!$A$1:$I$89,3,0)*0.475*44/12</f>
        <v>#VALUE!</v>
      </c>
      <c r="AA67" s="21" t="e">
        <f>EXP(-LN(2)/25)*AA66+(1-EXP(-LN(2)/25))/(LN(2)/25)*Calculateur!V67*Calculateur!X67*VLOOKUP('Données projet'!$B$9,Paramètres!$A$1:$I$89,3,0)*0.475*44/12</f>
        <v>#VALUE!</v>
      </c>
      <c r="AB67" s="21" t="e">
        <f>EXP(-LN(2)/2)*AB66+(1-EXP(-LN(2)/2))/(LN(2)/2)*V67*Y67*VLOOKUP('Données projet'!$B$9,Paramètres!$A$1:$I$89,3,0)*0.475*44/12</f>
        <v>#VALUE!</v>
      </c>
      <c r="AC67" s="22" t="e">
        <f t="shared" si="3"/>
        <v>#VALUE!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13.549999999999997</v>
      </c>
      <c r="AI67" s="13">
        <f>IF('Données projet'!$A$62&gt;35,AI66+AH67-AQ66,IF(A67&lt;'Données projet'!$A$62,$AF$205^A67,IF(A67='Données projet'!$A$62,'Données projet'!$B$62,AI66+AH67-AQ66)))</f>
        <v>317.60384615384623</v>
      </c>
      <c r="AJ67" s="13">
        <f>AI67*VLOOKUP('Données projet'!$B$10,Paramètres!$A$1:$I$89,3,0)*VLOOKUP('Données projet'!$B$10,Paramètres!$A$1:$I$89,5,0)</f>
        <v>148.63860000000003</v>
      </c>
      <c r="AK67" s="13">
        <f t="shared" si="35"/>
        <v>38.269038607733258</v>
      </c>
      <c r="AL67" s="20">
        <f t="shared" si="4"/>
        <v>325.53080390846873</v>
      </c>
      <c r="AM67" s="59">
        <f t="shared" si="5"/>
        <v>618.86413724180204</v>
      </c>
      <c r="AN67" s="59">
        <f ca="1">AVERAGE(OFFSET($AM$3,0,0,'Données projet'!$E$10+1,1))-AVERAGE(OFFSET($H$3,0,0,'Données projet'!$E$10+1,1))</f>
        <v>205.31676282910638</v>
      </c>
      <c r="AO67" s="59">
        <f t="shared" si="36"/>
        <v>190.64998698136026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#VALUE!</v>
      </c>
      <c r="AV67" s="21" t="e">
        <f>EXP(-LN(2)/25)*AV66+(1-EXP(-LN(2)/25))/(LN(2)/25)*Calculateur!AQ67*Calculateur!AS67*VLOOKUP('Données projet'!$B$10,Paramètres!$A$1:$I$89,3,0)*0.475*44/12</f>
        <v>#VALUE!</v>
      </c>
      <c r="AW67" s="21" t="e">
        <f>EXP(-LN(2)/2)*AW66+(1-EXP(-LN(2)/2))/(LN(2)/2)*AQ67*AT67*VLOOKUP('Données projet'!$B$10,Paramètres!$A$1:$I$89,3,0)*0.475*44/12</f>
        <v>#VALUE!</v>
      </c>
      <c r="AX67" s="21" t="e">
        <f t="shared" si="6"/>
        <v>#VALUE!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9.1830769230769249</v>
      </c>
      <c r="N68" s="13">
        <f>IF('Données projet'!$A$36&gt;35,N67+M68-V67,IF(A68&lt;'Données projet'!$A$36,$K$205^A68,IF(A68='Données projet'!$A$36,'Données projet'!$B$36,N67+M68-V67)))</f>
        <v>334.07692307692298</v>
      </c>
      <c r="O68" s="13">
        <f>N68*VLOOKUP('Données projet'!$B$9,Paramètres!$A$1:$I$89,3,0)*VLOOKUP('Données projet'!$B$9,Paramètres!$A$1:$I$89,5,0)</f>
        <v>199.77799999999996</v>
      </c>
      <c r="P68" s="13">
        <f t="shared" si="33"/>
        <v>49.695375691492842</v>
      </c>
      <c r="Q68" s="20">
        <f t="shared" si="54"/>
        <v>434.4994626626833</v>
      </c>
      <c r="R68" s="59">
        <f t="shared" si="55"/>
        <v>727.83279599601656</v>
      </c>
      <c r="S68" s="59">
        <f ca="1">AVERAGE(OFFSET($R$3,0,0,'Données projet'!$E$9+1,1))-AVERAGE(OFFSET($H$3,0,0,'Données projet'!$E$9+1,1))</f>
        <v>215.55381529099924</v>
      </c>
      <c r="T68" s="59">
        <f t="shared" si="34"/>
        <v>158.77848520346532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 t="e">
        <f>EXP(-LN(2)/35)*Z67+(1-EXP(-LN(2)/35))/(LN(2)/35)*V68*W68*VLOOKUP('Données projet'!$B$9,Paramètres!$A$1:$I$89,3,0)*0.475*44/12</f>
        <v>#VALUE!</v>
      </c>
      <c r="AA68" s="21" t="e">
        <f>EXP(-LN(2)/25)*AA67+(1-EXP(-LN(2)/25))/(LN(2)/25)*Calculateur!V68*Calculateur!X68*VLOOKUP('Données projet'!$B$9,Paramètres!$A$1:$I$89,3,0)*0.475*44/12</f>
        <v>#VALUE!</v>
      </c>
      <c r="AB68" s="21" t="e">
        <f>EXP(-LN(2)/2)*AB67+(1-EXP(-LN(2)/2))/(LN(2)/2)*V68*Y68*VLOOKUP('Données projet'!$B$9,Paramètres!$A$1:$I$89,3,0)*0.475*44/12</f>
        <v>#VALUE!</v>
      </c>
      <c r="AC68" s="22" t="e">
        <f t="shared" ref="AC68:AC131" si="57">SUM(Z68:AB68)</f>
        <v>#VALUE!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13.549999999999997</v>
      </c>
      <c r="AI68" s="13">
        <f>IF('Données projet'!$A$62&gt;35,AI67+AH68-AQ67,IF(A68&lt;'Données projet'!$A$62,$AF$205^A68,IF(A68='Données projet'!$A$62,'Données projet'!$B$62,AI67+AH68-AQ67)))</f>
        <v>331.15384615384625</v>
      </c>
      <c r="AJ68" s="13">
        <f>AI68*VLOOKUP('Données projet'!$B$10,Paramètres!$A$1:$I$89,3,0)*VLOOKUP('Données projet'!$B$10,Paramètres!$A$1:$I$89,5,0)</f>
        <v>154.98000000000005</v>
      </c>
      <c r="AK68" s="13">
        <f t="shared" si="35"/>
        <v>39.708148282768228</v>
      </c>
      <c r="AL68" s="20">
        <f t="shared" ref="AL68:AL131" si="58">(AJ68+AK68)*0.475*44/12</f>
        <v>339.08185825915479</v>
      </c>
      <c r="AM68" s="59">
        <f t="shared" ref="AM68:AM131" si="59">AL68+(AD68+AE68)*44/12</f>
        <v>632.4151915924881</v>
      </c>
      <c r="AN68" s="59">
        <f ca="1">AVERAGE(OFFSET($AM$3,0,0,'Données projet'!$E$10+1,1))-AVERAGE(OFFSET($H$3,0,0,'Données projet'!$E$10+1,1))</f>
        <v>205.31676282910638</v>
      </c>
      <c r="AO68" s="59">
        <f t="shared" si="36"/>
        <v>190.64998698136026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#VALUE!</v>
      </c>
      <c r="AV68" s="21" t="e">
        <f>EXP(-LN(2)/25)*AV67+(1-EXP(-LN(2)/25))/(LN(2)/25)*Calculateur!AQ68*Calculateur!AS68*VLOOKUP('Données projet'!$B$10,Paramètres!$A$1:$I$89,3,0)*0.475*44/12</f>
        <v>#VALUE!</v>
      </c>
      <c r="AW68" s="21" t="e">
        <f>EXP(-LN(2)/2)*AW67+(1-EXP(-LN(2)/2))/(LN(2)/2)*AQ68*AT68*VLOOKUP('Données projet'!$B$10,Paramètres!$A$1:$I$89,3,0)*0.475*44/12</f>
        <v>#VALUE!</v>
      </c>
      <c r="AX68" s="21" t="e">
        <f t="shared" ref="AX68:AX131" si="60">SUM(AU68:AW68)</f>
        <v>#VALUE!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9.1830769230769249</v>
      </c>
      <c r="N69" s="13">
        <f>IF('Données projet'!$A$36&gt;35,N68+M69-V68,IF(A69&lt;'Données projet'!$A$36,$K$205^A69,IF(A69='Données projet'!$A$36,'Données projet'!$B$36,N68+M69-V68)))</f>
        <v>343.25999999999988</v>
      </c>
      <c r="O69" s="13">
        <f>N69*VLOOKUP('Données projet'!$B$9,Paramètres!$A$1:$I$89,3,0)*VLOOKUP('Données projet'!$B$9,Paramètres!$A$1:$I$89,5,0)</f>
        <v>205.26947999999996</v>
      </c>
      <c r="P69" s="13">
        <f t="shared" ref="P69:P132" si="87">EXP(-1.0587+0.8836*LN(O69)+0.284)</f>
        <v>50.900481301079942</v>
      </c>
      <c r="Q69" s="20">
        <f t="shared" si="54"/>
        <v>446.16268259938084</v>
      </c>
      <c r="R69" s="59">
        <f t="shared" si="55"/>
        <v>739.49601593271416</v>
      </c>
      <c r="S69" s="59">
        <f ca="1">AVERAGE(OFFSET($R$3,0,0,'Données projet'!$E$9+1,1))-AVERAGE(OFFSET($H$3,0,0,'Données projet'!$E$9+1,1))</f>
        <v>215.55381529099924</v>
      </c>
      <c r="T69" s="59">
        <f t="shared" ref="T69:T132" si="88">$T$3</f>
        <v>158.77848520346532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 t="e">
        <f>EXP(-LN(2)/35)*Z68+(1-EXP(-LN(2)/35))/(LN(2)/35)*V69*W69*VLOOKUP('Données projet'!$B$9,Paramètres!$A$1:$I$89,3,0)*0.475*44/12</f>
        <v>#VALUE!</v>
      </c>
      <c r="AA69" s="21" t="e">
        <f>EXP(-LN(2)/25)*AA68+(1-EXP(-LN(2)/25))/(LN(2)/25)*Calculateur!V69*Calculateur!X69*VLOOKUP('Données projet'!$B$9,Paramètres!$A$1:$I$89,3,0)*0.475*44/12</f>
        <v>#VALUE!</v>
      </c>
      <c r="AB69" s="21" t="e">
        <f>EXP(-LN(2)/2)*AB68+(1-EXP(-LN(2)/2))/(LN(2)/2)*V69*Y69*VLOOKUP('Données projet'!$B$9,Paramètres!$A$1:$I$89,3,0)*0.475*44/12</f>
        <v>#VALUE!</v>
      </c>
      <c r="AC69" s="22" t="e">
        <f t="shared" si="57"/>
        <v>#VALUE!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13.549999999999997</v>
      </c>
      <c r="AI69" s="13">
        <f>IF('Données projet'!$A$62&gt;35,AI68+AH69-AQ68,IF(A69&lt;'Données projet'!$A$62,$AF$205^A69,IF(A69='Données projet'!$A$62,'Données projet'!$B$62,AI68+AH69-AQ68)))</f>
        <v>344.70384615384626</v>
      </c>
      <c r="AJ69" s="13">
        <f>AI69*VLOOKUP('Données projet'!$B$10,Paramètres!$A$1:$I$89,3,0)*VLOOKUP('Données projet'!$B$10,Paramètres!$A$1:$I$89,5,0)</f>
        <v>161.32140000000004</v>
      </c>
      <c r="AK69" s="13">
        <f t="shared" ref="AK69:AK132" si="89">EXP(-1.0587+0.8836*LN(AJ69)+0.284)</f>
        <v>41.140418045227108</v>
      </c>
      <c r="AL69" s="20">
        <f t="shared" si="58"/>
        <v>352.62099976210396</v>
      </c>
      <c r="AM69" s="59">
        <f t="shared" si="59"/>
        <v>645.95433309543728</v>
      </c>
      <c r="AN69" s="59">
        <f ca="1">AVERAGE(OFFSET($AM$3,0,0,'Données projet'!$E$10+1,1))-AVERAGE(OFFSET($H$3,0,0,'Données projet'!$E$10+1,1))</f>
        <v>205.31676282910638</v>
      </c>
      <c r="AO69" s="59">
        <f t="shared" ref="AO69:AO132" si="90">$AO$3</f>
        <v>190.64998698136026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#VALUE!</v>
      </c>
      <c r="AV69" s="21" t="e">
        <f>EXP(-LN(2)/25)*AV68+(1-EXP(-LN(2)/25))/(LN(2)/25)*Calculateur!AQ69*Calculateur!AS69*VLOOKUP('Données projet'!$B$10,Paramètres!$A$1:$I$89,3,0)*0.475*44/12</f>
        <v>#VALUE!</v>
      </c>
      <c r="AW69" s="21" t="e">
        <f>EXP(-LN(2)/2)*AW68+(1-EXP(-LN(2)/2))/(LN(2)/2)*AQ69*AT69*VLOOKUP('Données projet'!$B$10,Paramètres!$A$1:$I$89,3,0)*0.475*44/12</f>
        <v>#VALUE!</v>
      </c>
      <c r="AX69" s="21" t="e">
        <f t="shared" si="60"/>
        <v>#VALUE!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9.1830769230769249</v>
      </c>
      <c r="N70" s="13">
        <f>IF('Données projet'!$A$36&gt;35,N69+M70-V69,IF(A70&lt;'Données projet'!$A$36,$K$205^A70,IF(A70='Données projet'!$A$36,'Données projet'!$B$36,N69+M70-V69)))</f>
        <v>352.44307692307677</v>
      </c>
      <c r="O70" s="13">
        <f>N70*VLOOKUP('Données projet'!$B$9,Paramètres!$A$1:$I$89,3,0)*VLOOKUP('Données projet'!$B$9,Paramètres!$A$1:$I$89,5,0)</f>
        <v>210.76095999999993</v>
      </c>
      <c r="P70" s="13">
        <f t="shared" si="87"/>
        <v>52.101839581538208</v>
      </c>
      <c r="Q70" s="20">
        <f t="shared" si="54"/>
        <v>457.81937593784551</v>
      </c>
      <c r="R70" s="59">
        <f t="shared" si="55"/>
        <v>751.15270927117876</v>
      </c>
      <c r="S70" s="59">
        <f ca="1">AVERAGE(OFFSET($R$3,0,0,'Données projet'!$E$9+1,1))-AVERAGE(OFFSET($H$3,0,0,'Données projet'!$E$9+1,1))</f>
        <v>215.55381529099924</v>
      </c>
      <c r="T70" s="59">
        <f t="shared" si="88"/>
        <v>158.77848520346532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 t="e">
        <f>EXP(-LN(2)/35)*Z69+(1-EXP(-LN(2)/35))/(LN(2)/35)*V70*W70*VLOOKUP('Données projet'!$B$9,Paramètres!$A$1:$I$89,3,0)*0.475*44/12</f>
        <v>#VALUE!</v>
      </c>
      <c r="AA70" s="21" t="e">
        <f>EXP(-LN(2)/25)*AA69+(1-EXP(-LN(2)/25))/(LN(2)/25)*Calculateur!V70*Calculateur!X70*VLOOKUP('Données projet'!$B$9,Paramètres!$A$1:$I$89,3,0)*0.475*44/12</f>
        <v>#VALUE!</v>
      </c>
      <c r="AB70" s="21" t="e">
        <f>EXP(-LN(2)/2)*AB69+(1-EXP(-LN(2)/2))/(LN(2)/2)*V70*Y70*VLOOKUP('Données projet'!$B$9,Paramètres!$A$1:$I$89,3,0)*0.475*44/12</f>
        <v>#VALUE!</v>
      </c>
      <c r="AC70" s="22" t="e">
        <f t="shared" si="57"/>
        <v>#VALUE!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358.25384615384615</v>
      </c>
      <c r="AG70" s="12">
        <f>VLOOKUP(A70,'Données projet'!$A$61:$I$81,9,0)</f>
        <v>13.549999999999997</v>
      </c>
      <c r="AH70" s="12">
        <f t="array" ref="AH70">INDEX(AG:AG,MIN(IF(ISNUMBER(AG70:AG266),ROW(AG70:AG266),"")))</f>
        <v>13.549999999999997</v>
      </c>
      <c r="AI70" s="13">
        <f>IF('Données projet'!$A$62&gt;35,AI69+AH70-AQ69,IF(A70&lt;'Données projet'!$A$62,$AF$205^A70,IF(A70='Données projet'!$A$62,'Données projet'!$B$62,AI69+AH70-AQ69)))</f>
        <v>358.25384615384627</v>
      </c>
      <c r="AJ70" s="13">
        <f>AI70*VLOOKUP('Données projet'!$B$10,Paramètres!$A$1:$I$89,3,0)*VLOOKUP('Données projet'!$B$10,Paramètres!$A$1:$I$89,5,0)</f>
        <v>167.66280000000006</v>
      </c>
      <c r="AK70" s="13">
        <f t="shared" si="89"/>
        <v>42.566147534051922</v>
      </c>
      <c r="AL70" s="20">
        <f t="shared" si="58"/>
        <v>366.14875028847382</v>
      </c>
      <c r="AM70" s="59">
        <f t="shared" si="59"/>
        <v>659.48208362180708</v>
      </c>
      <c r="AN70" s="59">
        <f ca="1">AVERAGE(OFFSET($AM$3,0,0,'Données projet'!$E$10+1,1))-AVERAGE(OFFSET($H$3,0,0,'Données projet'!$E$10+1,1))</f>
        <v>205.31676282910638</v>
      </c>
      <c r="AO70" s="59">
        <f t="shared" si="90"/>
        <v>190.64998698136026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 t="e">
        <f>IF(ISNA(VLOOKUP(A70,'Données projet'!$A$61:$I$81,6,0)),0%,VLOOKUP(A70,'Données projet'!$A$61:$I$81,6,0)*VLOOKUP('Données projet'!$B$10,Paramètres!$A$1:$I$89,7,0))</f>
        <v>#VALUE!</v>
      </c>
      <c r="AT70" s="16" t="str">
        <f>IF(ISNA(VLOOKUP(A70,'Données projet'!$A$61:$I$81,7,0)),0%,VLOOKUP(A70,'Données projet'!$A$61:$I$81,7,0))</f>
        <v/>
      </c>
      <c r="AU70" s="21" t="e">
        <f>EXP(-LN(2)/35)*AU69+(1-EXP(-LN(2)/35))/(LN(2)/35)*AQ70*AR70*VLOOKUP('Données projet'!$B$10,Paramètres!$A$1:$I$89,3,0)*0.475*44/12</f>
        <v>#VALUE!</v>
      </c>
      <c r="AV70" s="21" t="e">
        <f>EXP(-LN(2)/25)*AV69+(1-EXP(-LN(2)/25))/(LN(2)/25)*Calculateur!AQ70*Calculateur!AS70*VLOOKUP('Données projet'!$B$10,Paramètres!$A$1:$I$89,3,0)*0.475*44/12</f>
        <v>#VALUE!</v>
      </c>
      <c r="AW70" s="21" t="e">
        <f>EXP(-LN(2)/2)*AW69+(1-EXP(-LN(2)/2))/(LN(2)/2)*AQ70*AT70*VLOOKUP('Données projet'!$B$10,Paramètres!$A$1:$I$89,3,0)*0.475*44/12</f>
        <v>#VALUE!</v>
      </c>
      <c r="AX70" s="21" t="e">
        <f t="shared" si="60"/>
        <v>#VALUE!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9.1830769230769249</v>
      </c>
      <c r="N71" s="13">
        <f>IF('Données projet'!$A$36&gt;35,N70+M71-V70,IF(A71&lt;'Données projet'!$A$36,$K$205^A71,IF(A71='Données projet'!$A$36,'Données projet'!$B$36,N70+M71-V70)))</f>
        <v>361.62615384615367</v>
      </c>
      <c r="O71" s="13">
        <f>N71*VLOOKUP('Données projet'!$B$9,Paramètres!$A$1:$I$89,3,0)*VLOOKUP('Données projet'!$B$9,Paramètres!$A$1:$I$89,5,0)</f>
        <v>216.25243999999989</v>
      </c>
      <c r="P71" s="13">
        <f t="shared" si="87"/>
        <v>53.299559396285737</v>
      </c>
      <c r="Q71" s="20">
        <f t="shared" si="54"/>
        <v>469.46973228186403</v>
      </c>
      <c r="R71" s="59">
        <f t="shared" si="55"/>
        <v>762.80306561519728</v>
      </c>
      <c r="S71" s="59">
        <f ca="1">AVERAGE(OFFSET($R$3,0,0,'Données projet'!$E$9+1,1))-AVERAGE(OFFSET($H$3,0,0,'Données projet'!$E$9+1,1))</f>
        <v>215.55381529099924</v>
      </c>
      <c r="T71" s="59">
        <f t="shared" si="88"/>
        <v>158.77848520346532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 t="e">
        <f>EXP(-LN(2)/35)*Z70+(1-EXP(-LN(2)/35))/(LN(2)/35)*V71*W71*VLOOKUP('Données projet'!$B$9,Paramètres!$A$1:$I$89,3,0)*0.475*44/12</f>
        <v>#VALUE!</v>
      </c>
      <c r="AA71" s="21" t="e">
        <f>EXP(-LN(2)/25)*AA70+(1-EXP(-LN(2)/25))/(LN(2)/25)*Calculateur!V71*Calculateur!X71*VLOOKUP('Données projet'!$B$9,Paramètres!$A$1:$I$89,3,0)*0.475*44/12</f>
        <v>#VALUE!</v>
      </c>
      <c r="AB71" s="21" t="e">
        <f>EXP(-LN(2)/2)*AB70+(1-EXP(-LN(2)/2))/(LN(2)/2)*V71*Y71*VLOOKUP('Données projet'!$B$9,Paramètres!$A$1:$I$89,3,0)*0.475*44/12</f>
        <v>#VALUE!</v>
      </c>
      <c r="AC71" s="22" t="e">
        <f t="shared" si="57"/>
        <v>#VALUE!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13.924999999999997</v>
      </c>
      <c r="AI71" s="13">
        <f>IF('Données projet'!$A$62&gt;35,AI70+AH71-AQ70,IF(A71&lt;'Données projet'!$A$62,$AF$205^A71,IF(A71='Données projet'!$A$62,'Données projet'!$B$62,AI70+AH71-AQ70)))</f>
        <v>372.17884615384628</v>
      </c>
      <c r="AJ71" s="13">
        <f>AI71*VLOOKUP('Données projet'!$B$10,Paramètres!$A$1:$I$89,3,0)*VLOOKUP('Données projet'!$B$10,Paramètres!$A$1:$I$89,5,0)</f>
        <v>174.17970000000008</v>
      </c>
      <c r="AK71" s="13">
        <f t="shared" si="89"/>
        <v>44.02480992799758</v>
      </c>
      <c r="AL71" s="20">
        <f t="shared" si="58"/>
        <v>380.0395214579292</v>
      </c>
      <c r="AM71" s="59">
        <f t="shared" si="59"/>
        <v>673.37285479126251</v>
      </c>
      <c r="AN71" s="59">
        <f ca="1">AVERAGE(OFFSET($AM$3,0,0,'Données projet'!$E$10+1,1))-AVERAGE(OFFSET($H$3,0,0,'Données projet'!$E$10+1,1))</f>
        <v>205.31676282910638</v>
      </c>
      <c r="AO71" s="59">
        <f t="shared" si="90"/>
        <v>190.64998698136026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#VALUE!</v>
      </c>
      <c r="AV71" s="21" t="e">
        <f>EXP(-LN(2)/25)*AV70+(1-EXP(-LN(2)/25))/(LN(2)/25)*Calculateur!AQ71*Calculateur!AS71*VLOOKUP('Données projet'!$B$10,Paramètres!$A$1:$I$89,3,0)*0.475*44/12</f>
        <v>#VALUE!</v>
      </c>
      <c r="AW71" s="21" t="e">
        <f>EXP(-LN(2)/2)*AW70+(1-EXP(-LN(2)/2))/(LN(2)/2)*AQ71*AT71*VLOOKUP('Données projet'!$B$10,Paramètres!$A$1:$I$89,3,0)*0.475*44/12</f>
        <v>#VALUE!</v>
      </c>
      <c r="AX71" s="21" t="e">
        <f t="shared" si="60"/>
        <v>#VALUE!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9.1830769230769249</v>
      </c>
      <c r="N72" s="13">
        <f>IF('Données projet'!$A$36&gt;35,N71+M72-V71,IF(A72&lt;'Données projet'!$A$36,$K$205^A72,IF(A72='Données projet'!$A$36,'Données projet'!$B$36,N71+M72-V71)))</f>
        <v>370.80923076923057</v>
      </c>
      <c r="O72" s="13">
        <f>N72*VLOOKUP('Données projet'!$B$9,Paramètres!$A$1:$I$89,3,0)*VLOOKUP('Données projet'!$B$9,Paramètres!$A$1:$I$89,5,0)</f>
        <v>221.74391999999989</v>
      </c>
      <c r="P72" s="13">
        <f t="shared" si="87"/>
        <v>54.493743764780973</v>
      </c>
      <c r="Q72" s="20">
        <f t="shared" si="54"/>
        <v>481.11393105699329</v>
      </c>
      <c r="R72" s="59">
        <f t="shared" si="55"/>
        <v>774.44726439032661</v>
      </c>
      <c r="S72" s="59">
        <f ca="1">AVERAGE(OFFSET($R$3,0,0,'Données projet'!$E$9+1,1))-AVERAGE(OFFSET($H$3,0,0,'Données projet'!$E$9+1,1))</f>
        <v>215.55381529099924</v>
      </c>
      <c r="T72" s="59">
        <f t="shared" si="88"/>
        <v>158.77848520346532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 t="e">
        <f>EXP(-LN(2)/35)*Z71+(1-EXP(-LN(2)/35))/(LN(2)/35)*V72*W72*VLOOKUP('Données projet'!$B$9,Paramètres!$A$1:$I$89,3,0)*0.475*44/12</f>
        <v>#VALUE!</v>
      </c>
      <c r="AA72" s="21" t="e">
        <f>EXP(-LN(2)/25)*AA71+(1-EXP(-LN(2)/25))/(LN(2)/25)*Calculateur!V72*Calculateur!X72*VLOOKUP('Données projet'!$B$9,Paramètres!$A$1:$I$89,3,0)*0.475*44/12</f>
        <v>#VALUE!</v>
      </c>
      <c r="AB72" s="21" t="e">
        <f>EXP(-LN(2)/2)*AB71+(1-EXP(-LN(2)/2))/(LN(2)/2)*V72*Y72*VLOOKUP('Données projet'!$B$9,Paramètres!$A$1:$I$89,3,0)*0.475*44/12</f>
        <v>#VALUE!</v>
      </c>
      <c r="AC72" s="22" t="e">
        <f t="shared" si="57"/>
        <v>#VALUE!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13.924999999999997</v>
      </c>
      <c r="AI72" s="13">
        <f>IF('Données projet'!$A$62&gt;35,AI71+AH72-AQ71,IF(A72&lt;'Données projet'!$A$62,$AF$205^A72,IF(A72='Données projet'!$A$62,'Données projet'!$B$62,AI71+AH72-AQ71)))</f>
        <v>386.10384615384629</v>
      </c>
      <c r="AJ72" s="13">
        <f>AI72*VLOOKUP('Données projet'!$B$10,Paramètres!$A$1:$I$89,3,0)*VLOOKUP('Données projet'!$B$10,Paramètres!$A$1:$I$89,5,0)</f>
        <v>180.69660000000005</v>
      </c>
      <c r="AK72" s="13">
        <f t="shared" si="89"/>
        <v>45.47713197572395</v>
      </c>
      <c r="AL72" s="20">
        <f t="shared" si="58"/>
        <v>393.91924985771925</v>
      </c>
      <c r="AM72" s="59">
        <f t="shared" si="59"/>
        <v>687.25258319105251</v>
      </c>
      <c r="AN72" s="59">
        <f ca="1">AVERAGE(OFFSET($AM$3,0,0,'Données projet'!$E$10+1,1))-AVERAGE(OFFSET($H$3,0,0,'Données projet'!$E$10+1,1))</f>
        <v>205.31676282910638</v>
      </c>
      <c r="AO72" s="59">
        <f t="shared" si="90"/>
        <v>190.64998698136026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#VALUE!</v>
      </c>
      <c r="AV72" s="21" t="e">
        <f>EXP(-LN(2)/25)*AV71+(1-EXP(-LN(2)/25))/(LN(2)/25)*Calculateur!AQ72*Calculateur!AS72*VLOOKUP('Données projet'!$B$10,Paramètres!$A$1:$I$89,3,0)*0.475*44/12</f>
        <v>#VALUE!</v>
      </c>
      <c r="AW72" s="21" t="e">
        <f>EXP(-LN(2)/2)*AW71+(1-EXP(-LN(2)/2))/(LN(2)/2)*AQ72*AT72*VLOOKUP('Données projet'!$B$10,Paramètres!$A$1:$I$89,3,0)*0.475*44/12</f>
        <v>#VALUE!</v>
      </c>
      <c r="AX72" s="21" t="e">
        <f t="shared" si="60"/>
        <v>#VALUE!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379.99230769230769</v>
      </c>
      <c r="L73" s="12">
        <f>VLOOKUP(A73,'Données projet'!$A$35:$I$55,9,0)</f>
        <v>9.1830769230769249</v>
      </c>
      <c r="M73" s="12">
        <f t="array" ref="M73">INDEX(L:L,MIN(IF(ISNUMBER(L73:L269),ROW(L73:L269),"")))</f>
        <v>9.1830769230769249</v>
      </c>
      <c r="N73" s="13">
        <f>IF('Données projet'!$A$36&gt;35,N72+M73-V72,IF(A73&lt;'Données projet'!$A$36,$K$205^A73,IF(A73='Données projet'!$A$36,'Données projet'!$B$36,N72+M73-V72)))</f>
        <v>379.99230769230746</v>
      </c>
      <c r="O73" s="13">
        <f>N73*VLOOKUP('Données projet'!$B$9,Paramètres!$A$1:$I$89,3,0)*VLOOKUP('Données projet'!$B$9,Paramètres!$A$1:$I$89,5,0)</f>
        <v>227.23539999999988</v>
      </c>
      <c r="P73" s="13">
        <f t="shared" si="87"/>
        <v>55.684490313081348</v>
      </c>
      <c r="Q73" s="20">
        <f t="shared" si="54"/>
        <v>492.75214229528314</v>
      </c>
      <c r="R73" s="59">
        <f t="shared" si="55"/>
        <v>786.08547562861645</v>
      </c>
      <c r="S73" s="59">
        <f ca="1">AVERAGE(OFFSET($R$3,0,0,'Données projet'!$E$9+1,1))-AVERAGE(OFFSET($H$3,0,0,'Données projet'!$E$9+1,1))</f>
        <v>215.55381529099924</v>
      </c>
      <c r="T73" s="59">
        <f t="shared" si="88"/>
        <v>158.77848520346532</v>
      </c>
      <c r="U73" s="15">
        <f>IF(ISNA(VLOOKUP(A73,'Données projet'!$A$35:$I$55,3,0)),0,VLOOKUP(A73,'Données projet'!$A$35:$I$55,3,0))</f>
        <v>7</v>
      </c>
      <c r="V73" s="15">
        <f>IF(ISNA(VLOOKUP(A73,'Données projet'!$A$35:$I$55,4,0)),0,VLOOKUP(A73,'Données projet'!$A$35:$I$55,4,0))</f>
        <v>52.669230769230765</v>
      </c>
      <c r="W73" s="16" t="e">
        <f>IF(ISNA(VLOOKUP(A73,'Données projet'!$A$35:$I$55,5,0)),0%,VLOOKUP(A73,'Données projet'!$A$35:$I$55,5,0)*VLOOKUP('Données projet'!$B$9,Paramètres!$A$1:$I$89,7,0))</f>
        <v>#VALUE!</v>
      </c>
      <c r="X73" s="16" t="e">
        <f>IF(ISNA(VLOOKUP(A73,'Données projet'!$A$35:$I$55,6,0)),0%,VLOOKUP(A73,'Données projet'!$A$35:$I$55,6,0)*VLOOKUP('Données projet'!$B$9,Paramètres!$A$1:$I$89,7,0))</f>
        <v>#VALUE!</v>
      </c>
      <c r="Y73" s="16" t="str">
        <f>IF(ISNA(VLOOKUP(A73,'Données projet'!$A$35:$I$55,7,0)),0%,VLOOKUP(A73,'Données projet'!$A$35:$I$55,7,0))</f>
        <v/>
      </c>
      <c r="Z73" s="21" t="e">
        <f>EXP(-LN(2)/35)*Z72+(1-EXP(-LN(2)/35))/(LN(2)/35)*V73*W73*VLOOKUP('Données projet'!$B$9,Paramètres!$A$1:$I$89,3,0)*0.475*44/12</f>
        <v>#VALUE!</v>
      </c>
      <c r="AA73" s="21" t="e">
        <f>EXP(-LN(2)/25)*AA72+(1-EXP(-LN(2)/25))/(LN(2)/25)*Calculateur!V73*Calculateur!X73*VLOOKUP('Données projet'!$B$9,Paramètres!$A$1:$I$89,3,0)*0.475*44/12</f>
        <v>#VALUE!</v>
      </c>
      <c r="AB73" s="21" t="e">
        <f>EXP(-LN(2)/2)*AB72+(1-EXP(-LN(2)/2))/(LN(2)/2)*V73*Y73*VLOOKUP('Données projet'!$B$9,Paramètres!$A$1:$I$89,3,0)*0.475*44/12</f>
        <v>#VALUE!</v>
      </c>
      <c r="AC73" s="22" t="e">
        <f t="shared" si="57"/>
        <v>#VALUE!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13.924999999999997</v>
      </c>
      <c r="AI73" s="13">
        <f>IF('Données projet'!$A$62&gt;35,AI72+AH73-AQ72,IF(A73&lt;'Données projet'!$A$62,$AF$205^A73,IF(A73='Données projet'!$A$62,'Données projet'!$B$62,AI72+AH73-AQ72)))</f>
        <v>400.0288461538463</v>
      </c>
      <c r="AJ73" s="13">
        <f>AI73*VLOOKUP('Données projet'!$B$10,Paramètres!$A$1:$I$89,3,0)*VLOOKUP('Données projet'!$B$10,Paramètres!$A$1:$I$89,5,0)</f>
        <v>187.21350000000007</v>
      </c>
      <c r="AK73" s="13">
        <f t="shared" si="89"/>
        <v>46.923368538674644</v>
      </c>
      <c r="AL73" s="20">
        <f t="shared" si="58"/>
        <v>407.78837937152508</v>
      </c>
      <c r="AM73" s="59">
        <f t="shared" si="59"/>
        <v>701.1217127048584</v>
      </c>
      <c r="AN73" s="59">
        <f ca="1">AVERAGE(OFFSET($AM$3,0,0,'Données projet'!$E$10+1,1))-AVERAGE(OFFSET($H$3,0,0,'Données projet'!$E$10+1,1))</f>
        <v>205.31676282910638</v>
      </c>
      <c r="AO73" s="59">
        <f t="shared" si="90"/>
        <v>190.64998698136026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#VALUE!</v>
      </c>
      <c r="AV73" s="21" t="e">
        <f>EXP(-LN(2)/25)*AV72+(1-EXP(-LN(2)/25))/(LN(2)/25)*Calculateur!AQ73*Calculateur!AS73*VLOOKUP('Données projet'!$B$10,Paramètres!$A$1:$I$89,3,0)*0.475*44/12</f>
        <v>#VALUE!</v>
      </c>
      <c r="AW73" s="21" t="e">
        <f>EXP(-LN(2)/2)*AW72+(1-EXP(-LN(2)/2))/(LN(2)/2)*AQ73*AT73*VLOOKUP('Données projet'!$B$10,Paramètres!$A$1:$I$89,3,0)*0.475*44/12</f>
        <v>#VALUE!</v>
      </c>
      <c r="AX73" s="21" t="e">
        <f t="shared" si="60"/>
        <v>#VALUE!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7.6586538461538467</v>
      </c>
      <c r="N74" s="13">
        <f>IF('Données projet'!$A$36&gt;35,N73+M74-V73,IF(A74&lt;'Données projet'!$A$36,$K$205^A74,IF(A74='Données projet'!$A$36,'Données projet'!$B$36,N73+M74-V73)))</f>
        <v>334.98173076923058</v>
      </c>
      <c r="O74" s="13">
        <f>N74*VLOOKUP('Données projet'!$B$9,Paramètres!$A$1:$I$89,3,0)*VLOOKUP('Données projet'!$B$9,Paramètres!$A$1:$I$89,5,0)</f>
        <v>200.31907499999988</v>
      </c>
      <c r="P74" s="13">
        <f t="shared" si="87"/>
        <v>49.814284245824865</v>
      </c>
      <c r="Q74" s="20">
        <f t="shared" si="54"/>
        <v>435.64893401981141</v>
      </c>
      <c r="R74" s="59">
        <f t="shared" si="55"/>
        <v>728.98226735314472</v>
      </c>
      <c r="S74" s="59">
        <f ca="1">AVERAGE(OFFSET($R$3,0,0,'Données projet'!$E$9+1,1))-AVERAGE(OFFSET($H$3,0,0,'Données projet'!$E$9+1,1))</f>
        <v>215.55381529099924</v>
      </c>
      <c r="T74" s="59">
        <f t="shared" si="88"/>
        <v>158.77848520346532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 t="e">
        <f>EXP(-LN(2)/35)*Z73+(1-EXP(-LN(2)/35))/(LN(2)/35)*V74*W74*VLOOKUP('Données projet'!$B$9,Paramètres!$A$1:$I$89,3,0)*0.475*44/12</f>
        <v>#VALUE!</v>
      </c>
      <c r="AA74" s="21" t="e">
        <f>EXP(-LN(2)/25)*AA73+(1-EXP(-LN(2)/25))/(LN(2)/25)*Calculateur!V74*Calculateur!X74*VLOOKUP('Données projet'!$B$9,Paramètres!$A$1:$I$89,3,0)*0.475*44/12</f>
        <v>#VALUE!</v>
      </c>
      <c r="AB74" s="21" t="e">
        <f>EXP(-LN(2)/2)*AB73+(1-EXP(-LN(2)/2))/(LN(2)/2)*V74*Y74*VLOOKUP('Données projet'!$B$9,Paramètres!$A$1:$I$89,3,0)*0.475*44/12</f>
        <v>#VALUE!</v>
      </c>
      <c r="AC74" s="22" t="e">
        <f t="shared" si="57"/>
        <v>#VALUE!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413.95384615384614</v>
      </c>
      <c r="AG74" s="12">
        <f>VLOOKUP(A74,'Données projet'!$A$61:$I$81,9,0)</f>
        <v>13.924999999999997</v>
      </c>
      <c r="AH74" s="12">
        <f t="array" ref="AH74">INDEX(AG:AG,MIN(IF(ISNUMBER(AG74:AG270),ROW(AG74:AG270),"")))</f>
        <v>13.924999999999997</v>
      </c>
      <c r="AI74" s="13">
        <f>IF('Données projet'!$A$62&gt;35,AI73+AH74-AQ73,IF(A74&lt;'Données projet'!$A$62,$AF$205^A74,IF(A74='Données projet'!$A$62,'Données projet'!$B$62,AI73+AH74-AQ73)))</f>
        <v>413.95384615384631</v>
      </c>
      <c r="AJ74" s="13">
        <f>AI74*VLOOKUP('Données projet'!$B$10,Paramètres!$A$1:$I$89,3,0)*VLOOKUP('Données projet'!$B$10,Paramètres!$A$1:$I$89,5,0)</f>
        <v>193.73040000000006</v>
      </c>
      <c r="AK74" s="13">
        <f t="shared" si="89"/>
        <v>48.363755728631737</v>
      </c>
      <c r="AL74" s="20">
        <f t="shared" si="58"/>
        <v>421.647321227367</v>
      </c>
      <c r="AM74" s="59">
        <f t="shared" si="59"/>
        <v>714.98065456070026</v>
      </c>
      <c r="AN74" s="59">
        <f ca="1">AVERAGE(OFFSET($AM$3,0,0,'Données projet'!$E$10+1,1))-AVERAGE(OFFSET($H$3,0,0,'Données projet'!$E$10+1,1))</f>
        <v>205.31676282910638</v>
      </c>
      <c r="AO74" s="59">
        <f t="shared" si="90"/>
        <v>190.64998698136026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80.399999999999991</v>
      </c>
      <c r="AR74" s="16">
        <f>IF(ISNA(VLOOKUP(A74,'Données projet'!$A$61:$I$81,5,0)),0%,VLOOKUP(A74,'Données projet'!$A$61:$I$81,5,0)*VLOOKUP('Données projet'!$B$10,Paramètres!$A$1:$I$89,7,0))</f>
        <v>0</v>
      </c>
      <c r="AS74" s="16" t="e">
        <f>IF(ISNA(VLOOKUP(A74,'Données projet'!$A$61:$I$81,6,0)),0%,VLOOKUP(A74,'Données projet'!$A$61:$I$81,6,0)*VLOOKUP('Données projet'!$B$10,Paramètres!$A$1:$I$89,7,0))</f>
        <v>#VALUE!</v>
      </c>
      <c r="AT74" s="16" t="str">
        <f>IF(ISNA(VLOOKUP(A74,'Données projet'!$A$61:$I$81,7,0)),0%,VLOOKUP(A74,'Données projet'!$A$61:$I$81,7,0))</f>
        <v/>
      </c>
      <c r="AU74" s="21" t="e">
        <f>EXP(-LN(2)/35)*AU73+(1-EXP(-LN(2)/35))/(LN(2)/35)*AQ74*AR74*VLOOKUP('Données projet'!$B$10,Paramètres!$A$1:$I$89,3,0)*0.475*44/12</f>
        <v>#VALUE!</v>
      </c>
      <c r="AV74" s="21" t="e">
        <f>EXP(-LN(2)/25)*AV73+(1-EXP(-LN(2)/25))/(LN(2)/25)*Calculateur!AQ74*Calculateur!AS74*VLOOKUP('Données projet'!$B$10,Paramètres!$A$1:$I$89,3,0)*0.475*44/12</f>
        <v>#VALUE!</v>
      </c>
      <c r="AW74" s="21" t="e">
        <f>EXP(-LN(2)/2)*AW73+(1-EXP(-LN(2)/2))/(LN(2)/2)*AQ74*AT74*VLOOKUP('Données projet'!$B$10,Paramètres!$A$1:$I$89,3,0)*0.475*44/12</f>
        <v>#VALUE!</v>
      </c>
      <c r="AX74" s="21" t="e">
        <f t="shared" si="60"/>
        <v>#VALUE!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7.6586538461538467</v>
      </c>
      <c r="N75" s="13">
        <f>IF('Données projet'!$A$36&gt;35,N74+M75-V74,IF(A75&lt;'Données projet'!$A$36,$K$205^A75,IF(A75='Données projet'!$A$36,'Données projet'!$B$36,N74+M75-V74)))</f>
        <v>342.64038461538445</v>
      </c>
      <c r="O75" s="13">
        <f>N75*VLOOKUP('Données projet'!$B$9,Paramètres!$A$1:$I$89,3,0)*VLOOKUP('Données projet'!$B$9,Paramètres!$A$1:$I$89,5,0)</f>
        <v>204.8989499999999</v>
      </c>
      <c r="P75" s="13">
        <f t="shared" si="87"/>
        <v>50.819287617646275</v>
      </c>
      <c r="Q75" s="20">
        <f t="shared" si="54"/>
        <v>445.37593051740038</v>
      </c>
      <c r="R75" s="59">
        <f t="shared" si="55"/>
        <v>738.70926385073369</v>
      </c>
      <c r="S75" s="59">
        <f ca="1">AVERAGE(OFFSET($R$3,0,0,'Données projet'!$E$9+1,1))-AVERAGE(OFFSET($H$3,0,0,'Données projet'!$E$9+1,1))</f>
        <v>215.55381529099924</v>
      </c>
      <c r="T75" s="59">
        <f t="shared" si="88"/>
        <v>158.77848520346532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 t="e">
        <f>EXP(-LN(2)/35)*Z74+(1-EXP(-LN(2)/35))/(LN(2)/35)*V75*W75*VLOOKUP('Données projet'!$B$9,Paramètres!$A$1:$I$89,3,0)*0.475*44/12</f>
        <v>#VALUE!</v>
      </c>
      <c r="AA75" s="21" t="e">
        <f>EXP(-LN(2)/25)*AA74+(1-EXP(-LN(2)/25))/(LN(2)/25)*Calculateur!V75*Calculateur!X75*VLOOKUP('Données projet'!$B$9,Paramètres!$A$1:$I$89,3,0)*0.475*44/12</f>
        <v>#VALUE!</v>
      </c>
      <c r="AB75" s="21" t="e">
        <f>EXP(-LN(2)/2)*AB74+(1-EXP(-LN(2)/2))/(LN(2)/2)*V75*Y75*VLOOKUP('Données projet'!$B$9,Paramètres!$A$1:$I$89,3,0)*0.475*44/12</f>
        <v>#VALUE!</v>
      </c>
      <c r="AC75" s="22" t="e">
        <f t="shared" si="57"/>
        <v>#VALUE!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12.782692307692301</v>
      </c>
      <c r="AI75" s="13">
        <f>IF('Données projet'!$A$62&gt;35,AI74+AH75-AQ74,IF(A75&lt;'Données projet'!$A$62,$AF$205^A75,IF(A75='Données projet'!$A$62,'Données projet'!$B$62,AI74+AH75-AQ74)))</f>
        <v>346.33653846153862</v>
      </c>
      <c r="AJ75" s="13">
        <f>AI75*VLOOKUP('Données projet'!$B$10,Paramètres!$A$1:$I$89,3,0)*VLOOKUP('Données projet'!$B$10,Paramètres!$A$1:$I$89,5,0)</f>
        <v>162.08550000000008</v>
      </c>
      <c r="AK75" s="13">
        <f t="shared" si="89"/>
        <v>41.31255063362417</v>
      </c>
      <c r="AL75" s="20">
        <f t="shared" si="58"/>
        <v>354.25160485356218</v>
      </c>
      <c r="AM75" s="59">
        <f t="shared" si="59"/>
        <v>647.58493818689544</v>
      </c>
      <c r="AN75" s="59">
        <f ca="1">AVERAGE(OFFSET($AM$3,0,0,'Données projet'!$E$10+1,1))-AVERAGE(OFFSET($H$3,0,0,'Données projet'!$E$10+1,1))</f>
        <v>205.31676282910638</v>
      </c>
      <c r="AO75" s="59">
        <f t="shared" si="90"/>
        <v>190.64998698136026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#VALUE!</v>
      </c>
      <c r="AV75" s="21" t="e">
        <f>EXP(-LN(2)/25)*AV74+(1-EXP(-LN(2)/25))/(LN(2)/25)*Calculateur!AQ75*Calculateur!AS75*VLOOKUP('Données projet'!$B$10,Paramètres!$A$1:$I$89,3,0)*0.475*44/12</f>
        <v>#VALUE!</v>
      </c>
      <c r="AW75" s="21" t="e">
        <f>EXP(-LN(2)/2)*AW74+(1-EXP(-LN(2)/2))/(LN(2)/2)*AQ75*AT75*VLOOKUP('Données projet'!$B$10,Paramètres!$A$1:$I$89,3,0)*0.475*44/12</f>
        <v>#VALUE!</v>
      </c>
      <c r="AX75" s="21" t="e">
        <f t="shared" si="60"/>
        <v>#VALUE!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7.6586538461538467</v>
      </c>
      <c r="N76" s="13">
        <f>IF('Données projet'!$A$36&gt;35,N75+M76-V75,IF(A76&lt;'Données projet'!$A$36,$K$205^A76,IF(A76='Données projet'!$A$36,'Données projet'!$B$36,N75+M76-V75)))</f>
        <v>350.29903846153832</v>
      </c>
      <c r="O76" s="13">
        <f>N76*VLOOKUP('Données projet'!$B$9,Paramètres!$A$1:$I$89,3,0)*VLOOKUP('Données projet'!$B$9,Paramètres!$A$1:$I$89,5,0)</f>
        <v>209.47882499999994</v>
      </c>
      <c r="P76" s="13">
        <f t="shared" si="87"/>
        <v>51.821679382774484</v>
      </c>
      <c r="Q76" s="20">
        <f t="shared" si="54"/>
        <v>455.09837846666545</v>
      </c>
      <c r="R76" s="59">
        <f t="shared" si="55"/>
        <v>748.43171179999877</v>
      </c>
      <c r="S76" s="59">
        <f ca="1">AVERAGE(OFFSET($R$3,0,0,'Données projet'!$E$9+1,1))-AVERAGE(OFFSET($H$3,0,0,'Données projet'!$E$9+1,1))</f>
        <v>215.55381529099924</v>
      </c>
      <c r="T76" s="59">
        <f t="shared" si="88"/>
        <v>158.77848520346532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 t="e">
        <f>EXP(-LN(2)/35)*Z75+(1-EXP(-LN(2)/35))/(LN(2)/35)*V76*W76*VLOOKUP('Données projet'!$B$9,Paramètres!$A$1:$I$89,3,0)*0.475*44/12</f>
        <v>#VALUE!</v>
      </c>
      <c r="AA76" s="21" t="e">
        <f>EXP(-LN(2)/25)*AA75+(1-EXP(-LN(2)/25))/(LN(2)/25)*Calculateur!V76*Calculateur!X76*VLOOKUP('Données projet'!$B$9,Paramètres!$A$1:$I$89,3,0)*0.475*44/12</f>
        <v>#VALUE!</v>
      </c>
      <c r="AB76" s="21" t="e">
        <f>EXP(-LN(2)/2)*AB75+(1-EXP(-LN(2)/2))/(LN(2)/2)*V76*Y76*VLOOKUP('Données projet'!$B$9,Paramètres!$A$1:$I$89,3,0)*0.475*44/12</f>
        <v>#VALUE!</v>
      </c>
      <c r="AC76" s="22" t="e">
        <f t="shared" si="57"/>
        <v>#VALUE!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12.782692307692301</v>
      </c>
      <c r="AI76" s="13">
        <f>IF('Données projet'!$A$62&gt;35,AI75+AH76-AQ75,IF(A76&lt;'Données projet'!$A$62,$AF$205^A76,IF(A76='Données projet'!$A$62,'Données projet'!$B$62,AI75+AH76-AQ75)))</f>
        <v>359.11923076923091</v>
      </c>
      <c r="AJ76" s="13">
        <f>AI76*VLOOKUP('Données projet'!$B$10,Paramètres!$A$1:$I$89,3,0)*VLOOKUP('Données projet'!$B$10,Paramètres!$A$1:$I$89,5,0)</f>
        <v>168.06780000000006</v>
      </c>
      <c r="AK76" s="13">
        <f t="shared" si="89"/>
        <v>42.656987582382385</v>
      </c>
      <c r="AL76" s="20">
        <f t="shared" si="58"/>
        <v>367.01233837264937</v>
      </c>
      <c r="AM76" s="59">
        <f t="shared" si="59"/>
        <v>660.34567170598268</v>
      </c>
      <c r="AN76" s="59">
        <f ca="1">AVERAGE(OFFSET($AM$3,0,0,'Données projet'!$E$10+1,1))-AVERAGE(OFFSET($H$3,0,0,'Données projet'!$E$10+1,1))</f>
        <v>205.31676282910638</v>
      </c>
      <c r="AO76" s="59">
        <f t="shared" si="90"/>
        <v>190.64998698136026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#VALUE!</v>
      </c>
      <c r="AV76" s="21" t="e">
        <f>EXP(-LN(2)/25)*AV75+(1-EXP(-LN(2)/25))/(LN(2)/25)*Calculateur!AQ76*Calculateur!AS76*VLOOKUP('Données projet'!$B$10,Paramètres!$A$1:$I$89,3,0)*0.475*44/12</f>
        <v>#VALUE!</v>
      </c>
      <c r="AW76" s="21" t="e">
        <f>EXP(-LN(2)/2)*AW75+(1-EXP(-LN(2)/2))/(LN(2)/2)*AQ76*AT76*VLOOKUP('Données projet'!$B$10,Paramètres!$A$1:$I$89,3,0)*0.475*44/12</f>
        <v>#VALUE!</v>
      </c>
      <c r="AX76" s="21" t="e">
        <f t="shared" si="60"/>
        <v>#VALUE!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7.6586538461538467</v>
      </c>
      <c r="N77" s="13">
        <f>IF('Données projet'!$A$36&gt;35,N76+M77-V76,IF(A77&lt;'Données projet'!$A$36,$K$205^A77,IF(A77='Données projet'!$A$36,'Données projet'!$B$36,N76+M77-V76)))</f>
        <v>357.95769230769218</v>
      </c>
      <c r="O77" s="13">
        <f>N77*VLOOKUP('Données projet'!$B$9,Paramètres!$A$1:$I$89,3,0)*VLOOKUP('Données projet'!$B$9,Paramètres!$A$1:$I$89,5,0)</f>
        <v>214.05869999999993</v>
      </c>
      <c r="P77" s="13">
        <f t="shared" si="87"/>
        <v>52.821523214676311</v>
      </c>
      <c r="Q77" s="20">
        <f t="shared" si="54"/>
        <v>464.81638876556104</v>
      </c>
      <c r="R77" s="59">
        <f t="shared" si="55"/>
        <v>758.14972209889436</v>
      </c>
      <c r="S77" s="59">
        <f ca="1">AVERAGE(OFFSET($R$3,0,0,'Données projet'!$E$9+1,1))-AVERAGE(OFFSET($H$3,0,0,'Données projet'!$E$9+1,1))</f>
        <v>215.55381529099924</v>
      </c>
      <c r="T77" s="59">
        <f t="shared" si="88"/>
        <v>158.77848520346532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 t="e">
        <f>EXP(-LN(2)/35)*Z76+(1-EXP(-LN(2)/35))/(LN(2)/35)*V77*W77*VLOOKUP('Données projet'!$B$9,Paramètres!$A$1:$I$89,3,0)*0.475*44/12</f>
        <v>#VALUE!</v>
      </c>
      <c r="AA77" s="21" t="e">
        <f>EXP(-LN(2)/25)*AA76+(1-EXP(-LN(2)/25))/(LN(2)/25)*Calculateur!V77*Calculateur!X77*VLOOKUP('Données projet'!$B$9,Paramètres!$A$1:$I$89,3,0)*0.475*44/12</f>
        <v>#VALUE!</v>
      </c>
      <c r="AB77" s="21" t="e">
        <f>EXP(-LN(2)/2)*AB76+(1-EXP(-LN(2)/2))/(LN(2)/2)*V77*Y77*VLOOKUP('Données projet'!$B$9,Paramètres!$A$1:$I$89,3,0)*0.475*44/12</f>
        <v>#VALUE!</v>
      </c>
      <c r="AC77" s="22" t="e">
        <f t="shared" si="57"/>
        <v>#VALUE!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12.782692307692301</v>
      </c>
      <c r="AI77" s="13">
        <f>IF('Données projet'!$A$62&gt;35,AI76+AH77-AQ76,IF(A77&lt;'Données projet'!$A$62,$AF$205^A77,IF(A77='Données projet'!$A$62,'Données projet'!$B$62,AI76+AH77-AQ76)))</f>
        <v>371.9019230769232</v>
      </c>
      <c r="AJ77" s="13">
        <f>AI77*VLOOKUP('Données projet'!$B$10,Paramètres!$A$1:$I$89,3,0)*VLOOKUP('Données projet'!$B$10,Paramètres!$A$1:$I$89,5,0)</f>
        <v>174.05010000000007</v>
      </c>
      <c r="AK77" s="13">
        <f t="shared" si="89"/>
        <v>43.995864533580125</v>
      </c>
      <c r="AL77" s="20">
        <f t="shared" si="58"/>
        <v>379.76338822931876</v>
      </c>
      <c r="AM77" s="59">
        <f t="shared" si="59"/>
        <v>673.09672156265208</v>
      </c>
      <c r="AN77" s="59">
        <f ca="1">AVERAGE(OFFSET($AM$3,0,0,'Données projet'!$E$10+1,1))-AVERAGE(OFFSET($H$3,0,0,'Données projet'!$E$10+1,1))</f>
        <v>205.31676282910638</v>
      </c>
      <c r="AO77" s="59">
        <f t="shared" si="90"/>
        <v>190.64998698136026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#VALUE!</v>
      </c>
      <c r="AV77" s="21" t="e">
        <f>EXP(-LN(2)/25)*AV76+(1-EXP(-LN(2)/25))/(LN(2)/25)*Calculateur!AQ77*Calculateur!AS77*VLOOKUP('Données projet'!$B$10,Paramètres!$A$1:$I$89,3,0)*0.475*44/12</f>
        <v>#VALUE!</v>
      </c>
      <c r="AW77" s="21" t="e">
        <f>EXP(-LN(2)/2)*AW76+(1-EXP(-LN(2)/2))/(LN(2)/2)*AQ77*AT77*VLOOKUP('Données projet'!$B$10,Paramètres!$A$1:$I$89,3,0)*0.475*44/12</f>
        <v>#VALUE!</v>
      </c>
      <c r="AX77" s="21" t="e">
        <f t="shared" si="60"/>
        <v>#VALUE!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7.6586538461538467</v>
      </c>
      <c r="N78" s="13">
        <f>IF('Données projet'!$A$36&gt;35,N77+M78-V77,IF(A78&lt;'Données projet'!$A$36,$K$205^A78,IF(A78='Données projet'!$A$36,'Données projet'!$B$36,N77+M78-V77)))</f>
        <v>365.61634615384605</v>
      </c>
      <c r="O78" s="13">
        <f>N78*VLOOKUP('Données projet'!$B$9,Paramètres!$A$1:$I$89,3,0)*VLOOKUP('Données projet'!$B$9,Paramètres!$A$1:$I$89,5,0)</f>
        <v>218.63857499999995</v>
      </c>
      <c r="P78" s="13">
        <f t="shared" si="87"/>
        <v>53.818879906531066</v>
      </c>
      <c r="Q78" s="20">
        <f t="shared" si="54"/>
        <v>474.53006729554141</v>
      </c>
      <c r="R78" s="59">
        <f t="shared" si="55"/>
        <v>767.86340062887473</v>
      </c>
      <c r="S78" s="59">
        <f ca="1">AVERAGE(OFFSET($R$3,0,0,'Données projet'!$E$9+1,1))-AVERAGE(OFFSET($H$3,0,0,'Données projet'!$E$9+1,1))</f>
        <v>215.55381529099924</v>
      </c>
      <c r="T78" s="59">
        <f t="shared" si="88"/>
        <v>158.77848520346532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 t="e">
        <f>EXP(-LN(2)/35)*Z77+(1-EXP(-LN(2)/35))/(LN(2)/35)*V78*W78*VLOOKUP('Données projet'!$B$9,Paramètres!$A$1:$I$89,3,0)*0.475*44/12</f>
        <v>#VALUE!</v>
      </c>
      <c r="AA78" s="21" t="e">
        <f>EXP(-LN(2)/25)*AA77+(1-EXP(-LN(2)/25))/(LN(2)/25)*Calculateur!V78*Calculateur!X78*VLOOKUP('Données projet'!$B$9,Paramètres!$A$1:$I$89,3,0)*0.475*44/12</f>
        <v>#VALUE!</v>
      </c>
      <c r="AB78" s="21" t="e">
        <f>EXP(-LN(2)/2)*AB77+(1-EXP(-LN(2)/2))/(LN(2)/2)*V78*Y78*VLOOKUP('Données projet'!$B$9,Paramètres!$A$1:$I$89,3,0)*0.475*44/12</f>
        <v>#VALUE!</v>
      </c>
      <c r="AC78" s="22" t="e">
        <f t="shared" si="57"/>
        <v>#VALUE!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384.68461538461537</v>
      </c>
      <c r="AG78" s="12">
        <f>VLOOKUP(A78,'Données projet'!$A$61:$I$81,9,0)</f>
        <v>12.782692307692301</v>
      </c>
      <c r="AH78" s="12">
        <f t="array" ref="AH78">INDEX(AG:AG,MIN(IF(ISNUMBER(AG78:AG274),ROW(AG78:AG274),"")))</f>
        <v>12.782692307692301</v>
      </c>
      <c r="AI78" s="13">
        <f>IF('Données projet'!$A$62&gt;35,AI77+AH78-AQ77,IF(A78&lt;'Données projet'!$A$62,$AF$205^A78,IF(A78='Données projet'!$A$62,'Données projet'!$B$62,AI77+AH78-AQ77)))</f>
        <v>384.68461538461548</v>
      </c>
      <c r="AJ78" s="13">
        <f>AI78*VLOOKUP('Données projet'!$B$10,Paramètres!$A$1:$I$89,3,0)*VLOOKUP('Données projet'!$B$10,Paramètres!$A$1:$I$89,5,0)</f>
        <v>180.03240000000002</v>
      </c>
      <c r="AK78" s="13">
        <f t="shared" si="89"/>
        <v>45.329394494119278</v>
      </c>
      <c r="AL78" s="20">
        <f t="shared" si="58"/>
        <v>392.50512541059106</v>
      </c>
      <c r="AM78" s="59">
        <f t="shared" si="59"/>
        <v>685.83845874392432</v>
      </c>
      <c r="AN78" s="59">
        <f ca="1">AVERAGE(OFFSET($AM$3,0,0,'Données projet'!$E$10+1,1))-AVERAGE(OFFSET($H$3,0,0,'Données projet'!$E$10+1,1))</f>
        <v>205.31676282910638</v>
      </c>
      <c r="AO78" s="59">
        <f t="shared" si="90"/>
        <v>190.64998698136026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 t="e">
        <f>IF(ISNA(VLOOKUP(A78,'Données projet'!$A$61:$I$81,6,0)),0%,VLOOKUP(A78,'Données projet'!$A$61:$I$81,6,0)*VLOOKUP('Données projet'!$B$10,Paramètres!$A$1:$I$89,7,0))</f>
        <v>#VALUE!</v>
      </c>
      <c r="AT78" s="16" t="str">
        <f>IF(ISNA(VLOOKUP(A78,'Données projet'!$A$61:$I$81,7,0)),0%,VLOOKUP(A78,'Données projet'!$A$61:$I$81,7,0))</f>
        <v/>
      </c>
      <c r="AU78" s="21" t="e">
        <f>EXP(-LN(2)/35)*AU77+(1-EXP(-LN(2)/35))/(LN(2)/35)*AQ78*AR78*VLOOKUP('Données projet'!$B$10,Paramètres!$A$1:$I$89,3,0)*0.475*44/12</f>
        <v>#VALUE!</v>
      </c>
      <c r="AV78" s="21" t="e">
        <f>EXP(-LN(2)/25)*AV77+(1-EXP(-LN(2)/25))/(LN(2)/25)*Calculateur!AQ78*Calculateur!AS78*VLOOKUP('Données projet'!$B$10,Paramètres!$A$1:$I$89,3,0)*0.475*44/12</f>
        <v>#VALUE!</v>
      </c>
      <c r="AW78" s="21" t="e">
        <f>EXP(-LN(2)/2)*AW77+(1-EXP(-LN(2)/2))/(LN(2)/2)*AQ78*AT78*VLOOKUP('Données projet'!$B$10,Paramètres!$A$1:$I$89,3,0)*0.475*44/12</f>
        <v>#VALUE!</v>
      </c>
      <c r="AX78" s="21" t="e">
        <f t="shared" si="60"/>
        <v>#VALUE!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7.6586538461538467</v>
      </c>
      <c r="N79" s="13">
        <f>IF('Données projet'!$A$36&gt;35,N78+M79-V78,IF(A79&lt;'Données projet'!$A$36,$K$205^A79,IF(A79='Données projet'!$A$36,'Données projet'!$B$36,N78+M79-V78)))</f>
        <v>373.27499999999992</v>
      </c>
      <c r="O79" s="13">
        <f>N79*VLOOKUP('Données projet'!$B$9,Paramètres!$A$1:$I$89,3,0)*VLOOKUP('Données projet'!$B$9,Paramètres!$A$1:$I$89,5,0)</f>
        <v>223.21844999999999</v>
      </c>
      <c r="P79" s="13">
        <f t="shared" si="87"/>
        <v>54.813807559081539</v>
      </c>
      <c r="Q79" s="20">
        <f t="shared" si="54"/>
        <v>484.2395152487336</v>
      </c>
      <c r="R79" s="59">
        <f t="shared" si="55"/>
        <v>777.57284858206685</v>
      </c>
      <c r="S79" s="59">
        <f ca="1">AVERAGE(OFFSET($R$3,0,0,'Données projet'!$E$9+1,1))-AVERAGE(OFFSET($H$3,0,0,'Données projet'!$E$9+1,1))</f>
        <v>215.55381529099924</v>
      </c>
      <c r="T79" s="59">
        <f t="shared" si="88"/>
        <v>158.77848520346532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 t="e">
        <f>EXP(-LN(2)/35)*Z78+(1-EXP(-LN(2)/35))/(LN(2)/35)*V79*W79*VLOOKUP('Données projet'!$B$9,Paramètres!$A$1:$I$89,3,0)*0.475*44/12</f>
        <v>#VALUE!</v>
      </c>
      <c r="AA79" s="21" t="e">
        <f>EXP(-LN(2)/25)*AA78+(1-EXP(-LN(2)/25))/(LN(2)/25)*Calculateur!V79*Calculateur!X79*VLOOKUP('Données projet'!$B$9,Paramètres!$A$1:$I$89,3,0)*0.475*44/12</f>
        <v>#VALUE!</v>
      </c>
      <c r="AB79" s="21" t="e">
        <f>EXP(-LN(2)/2)*AB78+(1-EXP(-LN(2)/2))/(LN(2)/2)*V79*Y79*VLOOKUP('Données projet'!$B$9,Paramètres!$A$1:$I$89,3,0)*0.475*44/12</f>
        <v>#VALUE!</v>
      </c>
      <c r="AC79" s="22" t="e">
        <f t="shared" si="57"/>
        <v>#VALUE!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13.044230769230765</v>
      </c>
      <c r="AI79" s="13">
        <f>IF('Données projet'!$A$62&gt;35,AI78+AH79-AQ78,IF(A79&lt;'Données projet'!$A$62,$AF$205^A79,IF(A79='Données projet'!$A$62,'Données projet'!$B$62,AI78+AH79-AQ78)))</f>
        <v>397.72884615384623</v>
      </c>
      <c r="AJ79" s="13">
        <f>AI79*VLOOKUP('Données projet'!$B$10,Paramètres!$A$1:$I$89,3,0)*VLOOKUP('Données projet'!$B$10,Paramètres!$A$1:$I$89,5,0)</f>
        <v>186.13710000000006</v>
      </c>
      <c r="AK79" s="13">
        <f t="shared" si="89"/>
        <v>46.68490223002113</v>
      </c>
      <c r="AL79" s="20">
        <f t="shared" si="58"/>
        <v>405.49832055062024</v>
      </c>
      <c r="AM79" s="59">
        <f t="shared" si="59"/>
        <v>698.83165388395355</v>
      </c>
      <c r="AN79" s="59">
        <f ca="1">AVERAGE(OFFSET($AM$3,0,0,'Données projet'!$E$10+1,1))-AVERAGE(OFFSET($H$3,0,0,'Données projet'!$E$10+1,1))</f>
        <v>205.31676282910638</v>
      </c>
      <c r="AO79" s="59">
        <f t="shared" si="90"/>
        <v>190.64998698136026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#VALUE!</v>
      </c>
      <c r="AV79" s="21" t="e">
        <f>EXP(-LN(2)/25)*AV78+(1-EXP(-LN(2)/25))/(LN(2)/25)*Calculateur!AQ79*Calculateur!AS79*VLOOKUP('Données projet'!$B$10,Paramètres!$A$1:$I$89,3,0)*0.475*44/12</f>
        <v>#VALUE!</v>
      </c>
      <c r="AW79" s="21" t="e">
        <f>EXP(-LN(2)/2)*AW78+(1-EXP(-LN(2)/2))/(LN(2)/2)*AQ79*AT79*VLOOKUP('Données projet'!$B$10,Paramètres!$A$1:$I$89,3,0)*0.475*44/12</f>
        <v>#VALUE!</v>
      </c>
      <c r="AX79" s="21" t="e">
        <f t="shared" si="60"/>
        <v>#VALUE!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7.6586538461538467</v>
      </c>
      <c r="N80" s="13">
        <f>IF('Données projet'!$A$36&gt;35,N79+M80-V79,IF(A80&lt;'Données projet'!$A$36,$K$205^A80,IF(A80='Données projet'!$A$36,'Données projet'!$B$36,N79+M80-V79)))</f>
        <v>380.93365384615379</v>
      </c>
      <c r="O80" s="13">
        <f>N80*VLOOKUP('Données projet'!$B$9,Paramètres!$A$1:$I$89,3,0)*VLOOKUP('Données projet'!$B$9,Paramètres!$A$1:$I$89,5,0)</f>
        <v>227.79832499999998</v>
      </c>
      <c r="P80" s="13">
        <f t="shared" si="87"/>
        <v>55.806361752633116</v>
      </c>
      <c r="Q80" s="20">
        <f t="shared" si="54"/>
        <v>493.94482942750261</v>
      </c>
      <c r="R80" s="59">
        <f t="shared" si="55"/>
        <v>787.27816276083593</v>
      </c>
      <c r="S80" s="59">
        <f ca="1">AVERAGE(OFFSET($R$3,0,0,'Données projet'!$E$9+1,1))-AVERAGE(OFFSET($H$3,0,0,'Données projet'!$E$9+1,1))</f>
        <v>215.55381529099924</v>
      </c>
      <c r="T80" s="59">
        <f t="shared" si="88"/>
        <v>158.77848520346532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 t="e">
        <f>EXP(-LN(2)/35)*Z79+(1-EXP(-LN(2)/35))/(LN(2)/35)*V80*W80*VLOOKUP('Données projet'!$B$9,Paramètres!$A$1:$I$89,3,0)*0.475*44/12</f>
        <v>#VALUE!</v>
      </c>
      <c r="AA80" s="21" t="e">
        <f>EXP(-LN(2)/25)*AA79+(1-EXP(-LN(2)/25))/(LN(2)/25)*Calculateur!V80*Calculateur!X80*VLOOKUP('Données projet'!$B$9,Paramètres!$A$1:$I$89,3,0)*0.475*44/12</f>
        <v>#VALUE!</v>
      </c>
      <c r="AB80" s="21" t="e">
        <f>EXP(-LN(2)/2)*AB79+(1-EXP(-LN(2)/2))/(LN(2)/2)*V80*Y80*VLOOKUP('Données projet'!$B$9,Paramètres!$A$1:$I$89,3,0)*0.475*44/12</f>
        <v>#VALUE!</v>
      </c>
      <c r="AC80" s="22" t="e">
        <f t="shared" si="57"/>
        <v>#VALUE!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13.044230769230765</v>
      </c>
      <c r="AI80" s="13">
        <f>IF('Données projet'!$A$62&gt;35,AI79+AH80-AQ79,IF(A80&lt;'Données projet'!$A$62,$AF$205^A80,IF(A80='Données projet'!$A$62,'Données projet'!$B$62,AI79+AH80-AQ79)))</f>
        <v>410.77307692307699</v>
      </c>
      <c r="AJ80" s="13">
        <f>AI80*VLOOKUP('Données projet'!$B$10,Paramètres!$A$1:$I$89,3,0)*VLOOKUP('Données projet'!$B$10,Paramètres!$A$1:$I$89,5,0)</f>
        <v>192.24180000000004</v>
      </c>
      <c r="AK80" s="13">
        <f t="shared" si="89"/>
        <v>48.035244138208888</v>
      </c>
      <c r="AL80" s="20">
        <f t="shared" si="58"/>
        <v>418.4825185407139</v>
      </c>
      <c r="AM80" s="59">
        <f t="shared" si="59"/>
        <v>711.81585187404721</v>
      </c>
      <c r="AN80" s="59">
        <f ca="1">AVERAGE(OFFSET($AM$3,0,0,'Données projet'!$E$10+1,1))-AVERAGE(OFFSET($H$3,0,0,'Données projet'!$E$10+1,1))</f>
        <v>205.31676282910638</v>
      </c>
      <c r="AO80" s="59">
        <f t="shared" si="90"/>
        <v>190.64998698136026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#VALUE!</v>
      </c>
      <c r="AV80" s="21" t="e">
        <f>EXP(-LN(2)/25)*AV79+(1-EXP(-LN(2)/25))/(LN(2)/25)*Calculateur!AQ80*Calculateur!AS80*VLOOKUP('Données projet'!$B$10,Paramètres!$A$1:$I$89,3,0)*0.475*44/12</f>
        <v>#VALUE!</v>
      </c>
      <c r="AW80" s="21" t="e">
        <f>EXP(-LN(2)/2)*AW79+(1-EXP(-LN(2)/2))/(LN(2)/2)*AQ80*AT80*VLOOKUP('Données projet'!$B$10,Paramètres!$A$1:$I$89,3,0)*0.475*44/12</f>
        <v>#VALUE!</v>
      </c>
      <c r="AX80" s="21" t="e">
        <f t="shared" si="60"/>
        <v>#VALUE!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>
        <f>VLOOKUP(A81,'Données projet'!$A$35:$I$55,2,0)</f>
        <v>388.59230769230771</v>
      </c>
      <c r="L81" s="12">
        <f>VLOOKUP(A81,'Données projet'!$A$35:$I$55,9,0)</f>
        <v>7.6586538461538467</v>
      </c>
      <c r="M81" s="12">
        <f t="array" ref="M81">INDEX(L:L,MIN(IF(ISNUMBER(L81:L277),ROW(L81:L277),"")))</f>
        <v>7.6586538461538467</v>
      </c>
      <c r="N81" s="13">
        <f>IF('Données projet'!$A$36&gt;35,N80+M81-V80,IF(A81&lt;'Données projet'!$A$36,$K$205^A81,IF(A81='Données projet'!$A$36,'Données projet'!$B$36,N80+M81-V80)))</f>
        <v>388.59230769230766</v>
      </c>
      <c r="O81" s="13">
        <f>N81*VLOOKUP('Données projet'!$B$9,Paramètres!$A$1:$I$89,3,0)*VLOOKUP('Données projet'!$B$9,Paramètres!$A$1:$I$89,5,0)</f>
        <v>232.37819999999999</v>
      </c>
      <c r="P81" s="13">
        <f t="shared" si="87"/>
        <v>56.796595704829691</v>
      </c>
      <c r="Q81" s="20">
        <f t="shared" si="54"/>
        <v>503.64610251924501</v>
      </c>
      <c r="R81" s="59">
        <f t="shared" si="55"/>
        <v>796.97943585257826</v>
      </c>
      <c r="S81" s="59">
        <f ca="1">AVERAGE(OFFSET($R$3,0,0,'Données projet'!$E$9+1,1))-AVERAGE(OFFSET($H$3,0,0,'Données projet'!$E$9+1,1))</f>
        <v>215.55381529099924</v>
      </c>
      <c r="T81" s="59">
        <f t="shared" si="88"/>
        <v>158.77848520346532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 t="e">
        <f>IF(ISNA(VLOOKUP(A81,'Données projet'!$A$35:$I$55,5,0)),0%,VLOOKUP(A81,'Données projet'!$A$35:$I$55,5,0)*VLOOKUP('Données projet'!$B$9,Paramètres!$A$1:$I$89,7,0))</f>
        <v>#VALUE!</v>
      </c>
      <c r="X81" s="16" t="e">
        <f>IF(ISNA(VLOOKUP(A81,'Données projet'!$A$35:$I$55,6,0)),0%,VLOOKUP(A81,'Données projet'!$A$35:$I$55,6,0)*VLOOKUP('Données projet'!$B$9,Paramètres!$A$1:$I$89,7,0))</f>
        <v>#VALUE!</v>
      </c>
      <c r="Y81" s="16" t="str">
        <f>IF(ISNA(VLOOKUP(A81,'Données projet'!$A$35:$I$55,7,0)),0%,VLOOKUP(A81,'Données projet'!$A$35:$I$55,7,0))</f>
        <v/>
      </c>
      <c r="Z81" s="21" t="e">
        <f>EXP(-LN(2)/35)*Z80+(1-EXP(-LN(2)/35))/(LN(2)/35)*V81*W81*VLOOKUP('Données projet'!$B$9,Paramètres!$A$1:$I$89,3,0)*0.475*44/12</f>
        <v>#VALUE!</v>
      </c>
      <c r="AA81" s="21" t="e">
        <f>EXP(-LN(2)/25)*AA80+(1-EXP(-LN(2)/25))/(LN(2)/25)*Calculateur!V81*Calculateur!X81*VLOOKUP('Données projet'!$B$9,Paramètres!$A$1:$I$89,3,0)*0.475*44/12</f>
        <v>#VALUE!</v>
      </c>
      <c r="AB81" s="21" t="e">
        <f>EXP(-LN(2)/2)*AB80+(1-EXP(-LN(2)/2))/(LN(2)/2)*V81*Y81*VLOOKUP('Données projet'!$B$9,Paramètres!$A$1:$I$89,3,0)*0.475*44/12</f>
        <v>#VALUE!</v>
      </c>
      <c r="AC81" s="22" t="e">
        <f t="shared" si="57"/>
        <v>#VALUE!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13.044230769230765</v>
      </c>
      <c r="AI81" s="13">
        <f>IF('Données projet'!$A$62&gt;35,AI80+AH81-AQ80,IF(A81&lt;'Données projet'!$A$62,$AF$205^A81,IF(A81='Données projet'!$A$62,'Données projet'!$B$62,AI80+AH81-AQ80)))</f>
        <v>423.81730769230774</v>
      </c>
      <c r="AJ81" s="13">
        <f>AI81*VLOOKUP('Données projet'!$B$10,Paramètres!$A$1:$I$89,3,0)*VLOOKUP('Données projet'!$B$10,Paramètres!$A$1:$I$89,5,0)</f>
        <v>198.34650000000002</v>
      </c>
      <c r="AK81" s="13">
        <f t="shared" si="89"/>
        <v>49.380603080072333</v>
      </c>
      <c r="AL81" s="20">
        <f t="shared" si="58"/>
        <v>431.45803786445936</v>
      </c>
      <c r="AM81" s="59">
        <f t="shared" si="59"/>
        <v>724.79137119779261</v>
      </c>
      <c r="AN81" s="59">
        <f ca="1">AVERAGE(OFFSET($AM$3,0,0,'Données projet'!$E$10+1,1))-AVERAGE(OFFSET($H$3,0,0,'Données projet'!$E$10+1,1))</f>
        <v>205.31676282910638</v>
      </c>
      <c r="AO81" s="59">
        <f t="shared" si="90"/>
        <v>190.64998698136026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#VALUE!</v>
      </c>
      <c r="AV81" s="21" t="e">
        <f>EXP(-LN(2)/25)*AV80+(1-EXP(-LN(2)/25))/(LN(2)/25)*Calculateur!AQ81*Calculateur!AS81*VLOOKUP('Données projet'!$B$10,Paramètres!$A$1:$I$89,3,0)*0.475*44/12</f>
        <v>#VALUE!</v>
      </c>
      <c r="AW81" s="21" t="e">
        <f>EXP(-LN(2)/2)*AW80+(1-EXP(-LN(2)/2))/(LN(2)/2)*AQ81*AT81*VLOOKUP('Données projet'!$B$10,Paramètres!$A$1:$I$89,3,0)*0.475*44/12</f>
        <v>#VALUE!</v>
      </c>
      <c r="AX81" s="21" t="e">
        <f t="shared" si="60"/>
        <v>#VALUE!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7.1576923076922867</v>
      </c>
      <c r="N82" s="13">
        <f>IF('Données projet'!$A$36&gt;35,N81+M82-V81,IF(A82&lt;'Données projet'!$A$36,$K$205^A82,IF(A82='Données projet'!$A$36,'Données projet'!$B$36,N81+M82-V81)))</f>
        <v>395.74999999999994</v>
      </c>
      <c r="O82" s="13">
        <f>N82*VLOOKUP('Données projet'!$B$9,Paramètres!$A$1:$I$89,3,0)*VLOOKUP('Données projet'!$B$9,Paramètres!$A$1:$I$89,5,0)</f>
        <v>236.6585</v>
      </c>
      <c r="P82" s="13">
        <f t="shared" si="87"/>
        <v>57.72000487167319</v>
      </c>
      <c r="Q82" s="20">
        <f t="shared" si="54"/>
        <v>512.70922931816415</v>
      </c>
      <c r="R82" s="59">
        <f t="shared" si="55"/>
        <v>806.04256265149752</v>
      </c>
      <c r="S82" s="59">
        <f ca="1">AVERAGE(OFFSET($R$3,0,0,'Données projet'!$E$9+1,1))-AVERAGE(OFFSET($H$3,0,0,'Données projet'!$E$9+1,1))</f>
        <v>215.55381529099924</v>
      </c>
      <c r="T82" s="59">
        <f t="shared" si="88"/>
        <v>158.77848520346532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 t="e">
        <f>EXP(-LN(2)/35)*Z81+(1-EXP(-LN(2)/35))/(LN(2)/35)*V82*W82*VLOOKUP('Données projet'!$B$9,Paramètres!$A$1:$I$89,3,0)*0.475*44/12</f>
        <v>#VALUE!</v>
      </c>
      <c r="AA82" s="21" t="e">
        <f>EXP(-LN(2)/25)*AA81+(1-EXP(-LN(2)/25))/(LN(2)/25)*Calculateur!V82*Calculateur!X82*VLOOKUP('Données projet'!$B$9,Paramètres!$A$1:$I$89,3,0)*0.475*44/12</f>
        <v>#VALUE!</v>
      </c>
      <c r="AB82" s="21" t="e">
        <f>EXP(-LN(2)/2)*AB81+(1-EXP(-LN(2)/2))/(LN(2)/2)*V82*Y82*VLOOKUP('Données projet'!$B$9,Paramètres!$A$1:$I$89,3,0)*0.475*44/12</f>
        <v>#VALUE!</v>
      </c>
      <c r="AC82" s="22" t="e">
        <f t="shared" si="57"/>
        <v>#VALUE!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436.86153846153843</v>
      </c>
      <c r="AG82" s="12">
        <f>VLOOKUP(A82,'Données projet'!$A$61:$I$81,9,0)</f>
        <v>13.044230769230765</v>
      </c>
      <c r="AH82" s="12">
        <f t="array" ref="AH82">INDEX(AG:AG,MIN(IF(ISNUMBER(AG82:AG278),ROW(AG82:AG278),"")))</f>
        <v>13.044230769230765</v>
      </c>
      <c r="AI82" s="13">
        <f>IF('Données projet'!$A$62&gt;35,AI81+AH82-AQ81,IF(A82&lt;'Données projet'!$A$62,$AF$205^A82,IF(A82='Données projet'!$A$62,'Données projet'!$B$62,AI81+AH82-AQ81)))</f>
        <v>436.86153846153849</v>
      </c>
      <c r="AJ82" s="13">
        <f>AI82*VLOOKUP('Données projet'!$B$10,Paramètres!$A$1:$I$89,3,0)*VLOOKUP('Données projet'!$B$10,Paramètres!$A$1:$I$89,5,0)</f>
        <v>204.4512</v>
      </c>
      <c r="AK82" s="13">
        <f t="shared" si="89"/>
        <v>50.72115002130591</v>
      </c>
      <c r="AL82" s="20">
        <f t="shared" si="58"/>
        <v>444.42517628710772</v>
      </c>
      <c r="AM82" s="59">
        <f t="shared" si="59"/>
        <v>737.75850962044103</v>
      </c>
      <c r="AN82" s="59">
        <f ca="1">AVERAGE(OFFSET($AM$3,0,0,'Données projet'!$E$10+1,1))-AVERAGE(OFFSET($H$3,0,0,'Données projet'!$E$10+1,1))</f>
        <v>205.31676282910638</v>
      </c>
      <c r="AO82" s="59">
        <f t="shared" si="90"/>
        <v>190.64998698136026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77.338461538461544</v>
      </c>
      <c r="AR82" s="16">
        <f>IF(ISNA(VLOOKUP(A82,'Données projet'!$A$61:$I$81,5,0)),0%,VLOOKUP(A82,'Données projet'!$A$61:$I$81,5,0)*VLOOKUP('Données projet'!$B$10,Paramètres!$A$1:$I$89,7,0))</f>
        <v>0</v>
      </c>
      <c r="AS82" s="16" t="e">
        <f>IF(ISNA(VLOOKUP(A82,'Données projet'!$A$61:$I$81,6,0)),0%,VLOOKUP(A82,'Données projet'!$A$61:$I$81,6,0)*VLOOKUP('Données projet'!$B$10,Paramètres!$A$1:$I$89,7,0))</f>
        <v>#VALUE!</v>
      </c>
      <c r="AT82" s="16" t="str">
        <f>IF(ISNA(VLOOKUP(A82,'Données projet'!$A$61:$I$81,7,0)),0%,VLOOKUP(A82,'Données projet'!$A$61:$I$81,7,0))</f>
        <v/>
      </c>
      <c r="AU82" s="21" t="e">
        <f>EXP(-LN(2)/35)*AU81+(1-EXP(-LN(2)/35))/(LN(2)/35)*AQ82*AR82*VLOOKUP('Données projet'!$B$10,Paramètres!$A$1:$I$89,3,0)*0.475*44/12</f>
        <v>#VALUE!</v>
      </c>
      <c r="AV82" s="21" t="e">
        <f>EXP(-LN(2)/25)*AV81+(1-EXP(-LN(2)/25))/(LN(2)/25)*Calculateur!AQ82*Calculateur!AS82*VLOOKUP('Données projet'!$B$10,Paramètres!$A$1:$I$89,3,0)*0.475*44/12</f>
        <v>#VALUE!</v>
      </c>
      <c r="AW82" s="21" t="e">
        <f>EXP(-LN(2)/2)*AW81+(1-EXP(-LN(2)/2))/(LN(2)/2)*AQ82*AT82*VLOOKUP('Données projet'!$B$10,Paramètres!$A$1:$I$89,3,0)*0.475*44/12</f>
        <v>#VALUE!</v>
      </c>
      <c r="AX82" s="21" t="e">
        <f t="shared" si="60"/>
        <v>#VALUE!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402.90769230769229</v>
      </c>
      <c r="L83" s="12">
        <f>VLOOKUP(A83,'Données projet'!$A$35:$I$55,9,0)</f>
        <v>7.1576923076922867</v>
      </c>
      <c r="M83" s="12">
        <f t="array" ref="M83">INDEX(L:L,MIN(IF(ISNUMBER(L83:L279),ROW(L83:L279),"")))</f>
        <v>7.1576923076922867</v>
      </c>
      <c r="N83" s="13">
        <f>IF('Données projet'!$A$36&gt;35,N82+M83-V82,IF(A83&lt;'Données projet'!$A$36,$K$205^A83,IF(A83='Données projet'!$A$36,'Données projet'!$B$36,N82+M83-V82)))</f>
        <v>402.90769230769223</v>
      </c>
      <c r="O83" s="13">
        <f>N83*VLOOKUP('Données projet'!$B$9,Paramètres!$A$1:$I$89,3,0)*VLOOKUP('Données projet'!$B$9,Paramètres!$A$1:$I$89,5,0)</f>
        <v>240.93879999999996</v>
      </c>
      <c r="P83" s="13">
        <f t="shared" si="87"/>
        <v>58.64147195802871</v>
      </c>
      <c r="Q83" s="20">
        <f t="shared" si="54"/>
        <v>521.76897366023331</v>
      </c>
      <c r="R83" s="59">
        <f t="shared" si="55"/>
        <v>815.10230699356657</v>
      </c>
      <c r="S83" s="59">
        <f ca="1">AVERAGE(OFFSET($R$3,0,0,'Données projet'!$E$9+1,1))-AVERAGE(OFFSET($H$3,0,0,'Données projet'!$E$9+1,1))</f>
        <v>215.55381529099924</v>
      </c>
      <c r="T83" s="59">
        <f t="shared" si="88"/>
        <v>158.77848520346532</v>
      </c>
      <c r="U83" s="15">
        <f>IF(ISNA(VLOOKUP(A83,'Données projet'!$A$35:$I$55,3,0)),0,VLOOKUP(A83,'Données projet'!$A$35:$I$55,3,0))</f>
        <v>8</v>
      </c>
      <c r="V83" s="15">
        <f>IF(ISNA(VLOOKUP(A83,'Données projet'!$A$35:$I$55,4,0)),0,VLOOKUP(A83,'Données projet'!$A$35:$I$55,4,0))</f>
        <v>402.90769230769229</v>
      </c>
      <c r="W83" s="16" t="e">
        <f>IF(ISNA(VLOOKUP(A83,'Données projet'!$A$35:$I$55,5,0)),0%,VLOOKUP(A83,'Données projet'!$A$35:$I$55,5,0)*VLOOKUP('Données projet'!$B$9,Paramètres!$A$1:$I$89,7,0))</f>
        <v>#VALUE!</v>
      </c>
      <c r="X83" s="16" t="e">
        <f>IF(ISNA(VLOOKUP(A83,'Données projet'!$A$35:$I$55,6,0)),0%,VLOOKUP(A83,'Données projet'!$A$35:$I$55,6,0)*VLOOKUP('Données projet'!$B$9,Paramètres!$A$1:$I$89,7,0))</f>
        <v>#VALUE!</v>
      </c>
      <c r="Y83" s="16" t="str">
        <f>IF(ISNA(VLOOKUP(A83,'Données projet'!$A$35:$I$55,7,0)),0%,VLOOKUP(A83,'Données projet'!$A$35:$I$55,7,0))</f>
        <v/>
      </c>
      <c r="Z83" s="21" t="e">
        <f>EXP(-LN(2)/35)*Z82+(1-EXP(-LN(2)/35))/(LN(2)/35)*V83*W83*VLOOKUP('Données projet'!$B$9,Paramètres!$A$1:$I$89,3,0)*0.475*44/12</f>
        <v>#VALUE!</v>
      </c>
      <c r="AA83" s="21" t="e">
        <f>EXP(-LN(2)/25)*AA82+(1-EXP(-LN(2)/25))/(LN(2)/25)*Calculateur!V83*Calculateur!X83*VLOOKUP('Données projet'!$B$9,Paramètres!$A$1:$I$89,3,0)*0.475*44/12</f>
        <v>#VALUE!</v>
      </c>
      <c r="AB83" s="21" t="e">
        <f>EXP(-LN(2)/2)*AB82+(1-EXP(-LN(2)/2))/(LN(2)/2)*V83*Y83*VLOOKUP('Données projet'!$B$9,Paramètres!$A$1:$I$89,3,0)*0.475*44/12</f>
        <v>#VALUE!</v>
      </c>
      <c r="AC83" s="22" t="e">
        <f t="shared" si="57"/>
        <v>#VALUE!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12.053846153846152</v>
      </c>
      <c r="AI83" s="13">
        <f>IF('Données projet'!$A$62&gt;35,AI82+AH83-AQ82,IF(A83&lt;'Données projet'!$A$62,$AF$205^A83,IF(A83='Données projet'!$A$62,'Données projet'!$B$62,AI82+AH83-AQ82)))</f>
        <v>371.57692307692309</v>
      </c>
      <c r="AJ83" s="13">
        <f>AI83*VLOOKUP('Données projet'!$B$10,Paramètres!$A$1:$I$89,3,0)*VLOOKUP('Données projet'!$B$10,Paramètres!$A$1:$I$89,5,0)</f>
        <v>173.898</v>
      </c>
      <c r="AK83" s="13">
        <f t="shared" si="89"/>
        <v>43.961890696862454</v>
      </c>
      <c r="AL83" s="20">
        <f t="shared" si="58"/>
        <v>379.43930963036883</v>
      </c>
      <c r="AM83" s="59">
        <f t="shared" si="59"/>
        <v>672.77264296370208</v>
      </c>
      <c r="AN83" s="59">
        <f ca="1">AVERAGE(OFFSET($AM$3,0,0,'Données projet'!$E$10+1,1))-AVERAGE(OFFSET($H$3,0,0,'Données projet'!$E$10+1,1))</f>
        <v>205.31676282910638</v>
      </c>
      <c r="AO83" s="59">
        <f t="shared" si="90"/>
        <v>190.64998698136026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#VALUE!</v>
      </c>
      <c r="AV83" s="21" t="e">
        <f>EXP(-LN(2)/25)*AV82+(1-EXP(-LN(2)/25))/(LN(2)/25)*Calculateur!AQ83*Calculateur!AS83*VLOOKUP('Données projet'!$B$10,Paramètres!$A$1:$I$89,3,0)*0.475*44/12</f>
        <v>#VALUE!</v>
      </c>
      <c r="AW83" s="21" t="e">
        <f>EXP(-LN(2)/2)*AW82+(1-EXP(-LN(2)/2))/(LN(2)/2)*AQ83*AT83*VLOOKUP('Données projet'!$B$10,Paramètres!$A$1:$I$89,3,0)*0.475*44/12</f>
        <v>#VALUE!</v>
      </c>
      <c r="AX83" s="21" t="e">
        <f t="shared" si="60"/>
        <v>#VALUE!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215.55381529099924</v>
      </c>
      <c r="T84" s="59">
        <f t="shared" si="88"/>
        <v>158.77848520346532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 t="e">
        <f>EXP(-LN(2)/35)*Z83+(1-EXP(-LN(2)/35))/(LN(2)/35)*V84*W84*VLOOKUP('Données projet'!$B$9,Paramètres!$A$1:$I$89,3,0)*0.475*44/12</f>
        <v>#VALUE!</v>
      </c>
      <c r="AA84" s="21" t="e">
        <f>EXP(-LN(2)/25)*AA83+(1-EXP(-LN(2)/25))/(LN(2)/25)*Calculateur!V84*Calculateur!X84*VLOOKUP('Données projet'!$B$9,Paramètres!$A$1:$I$89,3,0)*0.475*44/12</f>
        <v>#VALUE!</v>
      </c>
      <c r="AB84" s="21" t="e">
        <f>EXP(-LN(2)/2)*AB83+(1-EXP(-LN(2)/2))/(LN(2)/2)*V84*Y84*VLOOKUP('Données projet'!$B$9,Paramètres!$A$1:$I$89,3,0)*0.475*44/12</f>
        <v>#VALUE!</v>
      </c>
      <c r="AC84" s="22" t="e">
        <f t="shared" si="57"/>
        <v>#VALUE!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12.053846153846152</v>
      </c>
      <c r="AI84" s="13">
        <f>IF('Données projet'!$A$62&gt;35,AI83+AH84-AQ83,IF(A84&lt;'Données projet'!$A$62,$AF$205^A84,IF(A84='Données projet'!$A$62,'Données projet'!$B$62,AI83+AH84-AQ83)))</f>
        <v>383.63076923076926</v>
      </c>
      <c r="AJ84" s="13">
        <f>AI84*VLOOKUP('Données projet'!$B$10,Paramètres!$A$1:$I$89,3,0)*VLOOKUP('Données projet'!$B$10,Paramètres!$A$1:$I$89,5,0)</f>
        <v>179.53920000000002</v>
      </c>
      <c r="AK84" s="13">
        <f t="shared" si="89"/>
        <v>45.21965136714217</v>
      </c>
      <c r="AL84" s="20">
        <f t="shared" si="58"/>
        <v>391.45499946443937</v>
      </c>
      <c r="AM84" s="59">
        <f t="shared" si="59"/>
        <v>684.78833279777268</v>
      </c>
      <c r="AN84" s="59">
        <f ca="1">AVERAGE(OFFSET($AM$3,0,0,'Données projet'!$E$10+1,1))-AVERAGE(OFFSET($H$3,0,0,'Données projet'!$E$10+1,1))</f>
        <v>205.31676282910638</v>
      </c>
      <c r="AO84" s="59">
        <f t="shared" si="90"/>
        <v>190.64998698136026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#VALUE!</v>
      </c>
      <c r="AV84" s="21" t="e">
        <f>EXP(-LN(2)/25)*AV83+(1-EXP(-LN(2)/25))/(LN(2)/25)*Calculateur!AQ84*Calculateur!AS84*VLOOKUP('Données projet'!$B$10,Paramètres!$A$1:$I$89,3,0)*0.475*44/12</f>
        <v>#VALUE!</v>
      </c>
      <c r="AW84" s="21" t="e">
        <f>EXP(-LN(2)/2)*AW83+(1-EXP(-LN(2)/2))/(LN(2)/2)*AQ84*AT84*VLOOKUP('Données projet'!$B$10,Paramètres!$A$1:$I$89,3,0)*0.475*44/12</f>
        <v>#VALUE!</v>
      </c>
      <c r="AX84" s="21" t="e">
        <f t="shared" si="60"/>
        <v>#VALUE!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215.55381529099924</v>
      </c>
      <c r="T85" s="59">
        <f t="shared" si="88"/>
        <v>158.77848520346532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 t="e">
        <f>EXP(-LN(2)/35)*Z84+(1-EXP(-LN(2)/35))/(LN(2)/35)*V85*W85*VLOOKUP('Données projet'!$B$9,Paramètres!$A$1:$I$89,3,0)*0.475*44/12</f>
        <v>#VALUE!</v>
      </c>
      <c r="AA85" s="21" t="e">
        <f>EXP(-LN(2)/25)*AA84+(1-EXP(-LN(2)/25))/(LN(2)/25)*Calculateur!V85*Calculateur!X85*VLOOKUP('Données projet'!$B$9,Paramètres!$A$1:$I$89,3,0)*0.475*44/12</f>
        <v>#VALUE!</v>
      </c>
      <c r="AB85" s="21" t="e">
        <f>EXP(-LN(2)/2)*AB84+(1-EXP(-LN(2)/2))/(LN(2)/2)*V85*Y85*VLOOKUP('Données projet'!$B$9,Paramètres!$A$1:$I$89,3,0)*0.475*44/12</f>
        <v>#VALUE!</v>
      </c>
      <c r="AC85" s="22" t="e">
        <f t="shared" si="57"/>
        <v>#VALUE!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12.053846153846152</v>
      </c>
      <c r="AI85" s="13">
        <f>IF('Données projet'!$A$62&gt;35,AI84+AH85-AQ84,IF(A85&lt;'Données projet'!$A$62,$AF$205^A85,IF(A85='Données projet'!$A$62,'Données projet'!$B$62,AI84+AH85-AQ84)))</f>
        <v>395.68461538461543</v>
      </c>
      <c r="AJ85" s="13">
        <f>AI85*VLOOKUP('Données projet'!$B$10,Paramètres!$A$1:$I$89,3,0)*VLOOKUP('Données projet'!$B$10,Paramètres!$A$1:$I$89,5,0)</f>
        <v>185.18039999999999</v>
      </c>
      <c r="AK85" s="13">
        <f t="shared" si="89"/>
        <v>46.472819583921257</v>
      </c>
      <c r="AL85" s="20">
        <f t="shared" si="58"/>
        <v>403.46269077532946</v>
      </c>
      <c r="AM85" s="59">
        <f t="shared" si="59"/>
        <v>696.79602410866278</v>
      </c>
      <c r="AN85" s="59">
        <f ca="1">AVERAGE(OFFSET($AM$3,0,0,'Données projet'!$E$10+1,1))-AVERAGE(OFFSET($H$3,0,0,'Données projet'!$E$10+1,1))</f>
        <v>205.31676282910638</v>
      </c>
      <c r="AO85" s="59">
        <f t="shared" si="90"/>
        <v>190.64998698136026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#VALUE!</v>
      </c>
      <c r="AV85" s="21" t="e">
        <f>EXP(-LN(2)/25)*AV84+(1-EXP(-LN(2)/25))/(LN(2)/25)*Calculateur!AQ85*Calculateur!AS85*VLOOKUP('Données projet'!$B$10,Paramètres!$A$1:$I$89,3,0)*0.475*44/12</f>
        <v>#VALUE!</v>
      </c>
      <c r="AW85" s="21" t="e">
        <f>EXP(-LN(2)/2)*AW84+(1-EXP(-LN(2)/2))/(LN(2)/2)*AQ85*AT85*VLOOKUP('Données projet'!$B$10,Paramètres!$A$1:$I$89,3,0)*0.475*44/12</f>
        <v>#VALUE!</v>
      </c>
      <c r="AX85" s="21" t="e">
        <f t="shared" si="60"/>
        <v>#VALUE!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215.55381529099924</v>
      </c>
      <c r="T86" s="59">
        <f t="shared" si="88"/>
        <v>158.77848520346532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 t="e">
        <f>EXP(-LN(2)/35)*Z85+(1-EXP(-LN(2)/35))/(LN(2)/35)*V86*W86*VLOOKUP('Données projet'!$B$9,Paramètres!$A$1:$I$89,3,0)*0.475*44/12</f>
        <v>#VALUE!</v>
      </c>
      <c r="AA86" s="21" t="e">
        <f>EXP(-LN(2)/25)*AA85+(1-EXP(-LN(2)/25))/(LN(2)/25)*Calculateur!V86*Calculateur!X86*VLOOKUP('Données projet'!$B$9,Paramètres!$A$1:$I$89,3,0)*0.475*44/12</f>
        <v>#VALUE!</v>
      </c>
      <c r="AB86" s="21" t="e">
        <f>EXP(-LN(2)/2)*AB85+(1-EXP(-LN(2)/2))/(LN(2)/2)*V86*Y86*VLOOKUP('Données projet'!$B$9,Paramètres!$A$1:$I$89,3,0)*0.475*44/12</f>
        <v>#VALUE!</v>
      </c>
      <c r="AC86" s="22" t="e">
        <f t="shared" si="57"/>
        <v>#VALUE!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407.73846153846148</v>
      </c>
      <c r="AG86" s="12">
        <f>VLOOKUP(A86,'Données projet'!$A$61:$I$81,9,0)</f>
        <v>12.053846153846152</v>
      </c>
      <c r="AH86" s="12">
        <f t="array" ref="AH86">INDEX(AG:AG,MIN(IF(ISNUMBER(AG86:AG282),ROW(AG86:AG282),"")))</f>
        <v>12.053846153846152</v>
      </c>
      <c r="AI86" s="13">
        <f>IF('Données projet'!$A$62&gt;35,AI85+AH86-AQ85,IF(A86&lt;'Données projet'!$A$62,$AF$205^A86,IF(A86='Données projet'!$A$62,'Données projet'!$B$62,AI85+AH86-AQ85)))</f>
        <v>407.73846153846159</v>
      </c>
      <c r="AJ86" s="13">
        <f>AI86*VLOOKUP('Données projet'!$B$10,Paramètres!$A$1:$I$89,3,0)*VLOOKUP('Données projet'!$B$10,Paramètres!$A$1:$I$89,5,0)</f>
        <v>190.82160000000002</v>
      </c>
      <c r="AK86" s="13">
        <f t="shared" si="89"/>
        <v>47.721551305172831</v>
      </c>
      <c r="AL86" s="20">
        <f t="shared" si="58"/>
        <v>415.46265518984268</v>
      </c>
      <c r="AM86" s="59">
        <f t="shared" si="59"/>
        <v>708.79598852317599</v>
      </c>
      <c r="AN86" s="59">
        <f ca="1">AVERAGE(OFFSET($AM$3,0,0,'Données projet'!$E$10+1,1))-AVERAGE(OFFSET($H$3,0,0,'Données projet'!$E$10+1,1))</f>
        <v>205.31676282910638</v>
      </c>
      <c r="AO86" s="59">
        <f t="shared" si="90"/>
        <v>190.64998698136026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 t="e">
        <f>IF(ISNA(VLOOKUP(A86,'Données projet'!$A$61:$I$81,6,0)),0%,VLOOKUP(A86,'Données projet'!$A$61:$I$81,6,0)*VLOOKUP('Données projet'!$B$10,Paramètres!$A$1:$I$89,7,0))</f>
        <v>#VALUE!</v>
      </c>
      <c r="AT86" s="16" t="str">
        <f>IF(ISNA(VLOOKUP(A86,'Données projet'!$A$61:$I$81,7,0)),0%,VLOOKUP(A86,'Données projet'!$A$61:$I$81,7,0))</f>
        <v/>
      </c>
      <c r="AU86" s="21" t="e">
        <f>EXP(-LN(2)/35)*AU85+(1-EXP(-LN(2)/35))/(LN(2)/35)*AQ86*AR86*VLOOKUP('Données projet'!$B$10,Paramètres!$A$1:$I$89,3,0)*0.475*44/12</f>
        <v>#VALUE!</v>
      </c>
      <c r="AV86" s="21" t="e">
        <f>EXP(-LN(2)/25)*AV85+(1-EXP(-LN(2)/25))/(LN(2)/25)*Calculateur!AQ86*Calculateur!AS86*VLOOKUP('Données projet'!$B$10,Paramètres!$A$1:$I$89,3,0)*0.475*44/12</f>
        <v>#VALUE!</v>
      </c>
      <c r="AW86" s="21" t="e">
        <f>EXP(-LN(2)/2)*AW85+(1-EXP(-LN(2)/2))/(LN(2)/2)*AQ86*AT86*VLOOKUP('Données projet'!$B$10,Paramètres!$A$1:$I$89,3,0)*0.475*44/12</f>
        <v>#VALUE!</v>
      </c>
      <c r="AX86" s="21" t="e">
        <f t="shared" si="60"/>
        <v>#VALUE!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215.55381529099924</v>
      </c>
      <c r="T87" s="59">
        <f t="shared" si="88"/>
        <v>158.77848520346532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 t="e">
        <f>EXP(-LN(2)/35)*Z86+(1-EXP(-LN(2)/35))/(LN(2)/35)*V87*W87*VLOOKUP('Données projet'!$B$9,Paramètres!$A$1:$I$89,3,0)*0.475*44/12</f>
        <v>#VALUE!</v>
      </c>
      <c r="AA87" s="21" t="e">
        <f>EXP(-LN(2)/25)*AA86+(1-EXP(-LN(2)/25))/(LN(2)/25)*Calculateur!V87*Calculateur!X87*VLOOKUP('Données projet'!$B$9,Paramètres!$A$1:$I$89,3,0)*0.475*44/12</f>
        <v>#VALUE!</v>
      </c>
      <c r="AB87" s="21" t="e">
        <f>EXP(-LN(2)/2)*AB86+(1-EXP(-LN(2)/2))/(LN(2)/2)*V87*Y87*VLOOKUP('Données projet'!$B$9,Paramètres!$A$1:$I$89,3,0)*0.475*44/12</f>
        <v>#VALUE!</v>
      </c>
      <c r="AC87" s="22" t="e">
        <f t="shared" si="57"/>
        <v>#VALUE!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12.194230769230785</v>
      </c>
      <c r="AI87" s="13">
        <f>IF('Données projet'!$A$62&gt;35,AI86+AH87-AQ86,IF(A87&lt;'Données projet'!$A$62,$AF$205^A87,IF(A87='Données projet'!$A$62,'Données projet'!$B$62,AI86+AH87-AQ86)))</f>
        <v>419.93269230769238</v>
      </c>
      <c r="AJ87" s="13">
        <f>AI87*VLOOKUP('Données projet'!$B$10,Paramètres!$A$1:$I$89,3,0)*VLOOKUP('Données projet'!$B$10,Paramètres!$A$1:$I$89,5,0)</f>
        <v>196.52850000000004</v>
      </c>
      <c r="AK87" s="13">
        <f t="shared" si="89"/>
        <v>48.980461355237473</v>
      </c>
      <c r="AL87" s="20">
        <f t="shared" si="58"/>
        <v>427.59477436037196</v>
      </c>
      <c r="AM87" s="59">
        <f t="shared" si="59"/>
        <v>720.92810769370521</v>
      </c>
      <c r="AN87" s="59">
        <f ca="1">AVERAGE(OFFSET($AM$3,0,0,'Données projet'!$E$10+1,1))-AVERAGE(OFFSET($H$3,0,0,'Données projet'!$E$10+1,1))</f>
        <v>205.31676282910638</v>
      </c>
      <c r="AO87" s="59">
        <f t="shared" si="90"/>
        <v>190.64998698136026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#VALUE!</v>
      </c>
      <c r="AV87" s="21" t="e">
        <f>EXP(-LN(2)/25)*AV86+(1-EXP(-LN(2)/25))/(LN(2)/25)*Calculateur!AQ87*Calculateur!AS87*VLOOKUP('Données projet'!$B$10,Paramètres!$A$1:$I$89,3,0)*0.475*44/12</f>
        <v>#VALUE!</v>
      </c>
      <c r="AW87" s="21" t="e">
        <f>EXP(-LN(2)/2)*AW86+(1-EXP(-LN(2)/2))/(LN(2)/2)*AQ87*AT87*VLOOKUP('Données projet'!$B$10,Paramètres!$A$1:$I$89,3,0)*0.475*44/12</f>
        <v>#VALUE!</v>
      </c>
      <c r="AX87" s="21" t="e">
        <f t="shared" si="60"/>
        <v>#VALUE!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215.55381529099924</v>
      </c>
      <c r="T88" s="59">
        <f t="shared" si="88"/>
        <v>158.77848520346532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 t="e">
        <f>EXP(-LN(2)/35)*Z87+(1-EXP(-LN(2)/35))/(LN(2)/35)*V88*W88*VLOOKUP('Données projet'!$B$9,Paramètres!$A$1:$I$89,3,0)*0.475*44/12</f>
        <v>#VALUE!</v>
      </c>
      <c r="AA88" s="21" t="e">
        <f>EXP(-LN(2)/25)*AA87+(1-EXP(-LN(2)/25))/(LN(2)/25)*Calculateur!V88*Calculateur!X88*VLOOKUP('Données projet'!$B$9,Paramètres!$A$1:$I$89,3,0)*0.475*44/12</f>
        <v>#VALUE!</v>
      </c>
      <c r="AB88" s="21" t="e">
        <f>EXP(-LN(2)/2)*AB87+(1-EXP(-LN(2)/2))/(LN(2)/2)*V88*Y88*VLOOKUP('Données projet'!$B$9,Paramètres!$A$1:$I$89,3,0)*0.475*44/12</f>
        <v>#VALUE!</v>
      </c>
      <c r="AC88" s="22" t="e">
        <f t="shared" si="57"/>
        <v>#VALUE!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12.194230769230785</v>
      </c>
      <c r="AI88" s="13">
        <f>IF('Données projet'!$A$62&gt;35,AI87+AH88-AQ87,IF(A88&lt;'Données projet'!$A$62,$AF$205^A88,IF(A88='Données projet'!$A$62,'Données projet'!$B$62,AI87+AH88-AQ87)))</f>
        <v>432.12692307692316</v>
      </c>
      <c r="AJ88" s="13">
        <f>AI88*VLOOKUP('Données projet'!$B$10,Paramètres!$A$1:$I$89,3,0)*VLOOKUP('Données projet'!$B$10,Paramètres!$A$1:$I$89,5,0)</f>
        <v>202.23540000000003</v>
      </c>
      <c r="AK88" s="13">
        <f t="shared" si="89"/>
        <v>50.235122734019789</v>
      </c>
      <c r="AL88" s="20">
        <f t="shared" si="58"/>
        <v>439.71949376175115</v>
      </c>
      <c r="AM88" s="59">
        <f t="shared" si="59"/>
        <v>733.05282709508447</v>
      </c>
      <c r="AN88" s="59">
        <f ca="1">AVERAGE(OFFSET($AM$3,0,0,'Données projet'!$E$10+1,1))-AVERAGE(OFFSET($H$3,0,0,'Données projet'!$E$10+1,1))</f>
        <v>205.31676282910638</v>
      </c>
      <c r="AO88" s="59">
        <f t="shared" si="90"/>
        <v>190.64998698136026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#VALUE!</v>
      </c>
      <c r="AV88" s="21" t="e">
        <f>EXP(-LN(2)/25)*AV87+(1-EXP(-LN(2)/25))/(LN(2)/25)*Calculateur!AQ88*Calculateur!AS88*VLOOKUP('Données projet'!$B$10,Paramètres!$A$1:$I$89,3,0)*0.475*44/12</f>
        <v>#VALUE!</v>
      </c>
      <c r="AW88" s="21" t="e">
        <f>EXP(-LN(2)/2)*AW87+(1-EXP(-LN(2)/2))/(LN(2)/2)*AQ88*AT88*VLOOKUP('Données projet'!$B$10,Paramètres!$A$1:$I$89,3,0)*0.475*44/12</f>
        <v>#VALUE!</v>
      </c>
      <c r="AX88" s="21" t="e">
        <f t="shared" si="60"/>
        <v>#VALUE!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215.55381529099924</v>
      </c>
      <c r="T89" s="59">
        <f t="shared" si="88"/>
        <v>158.77848520346532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 t="e">
        <f>EXP(-LN(2)/35)*Z88+(1-EXP(-LN(2)/35))/(LN(2)/35)*V89*W89*VLOOKUP('Données projet'!$B$9,Paramètres!$A$1:$I$89,3,0)*0.475*44/12</f>
        <v>#VALUE!</v>
      </c>
      <c r="AA89" s="21" t="e">
        <f>EXP(-LN(2)/25)*AA88+(1-EXP(-LN(2)/25))/(LN(2)/25)*Calculateur!V89*Calculateur!X89*VLOOKUP('Données projet'!$B$9,Paramètres!$A$1:$I$89,3,0)*0.475*44/12</f>
        <v>#VALUE!</v>
      </c>
      <c r="AB89" s="21" t="e">
        <f>EXP(-LN(2)/2)*AB88+(1-EXP(-LN(2)/2))/(LN(2)/2)*V89*Y89*VLOOKUP('Données projet'!$B$9,Paramètres!$A$1:$I$89,3,0)*0.475*44/12</f>
        <v>#VALUE!</v>
      </c>
      <c r="AC89" s="22" t="e">
        <f t="shared" si="57"/>
        <v>#VALUE!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12.194230769230785</v>
      </c>
      <c r="AI89" s="13">
        <f>IF('Données projet'!$A$62&gt;35,AI88+AH89-AQ88,IF(A89&lt;'Données projet'!$A$62,$AF$205^A89,IF(A89='Données projet'!$A$62,'Données projet'!$B$62,AI88+AH89-AQ88)))</f>
        <v>444.32115384615395</v>
      </c>
      <c r="AJ89" s="13">
        <f>AI89*VLOOKUP('Données projet'!$B$10,Paramètres!$A$1:$I$89,3,0)*VLOOKUP('Données projet'!$B$10,Paramètres!$A$1:$I$89,5,0)</f>
        <v>207.94230000000005</v>
      </c>
      <c r="AK89" s="13">
        <f t="shared" si="89"/>
        <v>51.485669107157641</v>
      </c>
      <c r="AL89" s="20">
        <f t="shared" si="58"/>
        <v>451.83704619496626</v>
      </c>
      <c r="AM89" s="59">
        <f t="shared" si="59"/>
        <v>745.17037952829958</v>
      </c>
      <c r="AN89" s="59">
        <f ca="1">AVERAGE(OFFSET($AM$3,0,0,'Données projet'!$E$10+1,1))-AVERAGE(OFFSET($H$3,0,0,'Données projet'!$E$10+1,1))</f>
        <v>205.31676282910638</v>
      </c>
      <c r="AO89" s="59">
        <f t="shared" si="90"/>
        <v>190.64998698136026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#VALUE!</v>
      </c>
      <c r="AV89" s="21" t="e">
        <f>EXP(-LN(2)/25)*AV88+(1-EXP(-LN(2)/25))/(LN(2)/25)*Calculateur!AQ89*Calculateur!AS89*VLOOKUP('Données projet'!$B$10,Paramètres!$A$1:$I$89,3,0)*0.475*44/12</f>
        <v>#VALUE!</v>
      </c>
      <c r="AW89" s="21" t="e">
        <f>EXP(-LN(2)/2)*AW88+(1-EXP(-LN(2)/2))/(LN(2)/2)*AQ89*AT89*VLOOKUP('Données projet'!$B$10,Paramètres!$A$1:$I$89,3,0)*0.475*44/12</f>
        <v>#VALUE!</v>
      </c>
      <c r="AX89" s="21" t="e">
        <f t="shared" si="60"/>
        <v>#VALUE!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215.55381529099924</v>
      </c>
      <c r="T90" s="59">
        <f t="shared" si="88"/>
        <v>158.77848520346532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 t="e">
        <f>EXP(-LN(2)/35)*Z89+(1-EXP(-LN(2)/35))/(LN(2)/35)*V90*W90*VLOOKUP('Données projet'!$B$9,Paramètres!$A$1:$I$89,3,0)*0.475*44/12</f>
        <v>#VALUE!</v>
      </c>
      <c r="AA90" s="21" t="e">
        <f>EXP(-LN(2)/25)*AA89+(1-EXP(-LN(2)/25))/(LN(2)/25)*Calculateur!V90*Calculateur!X90*VLOOKUP('Données projet'!$B$9,Paramètres!$A$1:$I$89,3,0)*0.475*44/12</f>
        <v>#VALUE!</v>
      </c>
      <c r="AB90" s="21" t="e">
        <f>EXP(-LN(2)/2)*AB89+(1-EXP(-LN(2)/2))/(LN(2)/2)*V90*Y90*VLOOKUP('Données projet'!$B$9,Paramètres!$A$1:$I$89,3,0)*0.475*44/12</f>
        <v>#VALUE!</v>
      </c>
      <c r="AC90" s="22" t="e">
        <f t="shared" si="57"/>
        <v>#VALUE!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456.51538461538462</v>
      </c>
      <c r="AG90" s="12">
        <f>VLOOKUP(A90,'Données projet'!$A$61:$I$81,9,0)</f>
        <v>12.194230769230785</v>
      </c>
      <c r="AH90" s="12">
        <f t="array" ref="AH90">INDEX(AG:AG,MIN(IF(ISNUMBER(AG90:AG286),ROW(AG90:AG286),"")))</f>
        <v>12.194230769230785</v>
      </c>
      <c r="AI90" s="13">
        <f>IF('Données projet'!$A$62&gt;35,AI89+AH90-AQ89,IF(A90&lt;'Données projet'!$A$62,$AF$205^A90,IF(A90='Données projet'!$A$62,'Données projet'!$B$62,AI89+AH90-AQ89)))</f>
        <v>456.51538461538473</v>
      </c>
      <c r="AJ90" s="13">
        <f>AI90*VLOOKUP('Données projet'!$B$10,Paramètres!$A$1:$I$89,3,0)*VLOOKUP('Données projet'!$B$10,Paramètres!$A$1:$I$89,5,0)</f>
        <v>213.64920000000006</v>
      </c>
      <c r="AK90" s="13">
        <f t="shared" si="89"/>
        <v>52.732226385923781</v>
      </c>
      <c r="AL90" s="20">
        <f t="shared" si="58"/>
        <v>463.94765095548405</v>
      </c>
      <c r="AM90" s="59">
        <f t="shared" si="59"/>
        <v>757.28098428881731</v>
      </c>
      <c r="AN90" s="59">
        <f ca="1">AVERAGE(OFFSET($AM$3,0,0,'Données projet'!$E$10+1,1))-AVERAGE(OFFSET($H$3,0,0,'Données projet'!$E$10+1,1))</f>
        <v>205.31676282910638</v>
      </c>
      <c r="AO90" s="59">
        <f t="shared" si="90"/>
        <v>190.64998698136026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77.330769230769235</v>
      </c>
      <c r="AR90" s="16">
        <f>IF(ISNA(VLOOKUP(A90,'Données projet'!$A$61:$I$81,5,0)),0%,VLOOKUP(A90,'Données projet'!$A$61:$I$81,5,0)*VLOOKUP('Données projet'!$B$10,Paramètres!$A$1:$I$89,7,0))</f>
        <v>0</v>
      </c>
      <c r="AS90" s="16" t="e">
        <f>IF(ISNA(VLOOKUP(A90,'Données projet'!$A$61:$I$81,6,0)),0%,VLOOKUP(A90,'Données projet'!$A$61:$I$81,6,0)*VLOOKUP('Données projet'!$B$10,Paramètres!$A$1:$I$89,7,0))</f>
        <v>#VALUE!</v>
      </c>
      <c r="AT90" s="16" t="str">
        <f>IF(ISNA(VLOOKUP(A90,'Données projet'!$A$61:$I$81,7,0)),0%,VLOOKUP(A90,'Données projet'!$A$61:$I$81,7,0))</f>
        <v/>
      </c>
      <c r="AU90" s="21" t="e">
        <f>EXP(-LN(2)/35)*AU89+(1-EXP(-LN(2)/35))/(LN(2)/35)*AQ90*AR90*VLOOKUP('Données projet'!$B$10,Paramètres!$A$1:$I$89,3,0)*0.475*44/12</f>
        <v>#VALUE!</v>
      </c>
      <c r="AV90" s="21" t="e">
        <f>EXP(-LN(2)/25)*AV89+(1-EXP(-LN(2)/25))/(LN(2)/25)*Calculateur!AQ90*Calculateur!AS90*VLOOKUP('Données projet'!$B$10,Paramètres!$A$1:$I$89,3,0)*0.475*44/12</f>
        <v>#VALUE!</v>
      </c>
      <c r="AW90" s="21" t="e">
        <f>EXP(-LN(2)/2)*AW89+(1-EXP(-LN(2)/2))/(LN(2)/2)*AQ90*AT90*VLOOKUP('Données projet'!$B$10,Paramètres!$A$1:$I$89,3,0)*0.475*44/12</f>
        <v>#VALUE!</v>
      </c>
      <c r="AX90" s="21" t="e">
        <f t="shared" si="60"/>
        <v>#VALUE!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215.55381529099924</v>
      </c>
      <c r="T91" s="59">
        <f t="shared" si="88"/>
        <v>158.77848520346532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 t="e">
        <f>EXP(-LN(2)/35)*Z90+(1-EXP(-LN(2)/35))/(LN(2)/35)*V91*W91*VLOOKUP('Données projet'!$B$9,Paramètres!$A$1:$I$89,3,0)*0.475*44/12</f>
        <v>#VALUE!</v>
      </c>
      <c r="AA91" s="21" t="e">
        <f>EXP(-LN(2)/25)*AA90+(1-EXP(-LN(2)/25))/(LN(2)/25)*Calculateur!V91*Calculateur!X91*VLOOKUP('Données projet'!$B$9,Paramètres!$A$1:$I$89,3,0)*0.475*44/12</f>
        <v>#VALUE!</v>
      </c>
      <c r="AB91" s="21" t="e">
        <f>EXP(-LN(2)/2)*AB90+(1-EXP(-LN(2)/2))/(LN(2)/2)*V91*Y91*VLOOKUP('Données projet'!$B$9,Paramètres!$A$1:$I$89,3,0)*0.475*44/12</f>
        <v>#VALUE!</v>
      </c>
      <c r="AC91" s="22" t="e">
        <f t="shared" si="57"/>
        <v>#VALUE!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11.201923076923094</v>
      </c>
      <c r="AI91" s="13">
        <f>IF('Données projet'!$A$62&gt;35,AI90+AH91-AQ90,IF(A91&lt;'Données projet'!$A$62,$AF$205^A91,IF(A91='Données projet'!$A$62,'Données projet'!$B$62,AI90+AH91-AQ90)))</f>
        <v>390.38653846153858</v>
      </c>
      <c r="AJ91" s="13">
        <f>AI91*VLOOKUP('Données projet'!$B$10,Paramètres!$A$1:$I$89,3,0)*VLOOKUP('Données projet'!$B$10,Paramètres!$A$1:$I$89,5,0)</f>
        <v>182.70090000000005</v>
      </c>
      <c r="AK91" s="13">
        <f t="shared" si="89"/>
        <v>45.922564801589687</v>
      </c>
      <c r="AL91" s="20">
        <f t="shared" si="58"/>
        <v>398.18586786276882</v>
      </c>
      <c r="AM91" s="59">
        <f t="shared" si="59"/>
        <v>691.51920119610213</v>
      </c>
      <c r="AN91" s="59">
        <f ca="1">AVERAGE(OFFSET($AM$3,0,0,'Données projet'!$E$10+1,1))-AVERAGE(OFFSET($H$3,0,0,'Données projet'!$E$10+1,1))</f>
        <v>205.31676282910638</v>
      </c>
      <c r="AO91" s="59">
        <f t="shared" si="90"/>
        <v>190.64998698136026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#VALUE!</v>
      </c>
      <c r="AV91" s="21" t="e">
        <f>EXP(-LN(2)/25)*AV90+(1-EXP(-LN(2)/25))/(LN(2)/25)*Calculateur!AQ91*Calculateur!AS91*VLOOKUP('Données projet'!$B$10,Paramètres!$A$1:$I$89,3,0)*0.475*44/12</f>
        <v>#VALUE!</v>
      </c>
      <c r="AW91" s="21" t="e">
        <f>EXP(-LN(2)/2)*AW90+(1-EXP(-LN(2)/2))/(LN(2)/2)*AQ91*AT91*VLOOKUP('Données projet'!$B$10,Paramètres!$A$1:$I$89,3,0)*0.475*44/12</f>
        <v>#VALUE!</v>
      </c>
      <c r="AX91" s="21" t="e">
        <f t="shared" si="60"/>
        <v>#VALUE!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215.55381529099924</v>
      </c>
      <c r="T92" s="59">
        <f t="shared" si="88"/>
        <v>158.77848520346532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 t="e">
        <f>EXP(-LN(2)/35)*Z91+(1-EXP(-LN(2)/35))/(LN(2)/35)*V92*W92*VLOOKUP('Données projet'!$B$9,Paramètres!$A$1:$I$89,3,0)*0.475*44/12</f>
        <v>#VALUE!</v>
      </c>
      <c r="AA92" s="21" t="e">
        <f>EXP(-LN(2)/25)*AA91+(1-EXP(-LN(2)/25))/(LN(2)/25)*Calculateur!V92*Calculateur!X92*VLOOKUP('Données projet'!$B$9,Paramètres!$A$1:$I$89,3,0)*0.475*44/12</f>
        <v>#VALUE!</v>
      </c>
      <c r="AB92" s="21" t="e">
        <f>EXP(-LN(2)/2)*AB91+(1-EXP(-LN(2)/2))/(LN(2)/2)*V92*Y92*VLOOKUP('Données projet'!$B$9,Paramètres!$A$1:$I$89,3,0)*0.475*44/12</f>
        <v>#VALUE!</v>
      </c>
      <c r="AC92" s="22" t="e">
        <f t="shared" si="57"/>
        <v>#VALUE!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11.201923076923094</v>
      </c>
      <c r="AI92" s="13">
        <f>IF('Données projet'!$A$62&gt;35,AI91+AH92-AQ91,IF(A92&lt;'Données projet'!$A$62,$AF$205^A92,IF(A92='Données projet'!$A$62,'Données projet'!$B$62,AI91+AH92-AQ91)))</f>
        <v>401.58846153846167</v>
      </c>
      <c r="AJ92" s="13">
        <f>AI92*VLOOKUP('Données projet'!$B$10,Paramètres!$A$1:$I$89,3,0)*VLOOKUP('Données projet'!$B$10,Paramètres!$A$1:$I$89,5,0)</f>
        <v>187.94340000000005</v>
      </c>
      <c r="AK92" s="13">
        <f t="shared" si="89"/>
        <v>47.084980193321194</v>
      </c>
      <c r="AL92" s="20">
        <f t="shared" si="58"/>
        <v>409.3410955033678</v>
      </c>
      <c r="AM92" s="59">
        <f t="shared" si="59"/>
        <v>702.67442883670105</v>
      </c>
      <c r="AN92" s="59">
        <f ca="1">AVERAGE(OFFSET($AM$3,0,0,'Données projet'!$E$10+1,1))-AVERAGE(OFFSET($H$3,0,0,'Données projet'!$E$10+1,1))</f>
        <v>205.31676282910638</v>
      </c>
      <c r="AO92" s="59">
        <f t="shared" si="90"/>
        <v>190.64998698136026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#VALUE!</v>
      </c>
      <c r="AV92" s="21" t="e">
        <f>EXP(-LN(2)/25)*AV91+(1-EXP(-LN(2)/25))/(LN(2)/25)*Calculateur!AQ92*Calculateur!AS92*VLOOKUP('Données projet'!$B$10,Paramètres!$A$1:$I$89,3,0)*0.475*44/12</f>
        <v>#VALUE!</v>
      </c>
      <c r="AW92" s="21" t="e">
        <f>EXP(-LN(2)/2)*AW91+(1-EXP(-LN(2)/2))/(LN(2)/2)*AQ92*AT92*VLOOKUP('Données projet'!$B$10,Paramètres!$A$1:$I$89,3,0)*0.475*44/12</f>
        <v>#VALUE!</v>
      </c>
      <c r="AX92" s="21" t="e">
        <f t="shared" si="60"/>
        <v>#VALUE!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215.55381529099924</v>
      </c>
      <c r="T93" s="59">
        <f t="shared" si="88"/>
        <v>158.77848520346532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 t="e">
        <f>EXP(-LN(2)/35)*Z92+(1-EXP(-LN(2)/35))/(LN(2)/35)*V93*W93*VLOOKUP('Données projet'!$B$9,Paramètres!$A$1:$I$89,3,0)*0.475*44/12</f>
        <v>#VALUE!</v>
      </c>
      <c r="AA93" s="21" t="e">
        <f>EXP(-LN(2)/25)*AA92+(1-EXP(-LN(2)/25))/(LN(2)/25)*Calculateur!V93*Calculateur!X93*VLOOKUP('Données projet'!$B$9,Paramètres!$A$1:$I$89,3,0)*0.475*44/12</f>
        <v>#VALUE!</v>
      </c>
      <c r="AB93" s="21" t="e">
        <f>EXP(-LN(2)/2)*AB92+(1-EXP(-LN(2)/2))/(LN(2)/2)*V93*Y93*VLOOKUP('Données projet'!$B$9,Paramètres!$A$1:$I$89,3,0)*0.475*44/12</f>
        <v>#VALUE!</v>
      </c>
      <c r="AC93" s="22" t="e">
        <f t="shared" si="57"/>
        <v>#VALUE!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11.201923076923094</v>
      </c>
      <c r="AI93" s="13">
        <f>IF('Données projet'!$A$62&gt;35,AI92+AH93-AQ92,IF(A93&lt;'Données projet'!$A$62,$AF$205^A93,IF(A93='Données projet'!$A$62,'Données projet'!$B$62,AI92+AH93-AQ92)))</f>
        <v>412.79038461538477</v>
      </c>
      <c r="AJ93" s="13">
        <f>AI93*VLOOKUP('Données projet'!$B$10,Paramètres!$A$1:$I$89,3,0)*VLOOKUP('Données projet'!$B$10,Paramètres!$A$1:$I$89,5,0)</f>
        <v>193.18590000000006</v>
      </c>
      <c r="AK93" s="13">
        <f t="shared" si="89"/>
        <v>48.243626982391824</v>
      </c>
      <c r="AL93" s="20">
        <f t="shared" si="58"/>
        <v>420.48975949433253</v>
      </c>
      <c r="AM93" s="59">
        <f t="shared" si="59"/>
        <v>713.82309282766585</v>
      </c>
      <c r="AN93" s="59">
        <f ca="1">AVERAGE(OFFSET($AM$3,0,0,'Données projet'!$E$10+1,1))-AVERAGE(OFFSET($H$3,0,0,'Données projet'!$E$10+1,1))</f>
        <v>205.31676282910638</v>
      </c>
      <c r="AO93" s="59">
        <f t="shared" si="90"/>
        <v>190.64998698136026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#VALUE!</v>
      </c>
      <c r="AV93" s="21" t="e">
        <f>EXP(-LN(2)/25)*AV92+(1-EXP(-LN(2)/25))/(LN(2)/25)*Calculateur!AQ93*Calculateur!AS93*VLOOKUP('Données projet'!$B$10,Paramètres!$A$1:$I$89,3,0)*0.475*44/12</f>
        <v>#VALUE!</v>
      </c>
      <c r="AW93" s="21" t="e">
        <f>EXP(-LN(2)/2)*AW92+(1-EXP(-LN(2)/2))/(LN(2)/2)*AQ93*AT93*VLOOKUP('Données projet'!$B$10,Paramètres!$A$1:$I$89,3,0)*0.475*44/12</f>
        <v>#VALUE!</v>
      </c>
      <c r="AX93" s="21" t="e">
        <f t="shared" si="60"/>
        <v>#VALUE!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215.55381529099924</v>
      </c>
      <c r="T94" s="59">
        <f t="shared" si="88"/>
        <v>158.77848520346532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 t="e">
        <f>EXP(-LN(2)/35)*Z93+(1-EXP(-LN(2)/35))/(LN(2)/35)*V94*W94*VLOOKUP('Données projet'!$B$9,Paramètres!$A$1:$I$89,3,0)*0.475*44/12</f>
        <v>#VALUE!</v>
      </c>
      <c r="AA94" s="21" t="e">
        <f>EXP(-LN(2)/25)*AA93+(1-EXP(-LN(2)/25))/(LN(2)/25)*Calculateur!V94*Calculateur!X94*VLOOKUP('Données projet'!$B$9,Paramètres!$A$1:$I$89,3,0)*0.475*44/12</f>
        <v>#VALUE!</v>
      </c>
      <c r="AB94" s="21" t="e">
        <f>EXP(-LN(2)/2)*AB93+(1-EXP(-LN(2)/2))/(LN(2)/2)*V94*Y94*VLOOKUP('Données projet'!$B$9,Paramètres!$A$1:$I$89,3,0)*0.475*44/12</f>
        <v>#VALUE!</v>
      </c>
      <c r="AC94" s="22" t="e">
        <f t="shared" si="57"/>
        <v>#VALUE!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>
        <f>VLOOKUP(A94,'Données projet'!$A$61:$I$81,2,0)</f>
        <v>423.99230769230775</v>
      </c>
      <c r="AG94" s="12">
        <f>VLOOKUP(A94,'Données projet'!$A$61:$I$81,9,0)</f>
        <v>11.201923076923094</v>
      </c>
      <c r="AH94" s="12">
        <f t="array" ref="AH94">INDEX(AG:AG,MIN(IF(ISNUMBER(AG94:AG290),ROW(AG94:AG290),"")))</f>
        <v>11.201923076923094</v>
      </c>
      <c r="AI94" s="13">
        <f>IF('Données projet'!$A$62&gt;35,AI93+AH94-AQ93,IF(A94&lt;'Données projet'!$A$62,$AF$205^A94,IF(A94='Données projet'!$A$62,'Données projet'!$B$62,AI93+AH94-AQ93)))</f>
        <v>423.99230769230786</v>
      </c>
      <c r="AJ94" s="13">
        <f>AI94*VLOOKUP('Données projet'!$B$10,Paramètres!$A$1:$I$89,3,0)*VLOOKUP('Données projet'!$B$10,Paramètres!$A$1:$I$89,5,0)</f>
        <v>198.42840000000007</v>
      </c>
      <c r="AK94" s="13">
        <f t="shared" si="89"/>
        <v>49.398619189951262</v>
      </c>
      <c r="AL94" s="20">
        <f t="shared" si="58"/>
        <v>431.63205842249857</v>
      </c>
      <c r="AM94" s="59">
        <f t="shared" si="59"/>
        <v>724.96539175583189</v>
      </c>
      <c r="AN94" s="59">
        <f ca="1">AVERAGE(OFFSET($AM$3,0,0,'Données projet'!$E$10+1,1))-AVERAGE(OFFSET($H$3,0,0,'Données projet'!$E$10+1,1))</f>
        <v>205.31676282910638</v>
      </c>
      <c r="AO94" s="59">
        <f t="shared" si="90"/>
        <v>190.64998698136026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 t="e">
        <f>IF(ISNA(VLOOKUP(A94,'Données projet'!$A$61:$I$81,6,0)),0%,VLOOKUP(A94,'Données projet'!$A$61:$I$81,6,0)*VLOOKUP('Données projet'!$B$10,Paramètres!$A$1:$I$89,7,0))</f>
        <v>#VALUE!</v>
      </c>
      <c r="AT94" s="16" t="str">
        <f>IF(ISNA(VLOOKUP(A94,'Données projet'!$A$61:$I$81,7,0)),0%,VLOOKUP(A94,'Données projet'!$A$61:$I$81,7,0))</f>
        <v/>
      </c>
      <c r="AU94" s="21" t="e">
        <f>EXP(-LN(2)/35)*AU93+(1-EXP(-LN(2)/35))/(LN(2)/35)*AQ94*AR94*VLOOKUP('Données projet'!$B$10,Paramètres!$A$1:$I$89,3,0)*0.475*44/12</f>
        <v>#VALUE!</v>
      </c>
      <c r="AV94" s="21" t="e">
        <f>EXP(-LN(2)/25)*AV93+(1-EXP(-LN(2)/25))/(LN(2)/25)*Calculateur!AQ94*Calculateur!AS94*VLOOKUP('Données projet'!$B$10,Paramètres!$A$1:$I$89,3,0)*0.475*44/12</f>
        <v>#VALUE!</v>
      </c>
      <c r="AW94" s="21" t="e">
        <f>EXP(-LN(2)/2)*AW93+(1-EXP(-LN(2)/2))/(LN(2)/2)*AQ94*AT94*VLOOKUP('Données projet'!$B$10,Paramètres!$A$1:$I$89,3,0)*0.475*44/12</f>
        <v>#VALUE!</v>
      </c>
      <c r="AX94" s="21" t="e">
        <f t="shared" si="60"/>
        <v>#VALUE!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215.55381529099924</v>
      </c>
      <c r="T95" s="59">
        <f t="shared" si="88"/>
        <v>158.77848520346532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 t="e">
        <f>EXP(-LN(2)/35)*Z94+(1-EXP(-LN(2)/35))/(LN(2)/35)*V95*W95*VLOOKUP('Données projet'!$B$9,Paramètres!$A$1:$I$89,3,0)*0.475*44/12</f>
        <v>#VALUE!</v>
      </c>
      <c r="AA95" s="21" t="e">
        <f>EXP(-LN(2)/25)*AA94+(1-EXP(-LN(2)/25))/(LN(2)/25)*Calculateur!V95*Calculateur!X95*VLOOKUP('Données projet'!$B$9,Paramètres!$A$1:$I$89,3,0)*0.475*44/12</f>
        <v>#VALUE!</v>
      </c>
      <c r="AB95" s="21" t="e">
        <f>EXP(-LN(2)/2)*AB94+(1-EXP(-LN(2)/2))/(LN(2)/2)*V95*Y95*VLOOKUP('Données projet'!$B$9,Paramètres!$A$1:$I$89,3,0)*0.475*44/12</f>
        <v>#VALUE!</v>
      </c>
      <c r="AC95" s="22" t="e">
        <f t="shared" si="57"/>
        <v>#VALUE!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11.282692307692287</v>
      </c>
      <c r="AI95" s="13">
        <f>IF('Données projet'!$A$62&gt;35,AI94+AH95-AQ94,IF(A95&lt;'Données projet'!$A$62,$AF$205^A95,IF(A95='Données projet'!$A$62,'Données projet'!$B$62,AI94+AH95-AQ94)))</f>
        <v>435.27500000000015</v>
      </c>
      <c r="AJ95" s="13">
        <f>AI95*VLOOKUP('Données projet'!$B$10,Paramètres!$A$1:$I$89,3,0)*VLOOKUP('Données projet'!$B$10,Paramètres!$A$1:$I$89,5,0)</f>
        <v>203.70870000000005</v>
      </c>
      <c r="AK95" s="13">
        <f t="shared" si="89"/>
        <v>50.558354106807116</v>
      </c>
      <c r="AL95" s="20">
        <f t="shared" si="58"/>
        <v>442.84845256935586</v>
      </c>
      <c r="AM95" s="59">
        <f t="shared" si="59"/>
        <v>736.18178590268917</v>
      </c>
      <c r="AN95" s="59">
        <f ca="1">AVERAGE(OFFSET($AM$3,0,0,'Données projet'!$E$10+1,1))-AVERAGE(OFFSET($H$3,0,0,'Données projet'!$E$10+1,1))</f>
        <v>205.31676282910638</v>
      </c>
      <c r="AO95" s="59">
        <f t="shared" si="90"/>
        <v>190.64998698136026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#VALUE!</v>
      </c>
      <c r="AV95" s="21" t="e">
        <f>EXP(-LN(2)/25)*AV94+(1-EXP(-LN(2)/25))/(LN(2)/25)*Calculateur!AQ95*Calculateur!AS95*VLOOKUP('Données projet'!$B$10,Paramètres!$A$1:$I$89,3,0)*0.475*44/12</f>
        <v>#VALUE!</v>
      </c>
      <c r="AW95" s="21" t="e">
        <f>EXP(-LN(2)/2)*AW94+(1-EXP(-LN(2)/2))/(LN(2)/2)*AQ95*AT95*VLOOKUP('Données projet'!$B$10,Paramètres!$A$1:$I$89,3,0)*0.475*44/12</f>
        <v>#VALUE!</v>
      </c>
      <c r="AX95" s="21" t="e">
        <f t="shared" si="60"/>
        <v>#VALUE!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215.55381529099924</v>
      </c>
      <c r="T96" s="59">
        <f t="shared" si="88"/>
        <v>158.77848520346532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 t="e">
        <f>EXP(-LN(2)/35)*Z95+(1-EXP(-LN(2)/35))/(LN(2)/35)*V96*W96*VLOOKUP('Données projet'!$B$9,Paramètres!$A$1:$I$89,3,0)*0.475*44/12</f>
        <v>#VALUE!</v>
      </c>
      <c r="AA96" s="21" t="e">
        <f>EXP(-LN(2)/25)*AA95+(1-EXP(-LN(2)/25))/(LN(2)/25)*Calculateur!V96*Calculateur!X96*VLOOKUP('Données projet'!$B$9,Paramètres!$A$1:$I$89,3,0)*0.475*44/12</f>
        <v>#VALUE!</v>
      </c>
      <c r="AB96" s="21" t="e">
        <f>EXP(-LN(2)/2)*AB95+(1-EXP(-LN(2)/2))/(LN(2)/2)*V96*Y96*VLOOKUP('Données projet'!$B$9,Paramètres!$A$1:$I$89,3,0)*0.475*44/12</f>
        <v>#VALUE!</v>
      </c>
      <c r="AC96" s="22" t="e">
        <f t="shared" si="57"/>
        <v>#VALUE!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11.282692307692287</v>
      </c>
      <c r="AI96" s="13">
        <f>IF('Données projet'!$A$62&gt;35,AI95+AH96-AQ95,IF(A96&lt;'Données projet'!$A$62,$AF$205^A96,IF(A96='Données projet'!$A$62,'Données projet'!$B$62,AI95+AH96-AQ95)))</f>
        <v>446.55769230769243</v>
      </c>
      <c r="AJ96" s="13">
        <f>AI96*VLOOKUP('Données projet'!$B$10,Paramètres!$A$1:$I$89,3,0)*VLOOKUP('Données projet'!$B$10,Paramètres!$A$1:$I$89,5,0)</f>
        <v>208.98900000000009</v>
      </c>
      <c r="AK96" s="13">
        <f t="shared" si="89"/>
        <v>51.714594748332303</v>
      </c>
      <c r="AL96" s="20">
        <f t="shared" si="58"/>
        <v>454.05876085334563</v>
      </c>
      <c r="AM96" s="59">
        <f t="shared" si="59"/>
        <v>747.39209418667895</v>
      </c>
      <c r="AN96" s="59">
        <f ca="1">AVERAGE(OFFSET($AM$3,0,0,'Données projet'!$E$10+1,1))-AVERAGE(OFFSET($H$3,0,0,'Données projet'!$E$10+1,1))</f>
        <v>205.31676282910638</v>
      </c>
      <c r="AO96" s="59">
        <f t="shared" si="90"/>
        <v>190.64998698136026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#VALUE!</v>
      </c>
      <c r="AV96" s="21" t="e">
        <f>EXP(-LN(2)/25)*AV95+(1-EXP(-LN(2)/25))/(LN(2)/25)*Calculateur!AQ96*Calculateur!AS96*VLOOKUP('Données projet'!$B$10,Paramètres!$A$1:$I$89,3,0)*0.475*44/12</f>
        <v>#VALUE!</v>
      </c>
      <c r="AW96" s="21" t="e">
        <f>EXP(-LN(2)/2)*AW95+(1-EXP(-LN(2)/2))/(LN(2)/2)*AQ96*AT96*VLOOKUP('Données projet'!$B$10,Paramètres!$A$1:$I$89,3,0)*0.475*44/12</f>
        <v>#VALUE!</v>
      </c>
      <c r="AX96" s="21" t="e">
        <f t="shared" si="60"/>
        <v>#VALUE!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215.55381529099924</v>
      </c>
      <c r="T97" s="59">
        <f t="shared" si="88"/>
        <v>158.77848520346532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 t="e">
        <f>EXP(-LN(2)/35)*Z96+(1-EXP(-LN(2)/35))/(LN(2)/35)*V97*W97*VLOOKUP('Données projet'!$B$9,Paramètres!$A$1:$I$89,3,0)*0.475*44/12</f>
        <v>#VALUE!</v>
      </c>
      <c r="AA97" s="21" t="e">
        <f>EXP(-LN(2)/25)*AA96+(1-EXP(-LN(2)/25))/(LN(2)/25)*Calculateur!V97*Calculateur!X97*VLOOKUP('Données projet'!$B$9,Paramètres!$A$1:$I$89,3,0)*0.475*44/12</f>
        <v>#VALUE!</v>
      </c>
      <c r="AB97" s="21" t="e">
        <f>EXP(-LN(2)/2)*AB96+(1-EXP(-LN(2)/2))/(LN(2)/2)*V97*Y97*VLOOKUP('Données projet'!$B$9,Paramètres!$A$1:$I$89,3,0)*0.475*44/12</f>
        <v>#VALUE!</v>
      </c>
      <c r="AC97" s="22" t="e">
        <f t="shared" si="57"/>
        <v>#VALUE!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11.282692307692287</v>
      </c>
      <c r="AI97" s="13">
        <f>IF('Données projet'!$A$62&gt;35,AI96+AH97-AQ96,IF(A97&lt;'Données projet'!$A$62,$AF$205^A97,IF(A97='Données projet'!$A$62,'Données projet'!$B$62,AI96+AH97-AQ96)))</f>
        <v>457.84038461538472</v>
      </c>
      <c r="AJ97" s="13">
        <f>AI97*VLOOKUP('Données projet'!$B$10,Paramètres!$A$1:$I$89,3,0)*VLOOKUP('Données projet'!$B$10,Paramètres!$A$1:$I$89,5,0)</f>
        <v>214.26930000000004</v>
      </c>
      <c r="AK97" s="13">
        <f t="shared" si="89"/>
        <v>52.867439553518068</v>
      </c>
      <c r="AL97" s="20">
        <f t="shared" si="58"/>
        <v>465.26315472237735</v>
      </c>
      <c r="AM97" s="59">
        <f t="shared" si="59"/>
        <v>758.59648805571067</v>
      </c>
      <c r="AN97" s="59">
        <f ca="1">AVERAGE(OFFSET($AM$3,0,0,'Données projet'!$E$10+1,1))-AVERAGE(OFFSET($H$3,0,0,'Données projet'!$E$10+1,1))</f>
        <v>205.31676282910638</v>
      </c>
      <c r="AO97" s="59">
        <f t="shared" si="90"/>
        <v>190.64998698136026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#VALUE!</v>
      </c>
      <c r="AV97" s="21" t="e">
        <f>EXP(-LN(2)/25)*AV96+(1-EXP(-LN(2)/25))/(LN(2)/25)*Calculateur!AQ97*Calculateur!AS97*VLOOKUP('Données projet'!$B$10,Paramètres!$A$1:$I$89,3,0)*0.475*44/12</f>
        <v>#VALUE!</v>
      </c>
      <c r="AW97" s="21" t="e">
        <f>EXP(-LN(2)/2)*AW96+(1-EXP(-LN(2)/2))/(LN(2)/2)*AQ97*AT97*VLOOKUP('Données projet'!$B$10,Paramètres!$A$1:$I$89,3,0)*0.475*44/12</f>
        <v>#VALUE!</v>
      </c>
      <c r="AX97" s="21" t="e">
        <f t="shared" si="60"/>
        <v>#VALUE!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215.55381529099924</v>
      </c>
      <c r="T98" s="59">
        <f t="shared" si="88"/>
        <v>158.77848520346532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 t="e">
        <f>EXP(-LN(2)/35)*Z97+(1-EXP(-LN(2)/35))/(LN(2)/35)*V98*W98*VLOOKUP('Données projet'!$B$9,Paramètres!$A$1:$I$89,3,0)*0.475*44/12</f>
        <v>#VALUE!</v>
      </c>
      <c r="AA98" s="21" t="e">
        <f>EXP(-LN(2)/25)*AA97+(1-EXP(-LN(2)/25))/(LN(2)/25)*Calculateur!V98*Calculateur!X98*VLOOKUP('Données projet'!$B$9,Paramètres!$A$1:$I$89,3,0)*0.475*44/12</f>
        <v>#VALUE!</v>
      </c>
      <c r="AB98" s="21" t="e">
        <f>EXP(-LN(2)/2)*AB97+(1-EXP(-LN(2)/2))/(LN(2)/2)*V98*Y98*VLOOKUP('Données projet'!$B$9,Paramètres!$A$1:$I$89,3,0)*0.475*44/12</f>
        <v>#VALUE!</v>
      </c>
      <c r="AC98" s="22" t="e">
        <f t="shared" si="57"/>
        <v>#VALUE!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469.12307692307689</v>
      </c>
      <c r="AG98" s="12">
        <f>VLOOKUP(A98,'Données projet'!$A$61:$I$81,9,0)</f>
        <v>11.282692307692287</v>
      </c>
      <c r="AH98" s="12">
        <f t="array" ref="AH98">INDEX(AG:AG,MIN(IF(ISNUMBER(AG98:AG294),ROW(AG98:AG294),"")))</f>
        <v>11.282692307692287</v>
      </c>
      <c r="AI98" s="13">
        <f>IF('Données projet'!$A$62&gt;35,AI97+AH98-AQ97,IF(A98&lt;'Données projet'!$A$62,$AF$205^A98,IF(A98='Données projet'!$A$62,'Données projet'!$B$62,AI97+AH98-AQ97)))</f>
        <v>469.12307692307701</v>
      </c>
      <c r="AJ98" s="13">
        <f>AI98*VLOOKUP('Données projet'!$B$10,Paramètres!$A$1:$I$89,3,0)*VLOOKUP('Données projet'!$B$10,Paramètres!$A$1:$I$89,5,0)</f>
        <v>219.54960000000003</v>
      </c>
      <c r="AK98" s="13">
        <f t="shared" si="89"/>
        <v>54.016981833057052</v>
      </c>
      <c r="AL98" s="20">
        <f t="shared" si="58"/>
        <v>476.46179669257435</v>
      </c>
      <c r="AM98" s="59">
        <f t="shared" si="59"/>
        <v>769.79513002590761</v>
      </c>
      <c r="AN98" s="59">
        <f ca="1">AVERAGE(OFFSET($AM$3,0,0,'Données projet'!$E$10+1,1))-AVERAGE(OFFSET($H$3,0,0,'Données projet'!$E$10+1,1))</f>
        <v>205.31676282910638</v>
      </c>
      <c r="AO98" s="59">
        <f t="shared" si="90"/>
        <v>190.64998698136026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234.42307692307691</v>
      </c>
      <c r="AR98" s="16">
        <f>IF(ISNA(VLOOKUP(A98,'Données projet'!$A$61:$I$81,5,0)),0%,VLOOKUP(A98,'Données projet'!$A$61:$I$81,5,0)*VLOOKUP('Données projet'!$B$10,Paramètres!$A$1:$I$89,7,0))</f>
        <v>0</v>
      </c>
      <c r="AS98" s="16" t="e">
        <f>IF(ISNA(VLOOKUP(A98,'Données projet'!$A$61:$I$81,6,0)),0%,VLOOKUP(A98,'Données projet'!$A$61:$I$81,6,0)*VLOOKUP('Données projet'!$B$10,Paramètres!$A$1:$I$89,7,0))</f>
        <v>#VALUE!</v>
      </c>
      <c r="AT98" s="16" t="str">
        <f>IF(ISNA(VLOOKUP(A98,'Données projet'!$A$61:$I$81,7,0)),0%,VLOOKUP(A98,'Données projet'!$A$61:$I$81,7,0))</f>
        <v/>
      </c>
      <c r="AU98" s="21" t="e">
        <f>EXP(-LN(2)/35)*AU97+(1-EXP(-LN(2)/35))/(LN(2)/35)*AQ98*AR98*VLOOKUP('Données projet'!$B$10,Paramètres!$A$1:$I$89,3,0)*0.475*44/12</f>
        <v>#VALUE!</v>
      </c>
      <c r="AV98" s="21" t="e">
        <f>EXP(-LN(2)/25)*AV97+(1-EXP(-LN(2)/25))/(LN(2)/25)*Calculateur!AQ98*Calculateur!AS98*VLOOKUP('Données projet'!$B$10,Paramètres!$A$1:$I$89,3,0)*0.475*44/12</f>
        <v>#VALUE!</v>
      </c>
      <c r="AW98" s="21" t="e">
        <f>EXP(-LN(2)/2)*AW97+(1-EXP(-LN(2)/2))/(LN(2)/2)*AQ98*AT98*VLOOKUP('Données projet'!$B$10,Paramètres!$A$1:$I$89,3,0)*0.475*44/12</f>
        <v>#VALUE!</v>
      </c>
      <c r="AX98" s="21" t="e">
        <f t="shared" si="60"/>
        <v>#VALUE!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215.55381529099924</v>
      </c>
      <c r="T99" s="59">
        <f t="shared" si="88"/>
        <v>158.77848520346532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 t="e">
        <f>EXP(-LN(2)/35)*Z98+(1-EXP(-LN(2)/35))/(LN(2)/35)*V99*W99*VLOOKUP('Données projet'!$B$9,Paramètres!$A$1:$I$89,3,0)*0.475*44/12</f>
        <v>#VALUE!</v>
      </c>
      <c r="AA99" s="21" t="e">
        <f>EXP(-LN(2)/25)*AA98+(1-EXP(-LN(2)/25))/(LN(2)/25)*Calculateur!V99*Calculateur!X99*VLOOKUP('Données projet'!$B$9,Paramètres!$A$1:$I$89,3,0)*0.475*44/12</f>
        <v>#VALUE!</v>
      </c>
      <c r="AB99" s="21" t="e">
        <f>EXP(-LN(2)/2)*AB98+(1-EXP(-LN(2)/2))/(LN(2)/2)*V99*Y99*VLOOKUP('Données projet'!$B$9,Paramètres!$A$1:$I$89,3,0)*0.475*44/12</f>
        <v>#VALUE!</v>
      </c>
      <c r="AC99" s="22" t="e">
        <f t="shared" si="57"/>
        <v>#VALUE!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7.5307692307692262</v>
      </c>
      <c r="AI99" s="13">
        <f>IF('Données projet'!$A$62&gt;35,AI98+AH99-AQ98,IF(A99&lt;'Données projet'!$A$62,$AF$205^A99,IF(A99='Données projet'!$A$62,'Données projet'!$B$62,AI98+AH99-AQ98)))</f>
        <v>242.23076923076934</v>
      </c>
      <c r="AJ99" s="13">
        <f>AI99*VLOOKUP('Données projet'!$B$10,Paramètres!$A$1:$I$89,3,0)*VLOOKUP('Données projet'!$B$10,Paramètres!$A$1:$I$89,5,0)</f>
        <v>113.36400000000006</v>
      </c>
      <c r="AK99" s="13">
        <f t="shared" si="89"/>
        <v>30.122174319121282</v>
      </c>
      <c r="AL99" s="20">
        <f t="shared" si="58"/>
        <v>249.90508693913634</v>
      </c>
      <c r="AM99" s="59">
        <f t="shared" si="59"/>
        <v>543.23842027246963</v>
      </c>
      <c r="AN99" s="59">
        <f ca="1">AVERAGE(OFFSET($AM$3,0,0,'Données projet'!$E$10+1,1))-AVERAGE(OFFSET($H$3,0,0,'Données projet'!$E$10+1,1))</f>
        <v>205.31676282910638</v>
      </c>
      <c r="AO99" s="59">
        <f t="shared" si="90"/>
        <v>190.64998698136026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#VALUE!</v>
      </c>
      <c r="AV99" s="21" t="e">
        <f>EXP(-LN(2)/25)*AV98+(1-EXP(-LN(2)/25))/(LN(2)/25)*Calculateur!AQ99*Calculateur!AS99*VLOOKUP('Données projet'!$B$10,Paramètres!$A$1:$I$89,3,0)*0.475*44/12</f>
        <v>#VALUE!</v>
      </c>
      <c r="AW99" s="21" t="e">
        <f>EXP(-LN(2)/2)*AW98+(1-EXP(-LN(2)/2))/(LN(2)/2)*AQ99*AT99*VLOOKUP('Données projet'!$B$10,Paramètres!$A$1:$I$89,3,0)*0.475*44/12</f>
        <v>#VALUE!</v>
      </c>
      <c r="AX99" s="21" t="e">
        <f t="shared" si="60"/>
        <v>#VALUE!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215.55381529099924</v>
      </c>
      <c r="T100" s="59">
        <f t="shared" si="88"/>
        <v>158.77848520346532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 t="e">
        <f>EXP(-LN(2)/35)*Z99+(1-EXP(-LN(2)/35))/(LN(2)/35)*V100*W100*VLOOKUP('Données projet'!$B$9,Paramètres!$A$1:$I$89,3,0)*0.475*44/12</f>
        <v>#VALUE!</v>
      </c>
      <c r="AA100" s="21" t="e">
        <f>EXP(-LN(2)/25)*AA99+(1-EXP(-LN(2)/25))/(LN(2)/25)*Calculateur!V100*Calculateur!X100*VLOOKUP('Données projet'!$B$9,Paramètres!$A$1:$I$89,3,0)*0.475*44/12</f>
        <v>#VALUE!</v>
      </c>
      <c r="AB100" s="21" t="e">
        <f>EXP(-LN(2)/2)*AB99+(1-EXP(-LN(2)/2))/(LN(2)/2)*V100*Y100*VLOOKUP('Données projet'!$B$9,Paramètres!$A$1:$I$89,3,0)*0.475*44/12</f>
        <v>#VALUE!</v>
      </c>
      <c r="AC100" s="22" t="e">
        <f t="shared" si="57"/>
        <v>#VALUE!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7.5307692307692262</v>
      </c>
      <c r="AI100" s="13">
        <f>IF('Données projet'!$A$62&gt;35,AI99+AH100-AQ99,IF(A100&lt;'Données projet'!$A$62,$AF$205^A100,IF(A100='Données projet'!$A$62,'Données projet'!$B$62,AI99+AH100-AQ99)))</f>
        <v>249.76153846153858</v>
      </c>
      <c r="AJ100" s="13">
        <f>AI100*VLOOKUP('Données projet'!$B$10,Paramètres!$A$1:$I$89,3,0)*VLOOKUP('Données projet'!$B$10,Paramètres!$A$1:$I$89,5,0)</f>
        <v>116.88840000000005</v>
      </c>
      <c r="AK100" s="13">
        <f t="shared" si="89"/>
        <v>30.94816375939811</v>
      </c>
      <c r="AL100" s="20">
        <f t="shared" si="58"/>
        <v>257.48201521428513</v>
      </c>
      <c r="AM100" s="59">
        <f t="shared" si="59"/>
        <v>550.81534854761844</v>
      </c>
      <c r="AN100" s="59">
        <f ca="1">AVERAGE(OFFSET($AM$3,0,0,'Données projet'!$E$10+1,1))-AVERAGE(OFFSET($H$3,0,0,'Données projet'!$E$10+1,1))</f>
        <v>205.31676282910638</v>
      </c>
      <c r="AO100" s="59">
        <f t="shared" si="90"/>
        <v>190.64998698136026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#VALUE!</v>
      </c>
      <c r="AV100" s="21" t="e">
        <f>EXP(-LN(2)/25)*AV99+(1-EXP(-LN(2)/25))/(LN(2)/25)*Calculateur!AQ100*Calculateur!AS100*VLOOKUP('Données projet'!$B$10,Paramètres!$A$1:$I$89,3,0)*0.475*44/12</f>
        <v>#VALUE!</v>
      </c>
      <c r="AW100" s="21" t="e">
        <f>EXP(-LN(2)/2)*AW99+(1-EXP(-LN(2)/2))/(LN(2)/2)*AQ100*AT100*VLOOKUP('Données projet'!$B$10,Paramètres!$A$1:$I$89,3,0)*0.475*44/12</f>
        <v>#VALUE!</v>
      </c>
      <c r="AX100" s="21" t="e">
        <f t="shared" si="60"/>
        <v>#VALUE!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215.55381529099924</v>
      </c>
      <c r="T101" s="59">
        <f t="shared" si="88"/>
        <v>158.77848520346532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 t="e">
        <f>EXP(-LN(2)/35)*Z100+(1-EXP(-LN(2)/35))/(LN(2)/35)*V101*W101*VLOOKUP('Données projet'!$B$9,Paramètres!$A$1:$I$89,3,0)*0.475*44/12</f>
        <v>#VALUE!</v>
      </c>
      <c r="AA101" s="21" t="e">
        <f>EXP(-LN(2)/25)*AA100+(1-EXP(-LN(2)/25))/(LN(2)/25)*Calculateur!V101*Calculateur!X101*VLOOKUP('Données projet'!$B$9,Paramètres!$A$1:$I$89,3,0)*0.475*44/12</f>
        <v>#VALUE!</v>
      </c>
      <c r="AB101" s="21" t="e">
        <f>EXP(-LN(2)/2)*AB100+(1-EXP(-LN(2)/2))/(LN(2)/2)*V101*Y101*VLOOKUP('Données projet'!$B$9,Paramètres!$A$1:$I$89,3,0)*0.475*44/12</f>
        <v>#VALUE!</v>
      </c>
      <c r="AC101" s="22" t="e">
        <f t="shared" si="57"/>
        <v>#VALUE!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7.5307692307692262</v>
      </c>
      <c r="AI101" s="13">
        <f>IF('Données projet'!$A$62&gt;35,AI100+AH101-AQ100,IF(A101&lt;'Données projet'!$A$62,$AF$205^A101,IF(A101='Données projet'!$A$62,'Données projet'!$B$62,AI100+AH101-AQ100)))</f>
        <v>257.29230769230782</v>
      </c>
      <c r="AJ101" s="13">
        <f>AI101*VLOOKUP('Données projet'!$B$10,Paramètres!$A$1:$I$89,3,0)*VLOOKUP('Données projet'!$B$10,Paramètres!$A$1:$I$89,5,0)</f>
        <v>120.41280000000006</v>
      </c>
      <c r="AK101" s="13">
        <f t="shared" si="89"/>
        <v>31.771258864018176</v>
      </c>
      <c r="AL101" s="20">
        <f t="shared" si="58"/>
        <v>265.0539025214984</v>
      </c>
      <c r="AM101" s="59">
        <f t="shared" si="59"/>
        <v>558.38723585483172</v>
      </c>
      <c r="AN101" s="59">
        <f ca="1">AVERAGE(OFFSET($AM$3,0,0,'Données projet'!$E$10+1,1))-AVERAGE(OFFSET($H$3,0,0,'Données projet'!$E$10+1,1))</f>
        <v>205.31676282910638</v>
      </c>
      <c r="AO101" s="59">
        <f t="shared" si="90"/>
        <v>190.64998698136026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#VALUE!</v>
      </c>
      <c r="AV101" s="21" t="e">
        <f>EXP(-LN(2)/25)*AV100+(1-EXP(-LN(2)/25))/(LN(2)/25)*Calculateur!AQ101*Calculateur!AS101*VLOOKUP('Données projet'!$B$10,Paramètres!$A$1:$I$89,3,0)*0.475*44/12</f>
        <v>#VALUE!</v>
      </c>
      <c r="AW101" s="21" t="e">
        <f>EXP(-LN(2)/2)*AW100+(1-EXP(-LN(2)/2))/(LN(2)/2)*AQ101*AT101*VLOOKUP('Données projet'!$B$10,Paramètres!$A$1:$I$89,3,0)*0.475*44/12</f>
        <v>#VALUE!</v>
      </c>
      <c r="AX101" s="21" t="e">
        <f t="shared" si="60"/>
        <v>#VALUE!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215.55381529099924</v>
      </c>
      <c r="T102" s="59">
        <f t="shared" si="88"/>
        <v>158.77848520346532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 t="e">
        <f>EXP(-LN(2)/35)*Z101+(1-EXP(-LN(2)/35))/(LN(2)/35)*V102*W102*VLOOKUP('Données projet'!$B$9,Paramètres!$A$1:$I$89,3,0)*0.475*44/12</f>
        <v>#VALUE!</v>
      </c>
      <c r="AA102" s="21" t="e">
        <f>EXP(-LN(2)/25)*AA101+(1-EXP(-LN(2)/25))/(LN(2)/25)*Calculateur!V102*Calculateur!X102*VLOOKUP('Données projet'!$B$9,Paramètres!$A$1:$I$89,3,0)*0.475*44/12</f>
        <v>#VALUE!</v>
      </c>
      <c r="AB102" s="21" t="e">
        <f>EXP(-LN(2)/2)*AB101+(1-EXP(-LN(2)/2))/(LN(2)/2)*V102*Y102*VLOOKUP('Données projet'!$B$9,Paramètres!$A$1:$I$89,3,0)*0.475*44/12</f>
        <v>#VALUE!</v>
      </c>
      <c r="AC102" s="22" t="e">
        <f t="shared" si="57"/>
        <v>#VALUE!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7.5307692307692262</v>
      </c>
      <c r="AI102" s="13">
        <f>IF('Données projet'!$A$62&gt;35,AI101+AH102-AQ101,IF(A102&lt;'Données projet'!$A$62,$AF$205^A102,IF(A102='Données projet'!$A$62,'Données projet'!$B$62,AI101+AH102-AQ101)))</f>
        <v>264.82307692307705</v>
      </c>
      <c r="AJ102" s="13">
        <f>AI102*VLOOKUP('Données projet'!$B$10,Paramètres!$A$1:$I$89,3,0)*VLOOKUP('Données projet'!$B$10,Paramètres!$A$1:$I$89,5,0)</f>
        <v>123.93720000000006</v>
      </c>
      <c r="AK102" s="13">
        <f t="shared" si="89"/>
        <v>32.591554075461175</v>
      </c>
      <c r="AL102" s="20">
        <f t="shared" si="58"/>
        <v>272.62091334809492</v>
      </c>
      <c r="AM102" s="59">
        <f t="shared" si="59"/>
        <v>565.95424668142823</v>
      </c>
      <c r="AN102" s="59">
        <f ca="1">AVERAGE(OFFSET($AM$3,0,0,'Données projet'!$E$10+1,1))-AVERAGE(OFFSET($H$3,0,0,'Données projet'!$E$10+1,1))</f>
        <v>205.31676282910638</v>
      </c>
      <c r="AO102" s="59">
        <f t="shared" si="90"/>
        <v>190.64998698136026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#VALUE!</v>
      </c>
      <c r="AV102" s="21" t="e">
        <f>EXP(-LN(2)/25)*AV101+(1-EXP(-LN(2)/25))/(LN(2)/25)*Calculateur!AQ102*Calculateur!AS102*VLOOKUP('Données projet'!$B$10,Paramètres!$A$1:$I$89,3,0)*0.475*44/12</f>
        <v>#VALUE!</v>
      </c>
      <c r="AW102" s="21" t="e">
        <f>EXP(-LN(2)/2)*AW101+(1-EXP(-LN(2)/2))/(LN(2)/2)*AQ102*AT102*VLOOKUP('Données projet'!$B$10,Paramètres!$A$1:$I$89,3,0)*0.475*44/12</f>
        <v>#VALUE!</v>
      </c>
      <c r="AX102" s="21" t="e">
        <f t="shared" si="60"/>
        <v>#VALUE!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215.55381529099924</v>
      </c>
      <c r="T103" s="59">
        <f t="shared" si="88"/>
        <v>158.77848520346532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 t="e">
        <f>EXP(-LN(2)/35)*Z102+(1-EXP(-LN(2)/35))/(LN(2)/35)*V103*W103*VLOOKUP('Données projet'!$B$9,Paramètres!$A$1:$I$89,3,0)*0.475*44/12</f>
        <v>#VALUE!</v>
      </c>
      <c r="AA103" s="21" t="e">
        <f>EXP(-LN(2)/25)*AA102+(1-EXP(-LN(2)/25))/(LN(2)/25)*Calculateur!V103*Calculateur!X103*VLOOKUP('Données projet'!$B$9,Paramètres!$A$1:$I$89,3,0)*0.475*44/12</f>
        <v>#VALUE!</v>
      </c>
      <c r="AB103" s="21" t="e">
        <f>EXP(-LN(2)/2)*AB102+(1-EXP(-LN(2)/2))/(LN(2)/2)*V103*Y103*VLOOKUP('Données projet'!$B$9,Paramètres!$A$1:$I$89,3,0)*0.475*44/12</f>
        <v>#VALUE!</v>
      </c>
      <c r="AC103" s="22" t="e">
        <f t="shared" si="57"/>
        <v>#VALUE!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272.35384615384612</v>
      </c>
      <c r="AG103" s="12">
        <f>VLOOKUP(A103,'Données projet'!$A$61:$I$81,9,0)</f>
        <v>7.5307692307692262</v>
      </c>
      <c r="AH103" s="12">
        <f t="array" ref="AH103">INDEX(AG:AG,MIN(IF(ISNUMBER(AG103:AG299),ROW(AG103:AG299),"")))</f>
        <v>7.5307692307692262</v>
      </c>
      <c r="AI103" s="13">
        <f>IF('Données projet'!$A$62&gt;35,AI102+AH103-AQ102,IF(A103&lt;'Données projet'!$A$62,$AF$205^A103,IF(A103='Données projet'!$A$62,'Données projet'!$B$62,AI102+AH103-AQ102)))</f>
        <v>272.35384615384629</v>
      </c>
      <c r="AJ103" s="13">
        <f>AI103*VLOOKUP('Données projet'!$B$10,Paramètres!$A$1:$I$89,3,0)*VLOOKUP('Données projet'!$B$10,Paramètres!$A$1:$I$89,5,0)</f>
        <v>127.46160000000006</v>
      </c>
      <c r="AK103" s="13">
        <f t="shared" si="89"/>
        <v>33.409138159359948</v>
      </c>
      <c r="AL103" s="20">
        <f t="shared" si="58"/>
        <v>280.18320229421863</v>
      </c>
      <c r="AM103" s="59">
        <f t="shared" si="59"/>
        <v>573.516535627552</v>
      </c>
      <c r="AN103" s="59">
        <f ca="1">AVERAGE(OFFSET($AM$3,0,0,'Données projet'!$E$10+1,1))-AVERAGE(OFFSET($H$3,0,0,'Données projet'!$E$10+1,1))</f>
        <v>205.31676282910638</v>
      </c>
      <c r="AO103" s="59">
        <f t="shared" si="90"/>
        <v>190.64998698136026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 t="e">
        <f>IF(ISNA(VLOOKUP(A103,'Données projet'!$A$61:$I$81,6,0)),0%,VLOOKUP(A103,'Données projet'!$A$61:$I$81,6,0)*VLOOKUP('Données projet'!$B$10,Paramètres!$A$1:$I$89,7,0))</f>
        <v>#VALUE!</v>
      </c>
      <c r="AT103" s="16" t="str">
        <f>IF(ISNA(VLOOKUP(A103,'Données projet'!$A$61:$I$81,7,0)),0%,VLOOKUP(A103,'Données projet'!$A$61:$I$81,7,0))</f>
        <v/>
      </c>
      <c r="AU103" s="21" t="e">
        <f>EXP(-LN(2)/35)*AU102+(1-EXP(-LN(2)/35))/(LN(2)/35)*AQ103*AR103*VLOOKUP('Données projet'!$B$10,Paramètres!$A$1:$I$89,3,0)*0.475*44/12</f>
        <v>#VALUE!</v>
      </c>
      <c r="AV103" s="21" t="e">
        <f>EXP(-LN(2)/25)*AV102+(1-EXP(-LN(2)/25))/(LN(2)/25)*Calculateur!AQ103*Calculateur!AS103*VLOOKUP('Données projet'!$B$10,Paramètres!$A$1:$I$89,3,0)*0.475*44/12</f>
        <v>#VALUE!</v>
      </c>
      <c r="AW103" s="21" t="e">
        <f>EXP(-LN(2)/2)*AW102+(1-EXP(-LN(2)/2))/(LN(2)/2)*AQ103*AT103*VLOOKUP('Données projet'!$B$10,Paramètres!$A$1:$I$89,3,0)*0.475*44/12</f>
        <v>#VALUE!</v>
      </c>
      <c r="AX103" s="21" t="e">
        <f t="shared" si="60"/>
        <v>#VALUE!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215.55381529099924</v>
      </c>
      <c r="T104" s="59">
        <f t="shared" si="88"/>
        <v>158.77848520346532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 t="e">
        <f>EXP(-LN(2)/35)*Z103+(1-EXP(-LN(2)/35))/(LN(2)/35)*V104*W104*VLOOKUP('Données projet'!$B$9,Paramètres!$A$1:$I$89,3,0)*0.475*44/12</f>
        <v>#VALUE!</v>
      </c>
      <c r="AA104" s="21" t="e">
        <f>EXP(-LN(2)/25)*AA103+(1-EXP(-LN(2)/25))/(LN(2)/25)*Calculateur!V104*Calculateur!X104*VLOOKUP('Données projet'!$B$9,Paramètres!$A$1:$I$89,3,0)*0.475*44/12</f>
        <v>#VALUE!</v>
      </c>
      <c r="AB104" s="21" t="e">
        <f>EXP(-LN(2)/2)*AB103+(1-EXP(-LN(2)/2))/(LN(2)/2)*V104*Y104*VLOOKUP('Données projet'!$B$9,Paramètres!$A$1:$I$89,3,0)*0.475*44/12</f>
        <v>#VALUE!</v>
      </c>
      <c r="AC104" s="22" t="e">
        <f t="shared" si="57"/>
        <v>#VALUE!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7.4723076923076972</v>
      </c>
      <c r="AI104" s="13">
        <f>IF('Données projet'!$A$62&gt;35,AI103+AH104-AQ103,IF(A104&lt;'Données projet'!$A$62,$AF$205^A104,IF(A104='Données projet'!$A$62,'Données projet'!$B$62,AI103+AH104-AQ103)))</f>
        <v>279.826153846154</v>
      </c>
      <c r="AJ104" s="13">
        <f>AI104*VLOOKUP('Données projet'!$B$10,Paramètres!$A$1:$I$89,3,0)*VLOOKUP('Données projet'!$B$10,Paramètres!$A$1:$I$89,5,0)</f>
        <v>130.95864000000006</v>
      </c>
      <c r="AK104" s="13">
        <f t="shared" si="89"/>
        <v>34.217778081608643</v>
      </c>
      <c r="AL104" s="20">
        <f t="shared" si="58"/>
        <v>287.68226149213513</v>
      </c>
      <c r="AM104" s="59">
        <f t="shared" si="59"/>
        <v>581.0155948254685</v>
      </c>
      <c r="AN104" s="59">
        <f ca="1">AVERAGE(OFFSET($AM$3,0,0,'Données projet'!$E$10+1,1))-AVERAGE(OFFSET($H$3,0,0,'Données projet'!$E$10+1,1))</f>
        <v>205.31676282910638</v>
      </c>
      <c r="AO104" s="59">
        <f t="shared" si="90"/>
        <v>190.64998698136026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#VALUE!</v>
      </c>
      <c r="AV104" s="21" t="e">
        <f>EXP(-LN(2)/25)*AV103+(1-EXP(-LN(2)/25))/(LN(2)/25)*Calculateur!AQ104*Calculateur!AS104*VLOOKUP('Données projet'!$B$10,Paramètres!$A$1:$I$89,3,0)*0.475*44/12</f>
        <v>#VALUE!</v>
      </c>
      <c r="AW104" s="21" t="e">
        <f>EXP(-LN(2)/2)*AW103+(1-EXP(-LN(2)/2))/(LN(2)/2)*AQ104*AT104*VLOOKUP('Données projet'!$B$10,Paramètres!$A$1:$I$89,3,0)*0.475*44/12</f>
        <v>#VALUE!</v>
      </c>
      <c r="AX104" s="21" t="e">
        <f t="shared" si="60"/>
        <v>#VALUE!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215.55381529099924</v>
      </c>
      <c r="T105" s="59">
        <f t="shared" si="88"/>
        <v>158.77848520346532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 t="e">
        <f>EXP(-LN(2)/35)*Z104+(1-EXP(-LN(2)/35))/(LN(2)/35)*V105*W105*VLOOKUP('Données projet'!$B$9,Paramètres!$A$1:$I$89,3,0)*0.475*44/12</f>
        <v>#VALUE!</v>
      </c>
      <c r="AA105" s="21" t="e">
        <f>EXP(-LN(2)/25)*AA104+(1-EXP(-LN(2)/25))/(LN(2)/25)*Calculateur!V105*Calculateur!X105*VLOOKUP('Données projet'!$B$9,Paramètres!$A$1:$I$89,3,0)*0.475*44/12</f>
        <v>#VALUE!</v>
      </c>
      <c r="AB105" s="21" t="e">
        <f>EXP(-LN(2)/2)*AB104+(1-EXP(-LN(2)/2))/(LN(2)/2)*V105*Y105*VLOOKUP('Données projet'!$B$9,Paramètres!$A$1:$I$89,3,0)*0.475*44/12</f>
        <v>#VALUE!</v>
      </c>
      <c r="AC105" s="22" t="e">
        <f t="shared" si="57"/>
        <v>#VALUE!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7.4723076923076972</v>
      </c>
      <c r="AI105" s="13">
        <f>IF('Données projet'!$A$62&gt;35,AI104+AH105-AQ104,IF(A105&lt;'Données projet'!$A$62,$AF$205^A105,IF(A105='Données projet'!$A$62,'Données projet'!$B$62,AI104+AH105-AQ104)))</f>
        <v>287.29846153846171</v>
      </c>
      <c r="AJ105" s="13">
        <f>AI105*VLOOKUP('Données projet'!$B$10,Paramètres!$A$1:$I$89,3,0)*VLOOKUP('Données projet'!$B$10,Paramètres!$A$1:$I$89,5,0)</f>
        <v>134.45568000000006</v>
      </c>
      <c r="AK105" s="13">
        <f t="shared" si="89"/>
        <v>35.023908115698482</v>
      </c>
      <c r="AL105" s="20">
        <f t="shared" si="58"/>
        <v>295.17694930150827</v>
      </c>
      <c r="AM105" s="59">
        <f t="shared" si="59"/>
        <v>588.51028263484159</v>
      </c>
      <c r="AN105" s="59">
        <f ca="1">AVERAGE(OFFSET($AM$3,0,0,'Données projet'!$E$10+1,1))-AVERAGE(OFFSET($H$3,0,0,'Données projet'!$E$10+1,1))</f>
        <v>205.31676282910638</v>
      </c>
      <c r="AO105" s="59">
        <f t="shared" si="90"/>
        <v>190.64998698136026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#VALUE!</v>
      </c>
      <c r="AV105" s="21" t="e">
        <f>EXP(-LN(2)/25)*AV104+(1-EXP(-LN(2)/25))/(LN(2)/25)*Calculateur!AQ105*Calculateur!AS105*VLOOKUP('Données projet'!$B$10,Paramètres!$A$1:$I$89,3,0)*0.475*44/12</f>
        <v>#VALUE!</v>
      </c>
      <c r="AW105" s="21" t="e">
        <f>EXP(-LN(2)/2)*AW104+(1-EXP(-LN(2)/2))/(LN(2)/2)*AQ105*AT105*VLOOKUP('Données projet'!$B$10,Paramètres!$A$1:$I$89,3,0)*0.475*44/12</f>
        <v>#VALUE!</v>
      </c>
      <c r="AX105" s="21" t="e">
        <f t="shared" si="60"/>
        <v>#VALUE!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215.55381529099924</v>
      </c>
      <c r="T106" s="59">
        <f t="shared" si="88"/>
        <v>158.77848520346532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 t="e">
        <f>EXP(-LN(2)/35)*Z105+(1-EXP(-LN(2)/35))/(LN(2)/35)*V106*W106*VLOOKUP('Données projet'!$B$9,Paramètres!$A$1:$I$89,3,0)*0.475*44/12</f>
        <v>#VALUE!</v>
      </c>
      <c r="AA106" s="21" t="e">
        <f>EXP(-LN(2)/25)*AA105+(1-EXP(-LN(2)/25))/(LN(2)/25)*Calculateur!V106*Calculateur!X106*VLOOKUP('Données projet'!$B$9,Paramètres!$A$1:$I$89,3,0)*0.475*44/12</f>
        <v>#VALUE!</v>
      </c>
      <c r="AB106" s="21" t="e">
        <f>EXP(-LN(2)/2)*AB105+(1-EXP(-LN(2)/2))/(LN(2)/2)*V106*Y106*VLOOKUP('Données projet'!$B$9,Paramètres!$A$1:$I$89,3,0)*0.475*44/12</f>
        <v>#VALUE!</v>
      </c>
      <c r="AC106" s="22" t="e">
        <f t="shared" si="57"/>
        <v>#VALUE!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7.4723076923076972</v>
      </c>
      <c r="AI106" s="13">
        <f>IF('Données projet'!$A$62&gt;35,AI105+AH106-AQ105,IF(A106&lt;'Données projet'!$A$62,$AF$205^A106,IF(A106='Données projet'!$A$62,'Données projet'!$B$62,AI105+AH106-AQ105)))</f>
        <v>294.77076923076942</v>
      </c>
      <c r="AJ106" s="13">
        <f>AI106*VLOOKUP('Données projet'!$B$10,Paramètres!$A$1:$I$89,3,0)*VLOOKUP('Données projet'!$B$10,Paramètres!$A$1:$I$89,5,0)</f>
        <v>137.95272000000008</v>
      </c>
      <c r="AK106" s="13">
        <f t="shared" si="89"/>
        <v>35.82760104589854</v>
      </c>
      <c r="AL106" s="20">
        <f t="shared" si="58"/>
        <v>302.66739248827344</v>
      </c>
      <c r="AM106" s="59">
        <f t="shared" si="59"/>
        <v>596.00072582160669</v>
      </c>
      <c r="AN106" s="59">
        <f ca="1">AVERAGE(OFFSET($AM$3,0,0,'Données projet'!$E$10+1,1))-AVERAGE(OFFSET($H$3,0,0,'Données projet'!$E$10+1,1))</f>
        <v>205.31676282910638</v>
      </c>
      <c r="AO106" s="59">
        <f t="shared" si="90"/>
        <v>190.64998698136026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#VALUE!</v>
      </c>
      <c r="AV106" s="21" t="e">
        <f>EXP(-LN(2)/25)*AV105+(1-EXP(-LN(2)/25))/(LN(2)/25)*Calculateur!AQ106*Calculateur!AS106*VLOOKUP('Données projet'!$B$10,Paramètres!$A$1:$I$89,3,0)*0.475*44/12</f>
        <v>#VALUE!</v>
      </c>
      <c r="AW106" s="21" t="e">
        <f>EXP(-LN(2)/2)*AW105+(1-EXP(-LN(2)/2))/(LN(2)/2)*AQ106*AT106*VLOOKUP('Données projet'!$B$10,Paramètres!$A$1:$I$89,3,0)*0.475*44/12</f>
        <v>#VALUE!</v>
      </c>
      <c r="AX106" s="21" t="e">
        <f t="shared" si="60"/>
        <v>#VALUE!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215.55381529099924</v>
      </c>
      <c r="T107" s="59">
        <f t="shared" si="88"/>
        <v>158.77848520346532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 t="e">
        <f>EXP(-LN(2)/35)*Z106+(1-EXP(-LN(2)/35))/(LN(2)/35)*V107*W107*VLOOKUP('Données projet'!$B$9,Paramètres!$A$1:$I$89,3,0)*0.475*44/12</f>
        <v>#VALUE!</v>
      </c>
      <c r="AA107" s="21" t="e">
        <f>EXP(-LN(2)/25)*AA106+(1-EXP(-LN(2)/25))/(LN(2)/25)*Calculateur!V107*Calculateur!X107*VLOOKUP('Données projet'!$B$9,Paramètres!$A$1:$I$89,3,0)*0.475*44/12</f>
        <v>#VALUE!</v>
      </c>
      <c r="AB107" s="21" t="e">
        <f>EXP(-LN(2)/2)*AB106+(1-EXP(-LN(2)/2))/(LN(2)/2)*V107*Y107*VLOOKUP('Données projet'!$B$9,Paramètres!$A$1:$I$89,3,0)*0.475*44/12</f>
        <v>#VALUE!</v>
      </c>
      <c r="AC107" s="22" t="e">
        <f t="shared" si="57"/>
        <v>#VALUE!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7.4723076923076972</v>
      </c>
      <c r="AI107" s="13">
        <f>IF('Données projet'!$A$62&gt;35,AI106+AH107-AQ106,IF(A107&lt;'Données projet'!$A$62,$AF$205^A107,IF(A107='Données projet'!$A$62,'Données projet'!$B$62,AI106+AH107-AQ106)))</f>
        <v>302.24307692307713</v>
      </c>
      <c r="AJ107" s="13">
        <f>AI107*VLOOKUP('Données projet'!$B$10,Paramètres!$A$1:$I$89,3,0)*VLOOKUP('Données projet'!$B$10,Paramètres!$A$1:$I$89,5,0)</f>
        <v>141.44976000000011</v>
      </c>
      <c r="AK107" s="13">
        <f t="shared" si="89"/>
        <v>36.628925756112167</v>
      </c>
      <c r="AL107" s="20">
        <f t="shared" si="58"/>
        <v>310.15371102522892</v>
      </c>
      <c r="AM107" s="59">
        <f t="shared" si="59"/>
        <v>603.48704435856223</v>
      </c>
      <c r="AN107" s="59">
        <f ca="1">AVERAGE(OFFSET($AM$3,0,0,'Données projet'!$E$10+1,1))-AVERAGE(OFFSET($H$3,0,0,'Données projet'!$E$10+1,1))</f>
        <v>205.31676282910638</v>
      </c>
      <c r="AO107" s="59">
        <f t="shared" si="90"/>
        <v>190.64998698136026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#VALUE!</v>
      </c>
      <c r="AV107" s="21" t="e">
        <f>EXP(-LN(2)/25)*AV106+(1-EXP(-LN(2)/25))/(LN(2)/25)*Calculateur!AQ107*Calculateur!AS107*VLOOKUP('Données projet'!$B$10,Paramètres!$A$1:$I$89,3,0)*0.475*44/12</f>
        <v>#VALUE!</v>
      </c>
      <c r="AW107" s="21" t="e">
        <f>EXP(-LN(2)/2)*AW106+(1-EXP(-LN(2)/2))/(LN(2)/2)*AQ107*AT107*VLOOKUP('Données projet'!$B$10,Paramètres!$A$1:$I$89,3,0)*0.475*44/12</f>
        <v>#VALUE!</v>
      </c>
      <c r="AX107" s="21" t="e">
        <f t="shared" si="60"/>
        <v>#VALUE!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215.55381529099924</v>
      </c>
      <c r="T108" s="59">
        <f t="shared" si="88"/>
        <v>158.77848520346532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 t="e">
        <f>EXP(-LN(2)/35)*Z107+(1-EXP(-LN(2)/35))/(LN(2)/35)*V108*W108*VLOOKUP('Données projet'!$B$9,Paramètres!$A$1:$I$89,3,0)*0.475*44/12</f>
        <v>#VALUE!</v>
      </c>
      <c r="AA108" s="21" t="e">
        <f>EXP(-LN(2)/25)*AA107+(1-EXP(-LN(2)/25))/(LN(2)/25)*Calculateur!V108*Calculateur!X108*VLOOKUP('Données projet'!$B$9,Paramètres!$A$1:$I$89,3,0)*0.475*44/12</f>
        <v>#VALUE!</v>
      </c>
      <c r="AB108" s="21" t="e">
        <f>EXP(-LN(2)/2)*AB107+(1-EXP(-LN(2)/2))/(LN(2)/2)*V108*Y108*VLOOKUP('Données projet'!$B$9,Paramètres!$A$1:$I$89,3,0)*0.475*44/12</f>
        <v>#VALUE!</v>
      </c>
      <c r="AC108" s="22" t="e">
        <f t="shared" si="57"/>
        <v>#VALUE!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309.71538461538461</v>
      </c>
      <c r="AG108" s="12">
        <f>VLOOKUP(A108,'Données projet'!$A$61:$I$81,9,0)</f>
        <v>7.4723076923076972</v>
      </c>
      <c r="AH108" s="12">
        <f t="array" ref="AH108">INDEX(AG:AG,MIN(IF(ISNUMBER(AG108:AG304),ROW(AG108:AG304),"")))</f>
        <v>7.4723076923076972</v>
      </c>
      <c r="AI108" s="13">
        <f>IF('Données projet'!$A$62&gt;35,AI107+AH108-AQ107,IF(A108&lt;'Données projet'!$A$62,$AF$205^A108,IF(A108='Données projet'!$A$62,'Données projet'!$B$62,AI107+AH108-AQ107)))</f>
        <v>309.71538461538483</v>
      </c>
      <c r="AJ108" s="13">
        <f>AI108*VLOOKUP('Données projet'!$B$10,Paramètres!$A$1:$I$89,3,0)*VLOOKUP('Données projet'!$B$10,Paramètres!$A$1:$I$89,5,0)</f>
        <v>144.94680000000011</v>
      </c>
      <c r="AK108" s="13">
        <f t="shared" si="89"/>
        <v>37.427947530076921</v>
      </c>
      <c r="AL108" s="20">
        <f t="shared" si="58"/>
        <v>317.63601861488411</v>
      </c>
      <c r="AM108" s="59">
        <f t="shared" si="59"/>
        <v>610.96935194821742</v>
      </c>
      <c r="AN108" s="59">
        <f ca="1">AVERAGE(OFFSET($AM$3,0,0,'Données projet'!$E$10+1,1))-AVERAGE(OFFSET($H$3,0,0,'Données projet'!$E$10+1,1))</f>
        <v>205.31676282910638</v>
      </c>
      <c r="AO108" s="59">
        <f t="shared" si="90"/>
        <v>190.64998698136026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309.71538461538461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 t="e">
        <f>IF(ISNA(VLOOKUP(A108,'Données projet'!$A$61:$I$81,6,0)),0%,VLOOKUP(A108,'Données projet'!$A$61:$I$81,6,0)*VLOOKUP('Données projet'!$B$10,Paramètres!$A$1:$I$89,7,0))</f>
        <v>#VALUE!</v>
      </c>
      <c r="AT108" s="16" t="str">
        <f>IF(ISNA(VLOOKUP(A108,'Données projet'!$A$61:$I$81,7,0)),0%,VLOOKUP(A108,'Données projet'!$A$61:$I$81,7,0))</f>
        <v/>
      </c>
      <c r="AU108" s="21" t="e">
        <f>EXP(-LN(2)/35)*AU107+(1-EXP(-LN(2)/35))/(LN(2)/35)*AQ108*AR108*VLOOKUP('Données projet'!$B$10,Paramètres!$A$1:$I$89,3,0)*0.475*44/12</f>
        <v>#VALUE!</v>
      </c>
      <c r="AV108" s="21" t="e">
        <f>EXP(-LN(2)/25)*AV107+(1-EXP(-LN(2)/25))/(LN(2)/25)*Calculateur!AQ108*Calculateur!AS108*VLOOKUP('Données projet'!$B$10,Paramètres!$A$1:$I$89,3,0)*0.475*44/12</f>
        <v>#VALUE!</v>
      </c>
      <c r="AW108" s="21" t="e">
        <f>EXP(-LN(2)/2)*AW107+(1-EXP(-LN(2)/2))/(LN(2)/2)*AQ108*AT108*VLOOKUP('Données projet'!$B$10,Paramètres!$A$1:$I$89,3,0)*0.475*44/12</f>
        <v>#VALUE!</v>
      </c>
      <c r="AX108" s="21" t="e">
        <f t="shared" si="60"/>
        <v>#VALUE!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215.55381529099924</v>
      </c>
      <c r="T109" s="59">
        <f t="shared" si="88"/>
        <v>158.77848520346532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 t="e">
        <f>EXP(-LN(2)/35)*Z108+(1-EXP(-LN(2)/35))/(LN(2)/35)*V109*W109*VLOOKUP('Données projet'!$B$9,Paramètres!$A$1:$I$89,3,0)*0.475*44/12</f>
        <v>#VALUE!</v>
      </c>
      <c r="AA109" s="21" t="e">
        <f>EXP(-LN(2)/25)*AA108+(1-EXP(-LN(2)/25))/(LN(2)/25)*Calculateur!V109*Calculateur!X109*VLOOKUP('Données projet'!$B$9,Paramètres!$A$1:$I$89,3,0)*0.475*44/12</f>
        <v>#VALUE!</v>
      </c>
      <c r="AB109" s="21" t="e">
        <f>EXP(-LN(2)/2)*AB108+(1-EXP(-LN(2)/2))/(LN(2)/2)*V109*Y109*VLOOKUP('Données projet'!$B$9,Paramètres!$A$1:$I$89,3,0)*0.475*44/12</f>
        <v>#VALUE!</v>
      </c>
      <c r="AC109" s="22" t="e">
        <f t="shared" si="57"/>
        <v>#VALUE!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2.2737367544323206E-13</v>
      </c>
      <c r="AJ109" s="13">
        <f>AI109*VLOOKUP('Données projet'!$B$10,Paramètres!$A$1:$I$89,3,0)*VLOOKUP('Données projet'!$B$10,Paramètres!$A$1:$I$89,5,0)</f>
        <v>1.064108801074326E-13</v>
      </c>
      <c r="AK109" s="13">
        <f t="shared" si="89"/>
        <v>1.5870730813698654E-12</v>
      </c>
      <c r="AL109" s="20">
        <f t="shared" si="58"/>
        <v>2.9494845662396269E-12</v>
      </c>
      <c r="AM109" s="59">
        <f t="shared" si="59"/>
        <v>293.33333333333627</v>
      </c>
      <c r="AN109" s="59">
        <f ca="1">AVERAGE(OFFSET($AM$3,0,0,'Données projet'!$E$10+1,1))-AVERAGE(OFFSET($H$3,0,0,'Données projet'!$E$10+1,1))</f>
        <v>205.31676282910638</v>
      </c>
      <c r="AO109" s="59">
        <f t="shared" si="90"/>
        <v>190.64998698136026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#VALUE!</v>
      </c>
      <c r="AV109" s="21" t="e">
        <f>EXP(-LN(2)/25)*AV108+(1-EXP(-LN(2)/25))/(LN(2)/25)*Calculateur!AQ109*Calculateur!AS109*VLOOKUP('Données projet'!$B$10,Paramètres!$A$1:$I$89,3,0)*0.475*44/12</f>
        <v>#VALUE!</v>
      </c>
      <c r="AW109" s="21" t="e">
        <f>EXP(-LN(2)/2)*AW108+(1-EXP(-LN(2)/2))/(LN(2)/2)*AQ109*AT109*VLOOKUP('Données projet'!$B$10,Paramètres!$A$1:$I$89,3,0)*0.475*44/12</f>
        <v>#VALUE!</v>
      </c>
      <c r="AX109" s="21" t="e">
        <f t="shared" si="60"/>
        <v>#VALUE!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215.55381529099924</v>
      </c>
      <c r="T110" s="59">
        <f t="shared" si="88"/>
        <v>158.77848520346532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 t="e">
        <f>EXP(-LN(2)/35)*Z109+(1-EXP(-LN(2)/35))/(LN(2)/35)*V110*W110*VLOOKUP('Données projet'!$B$9,Paramètres!$A$1:$I$89,3,0)*0.475*44/12</f>
        <v>#VALUE!</v>
      </c>
      <c r="AA110" s="21" t="e">
        <f>EXP(-LN(2)/25)*AA109+(1-EXP(-LN(2)/25))/(LN(2)/25)*Calculateur!V110*Calculateur!X110*VLOOKUP('Données projet'!$B$9,Paramètres!$A$1:$I$89,3,0)*0.475*44/12</f>
        <v>#VALUE!</v>
      </c>
      <c r="AB110" s="21" t="e">
        <f>EXP(-LN(2)/2)*AB109+(1-EXP(-LN(2)/2))/(LN(2)/2)*V110*Y110*VLOOKUP('Données projet'!$B$9,Paramètres!$A$1:$I$89,3,0)*0.475*44/12</f>
        <v>#VALUE!</v>
      </c>
      <c r="AC110" s="22" t="e">
        <f t="shared" si="57"/>
        <v>#VALUE!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2.2737367544323206E-13</v>
      </c>
      <c r="AJ110" s="13">
        <f>AI110*VLOOKUP('Données projet'!$B$10,Paramètres!$A$1:$I$89,3,0)*VLOOKUP('Données projet'!$B$10,Paramètres!$A$1:$I$89,5,0)</f>
        <v>1.064108801074326E-13</v>
      </c>
      <c r="AK110" s="13">
        <f t="shared" si="89"/>
        <v>1.5870730813698654E-12</v>
      </c>
      <c r="AL110" s="20">
        <f t="shared" si="58"/>
        <v>2.9494845662396269E-12</v>
      </c>
      <c r="AM110" s="59">
        <f t="shared" si="59"/>
        <v>293.33333333333627</v>
      </c>
      <c r="AN110" s="59">
        <f ca="1">AVERAGE(OFFSET($AM$3,0,0,'Données projet'!$E$10+1,1))-AVERAGE(OFFSET($H$3,0,0,'Données projet'!$E$10+1,1))</f>
        <v>205.31676282910638</v>
      </c>
      <c r="AO110" s="59">
        <f t="shared" si="90"/>
        <v>190.64998698136026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#VALUE!</v>
      </c>
      <c r="AV110" s="21" t="e">
        <f>EXP(-LN(2)/25)*AV109+(1-EXP(-LN(2)/25))/(LN(2)/25)*Calculateur!AQ110*Calculateur!AS110*VLOOKUP('Données projet'!$B$10,Paramètres!$A$1:$I$89,3,0)*0.475*44/12</f>
        <v>#VALUE!</v>
      </c>
      <c r="AW110" s="21" t="e">
        <f>EXP(-LN(2)/2)*AW109+(1-EXP(-LN(2)/2))/(LN(2)/2)*AQ110*AT110*VLOOKUP('Données projet'!$B$10,Paramètres!$A$1:$I$89,3,0)*0.475*44/12</f>
        <v>#VALUE!</v>
      </c>
      <c r="AX110" s="21" t="e">
        <f t="shared" si="60"/>
        <v>#VALUE!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215.55381529099924</v>
      </c>
      <c r="T111" s="59">
        <f t="shared" si="88"/>
        <v>158.77848520346532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 t="e">
        <f>EXP(-LN(2)/35)*Z110+(1-EXP(-LN(2)/35))/(LN(2)/35)*V111*W111*VLOOKUP('Données projet'!$B$9,Paramètres!$A$1:$I$89,3,0)*0.475*44/12</f>
        <v>#VALUE!</v>
      </c>
      <c r="AA111" s="21" t="e">
        <f>EXP(-LN(2)/25)*AA110+(1-EXP(-LN(2)/25))/(LN(2)/25)*Calculateur!V111*Calculateur!X111*VLOOKUP('Données projet'!$B$9,Paramètres!$A$1:$I$89,3,0)*0.475*44/12</f>
        <v>#VALUE!</v>
      </c>
      <c r="AB111" s="21" t="e">
        <f>EXP(-LN(2)/2)*AB110+(1-EXP(-LN(2)/2))/(LN(2)/2)*V111*Y111*VLOOKUP('Données projet'!$B$9,Paramètres!$A$1:$I$89,3,0)*0.475*44/12</f>
        <v>#VALUE!</v>
      </c>
      <c r="AC111" s="22" t="e">
        <f t="shared" si="57"/>
        <v>#VALUE!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2.2737367544323206E-13</v>
      </c>
      <c r="AJ111" s="13">
        <f>AI111*VLOOKUP('Données projet'!$B$10,Paramètres!$A$1:$I$89,3,0)*VLOOKUP('Données projet'!$B$10,Paramètres!$A$1:$I$89,5,0)</f>
        <v>1.064108801074326E-13</v>
      </c>
      <c r="AK111" s="13">
        <f t="shared" si="89"/>
        <v>1.5870730813698654E-12</v>
      </c>
      <c r="AL111" s="20">
        <f t="shared" si="58"/>
        <v>2.9494845662396269E-12</v>
      </c>
      <c r="AM111" s="59">
        <f t="shared" si="59"/>
        <v>293.33333333333627</v>
      </c>
      <c r="AN111" s="59">
        <f ca="1">AVERAGE(OFFSET($AM$3,0,0,'Données projet'!$E$10+1,1))-AVERAGE(OFFSET($H$3,0,0,'Données projet'!$E$10+1,1))</f>
        <v>205.31676282910638</v>
      </c>
      <c r="AO111" s="59">
        <f t="shared" si="90"/>
        <v>190.64998698136026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#VALUE!</v>
      </c>
      <c r="AV111" s="21" t="e">
        <f>EXP(-LN(2)/25)*AV110+(1-EXP(-LN(2)/25))/(LN(2)/25)*Calculateur!AQ111*Calculateur!AS111*VLOOKUP('Données projet'!$B$10,Paramètres!$A$1:$I$89,3,0)*0.475*44/12</f>
        <v>#VALUE!</v>
      </c>
      <c r="AW111" s="21" t="e">
        <f>EXP(-LN(2)/2)*AW110+(1-EXP(-LN(2)/2))/(LN(2)/2)*AQ111*AT111*VLOOKUP('Données projet'!$B$10,Paramètres!$A$1:$I$89,3,0)*0.475*44/12</f>
        <v>#VALUE!</v>
      </c>
      <c r="AX111" s="21" t="e">
        <f t="shared" si="60"/>
        <v>#VALUE!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215.55381529099924</v>
      </c>
      <c r="T112" s="59">
        <f t="shared" si="88"/>
        <v>158.77848520346532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 t="e">
        <f>EXP(-LN(2)/35)*Z111+(1-EXP(-LN(2)/35))/(LN(2)/35)*V112*W112*VLOOKUP('Données projet'!$B$9,Paramètres!$A$1:$I$89,3,0)*0.475*44/12</f>
        <v>#VALUE!</v>
      </c>
      <c r="AA112" s="21" t="e">
        <f>EXP(-LN(2)/25)*AA111+(1-EXP(-LN(2)/25))/(LN(2)/25)*Calculateur!V112*Calculateur!X112*VLOOKUP('Données projet'!$B$9,Paramètres!$A$1:$I$89,3,0)*0.475*44/12</f>
        <v>#VALUE!</v>
      </c>
      <c r="AB112" s="21" t="e">
        <f>EXP(-LN(2)/2)*AB111+(1-EXP(-LN(2)/2))/(LN(2)/2)*V112*Y112*VLOOKUP('Données projet'!$B$9,Paramètres!$A$1:$I$89,3,0)*0.475*44/12</f>
        <v>#VALUE!</v>
      </c>
      <c r="AC112" s="22" t="e">
        <f t="shared" si="57"/>
        <v>#VALUE!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2.2737367544323206E-13</v>
      </c>
      <c r="AJ112" s="13">
        <f>AI112*VLOOKUP('Données projet'!$B$10,Paramètres!$A$1:$I$89,3,0)*VLOOKUP('Données projet'!$B$10,Paramètres!$A$1:$I$89,5,0)</f>
        <v>1.064108801074326E-13</v>
      </c>
      <c r="AK112" s="13">
        <f t="shared" si="89"/>
        <v>1.5870730813698654E-12</v>
      </c>
      <c r="AL112" s="20">
        <f t="shared" si="58"/>
        <v>2.9494845662396269E-12</v>
      </c>
      <c r="AM112" s="59">
        <f t="shared" si="59"/>
        <v>293.33333333333627</v>
      </c>
      <c r="AN112" s="59">
        <f ca="1">AVERAGE(OFFSET($AM$3,0,0,'Données projet'!$E$10+1,1))-AVERAGE(OFFSET($H$3,0,0,'Données projet'!$E$10+1,1))</f>
        <v>205.31676282910638</v>
      </c>
      <c r="AO112" s="59">
        <f t="shared" si="90"/>
        <v>190.64998698136026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#VALUE!</v>
      </c>
      <c r="AV112" s="21" t="e">
        <f>EXP(-LN(2)/25)*AV111+(1-EXP(-LN(2)/25))/(LN(2)/25)*Calculateur!AQ112*Calculateur!AS112*VLOOKUP('Données projet'!$B$10,Paramètres!$A$1:$I$89,3,0)*0.475*44/12</f>
        <v>#VALUE!</v>
      </c>
      <c r="AW112" s="21" t="e">
        <f>EXP(-LN(2)/2)*AW111+(1-EXP(-LN(2)/2))/(LN(2)/2)*AQ112*AT112*VLOOKUP('Données projet'!$B$10,Paramètres!$A$1:$I$89,3,0)*0.475*44/12</f>
        <v>#VALUE!</v>
      </c>
      <c r="AX112" s="21" t="e">
        <f t="shared" si="60"/>
        <v>#VALUE!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215.55381529099924</v>
      </c>
      <c r="T113" s="59">
        <f t="shared" si="88"/>
        <v>158.77848520346532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 t="e">
        <f>EXP(-LN(2)/35)*Z112+(1-EXP(-LN(2)/35))/(LN(2)/35)*V113*W113*VLOOKUP('Données projet'!$B$9,Paramètres!$A$1:$I$89,3,0)*0.475*44/12</f>
        <v>#VALUE!</v>
      </c>
      <c r="AA113" s="21" t="e">
        <f>EXP(-LN(2)/25)*AA112+(1-EXP(-LN(2)/25))/(LN(2)/25)*Calculateur!V113*Calculateur!X113*VLOOKUP('Données projet'!$B$9,Paramètres!$A$1:$I$89,3,0)*0.475*44/12</f>
        <v>#VALUE!</v>
      </c>
      <c r="AB113" s="21" t="e">
        <f>EXP(-LN(2)/2)*AB112+(1-EXP(-LN(2)/2))/(LN(2)/2)*V113*Y113*VLOOKUP('Données projet'!$B$9,Paramètres!$A$1:$I$89,3,0)*0.475*44/12</f>
        <v>#VALUE!</v>
      </c>
      <c r="AC113" s="22" t="e">
        <f t="shared" si="57"/>
        <v>#VALUE!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2.2737367544323206E-13</v>
      </c>
      <c r="AJ113" s="13">
        <f>AI113*VLOOKUP('Données projet'!$B$10,Paramètres!$A$1:$I$89,3,0)*VLOOKUP('Données projet'!$B$10,Paramètres!$A$1:$I$89,5,0)</f>
        <v>1.064108801074326E-13</v>
      </c>
      <c r="AK113" s="13">
        <f t="shared" si="89"/>
        <v>1.5870730813698654E-12</v>
      </c>
      <c r="AL113" s="20">
        <f t="shared" si="58"/>
        <v>2.9494845662396269E-12</v>
      </c>
      <c r="AM113" s="59">
        <f t="shared" si="59"/>
        <v>293.33333333333627</v>
      </c>
      <c r="AN113" s="59">
        <f ca="1">AVERAGE(OFFSET($AM$3,0,0,'Données projet'!$E$10+1,1))-AVERAGE(OFFSET($H$3,0,0,'Données projet'!$E$10+1,1))</f>
        <v>205.31676282910638</v>
      </c>
      <c r="AO113" s="59">
        <f t="shared" si="90"/>
        <v>190.64998698136026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#VALUE!</v>
      </c>
      <c r="AV113" s="21" t="e">
        <f>EXP(-LN(2)/25)*AV112+(1-EXP(-LN(2)/25))/(LN(2)/25)*Calculateur!AQ113*Calculateur!AS113*VLOOKUP('Données projet'!$B$10,Paramètres!$A$1:$I$89,3,0)*0.475*44/12</f>
        <v>#VALUE!</v>
      </c>
      <c r="AW113" s="21" t="e">
        <f>EXP(-LN(2)/2)*AW112+(1-EXP(-LN(2)/2))/(LN(2)/2)*AQ113*AT113*VLOOKUP('Données projet'!$B$10,Paramètres!$A$1:$I$89,3,0)*0.475*44/12</f>
        <v>#VALUE!</v>
      </c>
      <c r="AX113" s="21" t="e">
        <f t="shared" si="60"/>
        <v>#VALUE!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215.55381529099924</v>
      </c>
      <c r="T114" s="59">
        <f t="shared" si="88"/>
        <v>158.77848520346532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 t="e">
        <f>EXP(-LN(2)/35)*Z113+(1-EXP(-LN(2)/35))/(LN(2)/35)*V114*W114*VLOOKUP('Données projet'!$B$9,Paramètres!$A$1:$I$89,3,0)*0.475*44/12</f>
        <v>#VALUE!</v>
      </c>
      <c r="AA114" s="21" t="e">
        <f>EXP(-LN(2)/25)*AA113+(1-EXP(-LN(2)/25))/(LN(2)/25)*Calculateur!V114*Calculateur!X114*VLOOKUP('Données projet'!$B$9,Paramètres!$A$1:$I$89,3,0)*0.475*44/12</f>
        <v>#VALUE!</v>
      </c>
      <c r="AB114" s="21" t="e">
        <f>EXP(-LN(2)/2)*AB113+(1-EXP(-LN(2)/2))/(LN(2)/2)*V114*Y114*VLOOKUP('Données projet'!$B$9,Paramètres!$A$1:$I$89,3,0)*0.475*44/12</f>
        <v>#VALUE!</v>
      </c>
      <c r="AC114" s="22" t="e">
        <f t="shared" si="57"/>
        <v>#VALUE!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2.2737367544323206E-13</v>
      </c>
      <c r="AJ114" s="13">
        <f>AI114*VLOOKUP('Données projet'!$B$10,Paramètres!$A$1:$I$89,3,0)*VLOOKUP('Données projet'!$B$10,Paramètres!$A$1:$I$89,5,0)</f>
        <v>1.064108801074326E-13</v>
      </c>
      <c r="AK114" s="13">
        <f t="shared" si="89"/>
        <v>1.5870730813698654E-12</v>
      </c>
      <c r="AL114" s="20">
        <f t="shared" si="58"/>
        <v>2.9494845662396269E-12</v>
      </c>
      <c r="AM114" s="59">
        <f t="shared" si="59"/>
        <v>293.33333333333627</v>
      </c>
      <c r="AN114" s="59">
        <f ca="1">AVERAGE(OFFSET($AM$3,0,0,'Données projet'!$E$10+1,1))-AVERAGE(OFFSET($H$3,0,0,'Données projet'!$E$10+1,1))</f>
        <v>205.31676282910638</v>
      </c>
      <c r="AO114" s="59">
        <f t="shared" si="90"/>
        <v>190.64998698136026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#VALUE!</v>
      </c>
      <c r="AV114" s="21" t="e">
        <f>EXP(-LN(2)/25)*AV113+(1-EXP(-LN(2)/25))/(LN(2)/25)*Calculateur!AQ114*Calculateur!AS114*VLOOKUP('Données projet'!$B$10,Paramètres!$A$1:$I$89,3,0)*0.475*44/12</f>
        <v>#VALUE!</v>
      </c>
      <c r="AW114" s="21" t="e">
        <f>EXP(-LN(2)/2)*AW113+(1-EXP(-LN(2)/2))/(LN(2)/2)*AQ114*AT114*VLOOKUP('Données projet'!$B$10,Paramètres!$A$1:$I$89,3,0)*0.475*44/12</f>
        <v>#VALUE!</v>
      </c>
      <c r="AX114" s="21" t="e">
        <f t="shared" si="60"/>
        <v>#VALUE!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215.55381529099924</v>
      </c>
      <c r="T115" s="59">
        <f t="shared" si="88"/>
        <v>158.77848520346532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 t="e">
        <f>EXP(-LN(2)/35)*Z114+(1-EXP(-LN(2)/35))/(LN(2)/35)*V115*W115*VLOOKUP('Données projet'!$B$9,Paramètres!$A$1:$I$89,3,0)*0.475*44/12</f>
        <v>#VALUE!</v>
      </c>
      <c r="AA115" s="21" t="e">
        <f>EXP(-LN(2)/25)*AA114+(1-EXP(-LN(2)/25))/(LN(2)/25)*Calculateur!V115*Calculateur!X115*VLOOKUP('Données projet'!$B$9,Paramètres!$A$1:$I$89,3,0)*0.475*44/12</f>
        <v>#VALUE!</v>
      </c>
      <c r="AB115" s="21" t="e">
        <f>EXP(-LN(2)/2)*AB114+(1-EXP(-LN(2)/2))/(LN(2)/2)*V115*Y115*VLOOKUP('Données projet'!$B$9,Paramètres!$A$1:$I$89,3,0)*0.475*44/12</f>
        <v>#VALUE!</v>
      </c>
      <c r="AC115" s="22" t="e">
        <f t="shared" si="57"/>
        <v>#VALUE!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2.2737367544323206E-13</v>
      </c>
      <c r="AJ115" s="13">
        <f>AI115*VLOOKUP('Données projet'!$B$10,Paramètres!$A$1:$I$89,3,0)*VLOOKUP('Données projet'!$B$10,Paramètres!$A$1:$I$89,5,0)</f>
        <v>1.064108801074326E-13</v>
      </c>
      <c r="AK115" s="13">
        <f t="shared" si="89"/>
        <v>1.5870730813698654E-12</v>
      </c>
      <c r="AL115" s="20">
        <f t="shared" si="58"/>
        <v>2.9494845662396269E-12</v>
      </c>
      <c r="AM115" s="59">
        <f t="shared" si="59"/>
        <v>293.33333333333627</v>
      </c>
      <c r="AN115" s="59">
        <f ca="1">AVERAGE(OFFSET($AM$3,0,0,'Données projet'!$E$10+1,1))-AVERAGE(OFFSET($H$3,0,0,'Données projet'!$E$10+1,1))</f>
        <v>205.31676282910638</v>
      </c>
      <c r="AO115" s="59">
        <f t="shared" si="90"/>
        <v>190.64998698136026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#VALUE!</v>
      </c>
      <c r="AV115" s="21" t="e">
        <f>EXP(-LN(2)/25)*AV114+(1-EXP(-LN(2)/25))/(LN(2)/25)*Calculateur!AQ115*Calculateur!AS115*VLOOKUP('Données projet'!$B$10,Paramètres!$A$1:$I$89,3,0)*0.475*44/12</f>
        <v>#VALUE!</v>
      </c>
      <c r="AW115" s="21" t="e">
        <f>EXP(-LN(2)/2)*AW114+(1-EXP(-LN(2)/2))/(LN(2)/2)*AQ115*AT115*VLOOKUP('Données projet'!$B$10,Paramètres!$A$1:$I$89,3,0)*0.475*44/12</f>
        <v>#VALUE!</v>
      </c>
      <c r="AX115" s="21" t="e">
        <f t="shared" si="60"/>
        <v>#VALUE!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215.55381529099924</v>
      </c>
      <c r="T116" s="59">
        <f t="shared" si="88"/>
        <v>158.77848520346532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 t="e">
        <f>EXP(-LN(2)/35)*Z115+(1-EXP(-LN(2)/35))/(LN(2)/35)*V116*W116*VLOOKUP('Données projet'!$B$9,Paramètres!$A$1:$I$89,3,0)*0.475*44/12</f>
        <v>#VALUE!</v>
      </c>
      <c r="AA116" s="21" t="e">
        <f>EXP(-LN(2)/25)*AA115+(1-EXP(-LN(2)/25))/(LN(2)/25)*Calculateur!V116*Calculateur!X116*VLOOKUP('Données projet'!$B$9,Paramètres!$A$1:$I$89,3,0)*0.475*44/12</f>
        <v>#VALUE!</v>
      </c>
      <c r="AB116" s="21" t="e">
        <f>EXP(-LN(2)/2)*AB115+(1-EXP(-LN(2)/2))/(LN(2)/2)*V116*Y116*VLOOKUP('Données projet'!$B$9,Paramètres!$A$1:$I$89,3,0)*0.475*44/12</f>
        <v>#VALUE!</v>
      </c>
      <c r="AC116" s="22" t="e">
        <f t="shared" si="57"/>
        <v>#VALUE!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2.2737367544323206E-13</v>
      </c>
      <c r="AJ116" s="13">
        <f>AI116*VLOOKUP('Données projet'!$B$10,Paramètres!$A$1:$I$89,3,0)*VLOOKUP('Données projet'!$B$10,Paramètres!$A$1:$I$89,5,0)</f>
        <v>1.064108801074326E-13</v>
      </c>
      <c r="AK116" s="13">
        <f t="shared" si="89"/>
        <v>1.5870730813698654E-12</v>
      </c>
      <c r="AL116" s="20">
        <f t="shared" si="58"/>
        <v>2.9494845662396269E-12</v>
      </c>
      <c r="AM116" s="59">
        <f t="shared" si="59"/>
        <v>293.33333333333627</v>
      </c>
      <c r="AN116" s="59">
        <f ca="1">AVERAGE(OFFSET($AM$3,0,0,'Données projet'!$E$10+1,1))-AVERAGE(OFFSET($H$3,0,0,'Données projet'!$E$10+1,1))</f>
        <v>205.31676282910638</v>
      </c>
      <c r="AO116" s="59">
        <f t="shared" si="90"/>
        <v>190.64998698136026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#VALUE!</v>
      </c>
      <c r="AV116" s="21" t="e">
        <f>EXP(-LN(2)/25)*AV115+(1-EXP(-LN(2)/25))/(LN(2)/25)*Calculateur!AQ116*Calculateur!AS116*VLOOKUP('Données projet'!$B$10,Paramètres!$A$1:$I$89,3,0)*0.475*44/12</f>
        <v>#VALUE!</v>
      </c>
      <c r="AW116" s="21" t="e">
        <f>EXP(-LN(2)/2)*AW115+(1-EXP(-LN(2)/2))/(LN(2)/2)*AQ116*AT116*VLOOKUP('Données projet'!$B$10,Paramètres!$A$1:$I$89,3,0)*0.475*44/12</f>
        <v>#VALUE!</v>
      </c>
      <c r="AX116" s="21" t="e">
        <f t="shared" si="60"/>
        <v>#VALUE!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215.55381529099924</v>
      </c>
      <c r="T117" s="59">
        <f t="shared" si="88"/>
        <v>158.77848520346532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 t="e">
        <f>EXP(-LN(2)/35)*Z116+(1-EXP(-LN(2)/35))/(LN(2)/35)*V117*W117*VLOOKUP('Données projet'!$B$9,Paramètres!$A$1:$I$89,3,0)*0.475*44/12</f>
        <v>#VALUE!</v>
      </c>
      <c r="AA117" s="21" t="e">
        <f>EXP(-LN(2)/25)*AA116+(1-EXP(-LN(2)/25))/(LN(2)/25)*Calculateur!V117*Calculateur!X117*VLOOKUP('Données projet'!$B$9,Paramètres!$A$1:$I$89,3,0)*0.475*44/12</f>
        <v>#VALUE!</v>
      </c>
      <c r="AB117" s="21" t="e">
        <f>EXP(-LN(2)/2)*AB116+(1-EXP(-LN(2)/2))/(LN(2)/2)*V117*Y117*VLOOKUP('Données projet'!$B$9,Paramètres!$A$1:$I$89,3,0)*0.475*44/12</f>
        <v>#VALUE!</v>
      </c>
      <c r="AC117" s="22" t="e">
        <f t="shared" si="57"/>
        <v>#VALUE!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2.2737367544323206E-13</v>
      </c>
      <c r="AJ117" s="13">
        <f>AI117*VLOOKUP('Données projet'!$B$10,Paramètres!$A$1:$I$89,3,0)*VLOOKUP('Données projet'!$B$10,Paramètres!$A$1:$I$89,5,0)</f>
        <v>1.064108801074326E-13</v>
      </c>
      <c r="AK117" s="13">
        <f t="shared" si="89"/>
        <v>1.5870730813698654E-12</v>
      </c>
      <c r="AL117" s="20">
        <f t="shared" si="58"/>
        <v>2.9494845662396269E-12</v>
      </c>
      <c r="AM117" s="59">
        <f t="shared" si="59"/>
        <v>293.33333333333627</v>
      </c>
      <c r="AN117" s="59">
        <f ca="1">AVERAGE(OFFSET($AM$3,0,0,'Données projet'!$E$10+1,1))-AVERAGE(OFFSET($H$3,0,0,'Données projet'!$E$10+1,1))</f>
        <v>205.31676282910638</v>
      </c>
      <c r="AO117" s="59">
        <f t="shared" si="90"/>
        <v>190.64998698136026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#VALUE!</v>
      </c>
      <c r="AV117" s="21" t="e">
        <f>EXP(-LN(2)/25)*AV116+(1-EXP(-LN(2)/25))/(LN(2)/25)*Calculateur!AQ117*Calculateur!AS117*VLOOKUP('Données projet'!$B$10,Paramètres!$A$1:$I$89,3,0)*0.475*44/12</f>
        <v>#VALUE!</v>
      </c>
      <c r="AW117" s="21" t="e">
        <f>EXP(-LN(2)/2)*AW116+(1-EXP(-LN(2)/2))/(LN(2)/2)*AQ117*AT117*VLOOKUP('Données projet'!$B$10,Paramètres!$A$1:$I$89,3,0)*0.475*44/12</f>
        <v>#VALUE!</v>
      </c>
      <c r="AX117" s="21" t="e">
        <f t="shared" si="60"/>
        <v>#VALUE!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215.55381529099924</v>
      </c>
      <c r="T118" s="59">
        <f t="shared" si="88"/>
        <v>158.77848520346532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 t="e">
        <f>EXP(-LN(2)/35)*Z117+(1-EXP(-LN(2)/35))/(LN(2)/35)*V118*W118*VLOOKUP('Données projet'!$B$9,Paramètres!$A$1:$I$89,3,0)*0.475*44/12</f>
        <v>#VALUE!</v>
      </c>
      <c r="AA118" s="21" t="e">
        <f>EXP(-LN(2)/25)*AA117+(1-EXP(-LN(2)/25))/(LN(2)/25)*Calculateur!V118*Calculateur!X118*VLOOKUP('Données projet'!$B$9,Paramètres!$A$1:$I$89,3,0)*0.475*44/12</f>
        <v>#VALUE!</v>
      </c>
      <c r="AB118" s="21" t="e">
        <f>EXP(-LN(2)/2)*AB117+(1-EXP(-LN(2)/2))/(LN(2)/2)*V118*Y118*VLOOKUP('Données projet'!$B$9,Paramètres!$A$1:$I$89,3,0)*0.475*44/12</f>
        <v>#VALUE!</v>
      </c>
      <c r="AC118" s="22" t="e">
        <f t="shared" si="57"/>
        <v>#VALUE!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2.2737367544323206E-13</v>
      </c>
      <c r="AJ118" s="13">
        <f>AI118*VLOOKUP('Données projet'!$B$10,Paramètres!$A$1:$I$89,3,0)*VLOOKUP('Données projet'!$B$10,Paramètres!$A$1:$I$89,5,0)</f>
        <v>1.064108801074326E-13</v>
      </c>
      <c r="AK118" s="13">
        <f t="shared" si="89"/>
        <v>1.5870730813698654E-12</v>
      </c>
      <c r="AL118" s="20">
        <f t="shared" si="58"/>
        <v>2.9494845662396269E-12</v>
      </c>
      <c r="AM118" s="59">
        <f t="shared" si="59"/>
        <v>293.33333333333627</v>
      </c>
      <c r="AN118" s="59">
        <f ca="1">AVERAGE(OFFSET($AM$3,0,0,'Données projet'!$E$10+1,1))-AVERAGE(OFFSET($H$3,0,0,'Données projet'!$E$10+1,1))</f>
        <v>205.31676282910638</v>
      </c>
      <c r="AO118" s="59">
        <f t="shared" si="90"/>
        <v>190.64998698136026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#VALUE!</v>
      </c>
      <c r="AV118" s="21" t="e">
        <f>EXP(-LN(2)/25)*AV117+(1-EXP(-LN(2)/25))/(LN(2)/25)*Calculateur!AQ118*Calculateur!AS118*VLOOKUP('Données projet'!$B$10,Paramètres!$A$1:$I$89,3,0)*0.475*44/12</f>
        <v>#VALUE!</v>
      </c>
      <c r="AW118" s="21" t="e">
        <f>EXP(-LN(2)/2)*AW117+(1-EXP(-LN(2)/2))/(LN(2)/2)*AQ118*AT118*VLOOKUP('Données projet'!$B$10,Paramètres!$A$1:$I$89,3,0)*0.475*44/12</f>
        <v>#VALUE!</v>
      </c>
      <c r="AX118" s="21" t="e">
        <f t="shared" si="60"/>
        <v>#VALUE!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215.55381529099924</v>
      </c>
      <c r="T119" s="59">
        <f t="shared" si="88"/>
        <v>158.77848520346532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 t="e">
        <f>EXP(-LN(2)/35)*Z118+(1-EXP(-LN(2)/35))/(LN(2)/35)*V119*W119*VLOOKUP('Données projet'!$B$9,Paramètres!$A$1:$I$89,3,0)*0.475*44/12</f>
        <v>#VALUE!</v>
      </c>
      <c r="AA119" s="21" t="e">
        <f>EXP(-LN(2)/25)*AA118+(1-EXP(-LN(2)/25))/(LN(2)/25)*Calculateur!V119*Calculateur!X119*VLOOKUP('Données projet'!$B$9,Paramètres!$A$1:$I$89,3,0)*0.475*44/12</f>
        <v>#VALUE!</v>
      </c>
      <c r="AB119" s="21" t="e">
        <f>EXP(-LN(2)/2)*AB118+(1-EXP(-LN(2)/2))/(LN(2)/2)*V119*Y119*VLOOKUP('Données projet'!$B$9,Paramètres!$A$1:$I$89,3,0)*0.475*44/12</f>
        <v>#VALUE!</v>
      </c>
      <c r="AC119" s="22" t="e">
        <f t="shared" si="57"/>
        <v>#VALUE!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2.2737367544323206E-13</v>
      </c>
      <c r="AJ119" s="13">
        <f>AI119*VLOOKUP('Données projet'!$B$10,Paramètres!$A$1:$I$89,3,0)*VLOOKUP('Données projet'!$B$10,Paramètres!$A$1:$I$89,5,0)</f>
        <v>1.064108801074326E-13</v>
      </c>
      <c r="AK119" s="13">
        <f t="shared" si="89"/>
        <v>1.5870730813698654E-12</v>
      </c>
      <c r="AL119" s="20">
        <f t="shared" si="58"/>
        <v>2.9494845662396269E-12</v>
      </c>
      <c r="AM119" s="59">
        <f t="shared" si="59"/>
        <v>293.33333333333627</v>
      </c>
      <c r="AN119" s="59">
        <f ca="1">AVERAGE(OFFSET($AM$3,0,0,'Données projet'!$E$10+1,1))-AVERAGE(OFFSET($H$3,0,0,'Données projet'!$E$10+1,1))</f>
        <v>205.31676282910638</v>
      </c>
      <c r="AO119" s="59">
        <f t="shared" si="90"/>
        <v>190.64998698136026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#VALUE!</v>
      </c>
      <c r="AV119" s="21" t="e">
        <f>EXP(-LN(2)/25)*AV118+(1-EXP(-LN(2)/25))/(LN(2)/25)*Calculateur!AQ119*Calculateur!AS119*VLOOKUP('Données projet'!$B$10,Paramètres!$A$1:$I$89,3,0)*0.475*44/12</f>
        <v>#VALUE!</v>
      </c>
      <c r="AW119" s="21" t="e">
        <f>EXP(-LN(2)/2)*AW118+(1-EXP(-LN(2)/2))/(LN(2)/2)*AQ119*AT119*VLOOKUP('Données projet'!$B$10,Paramètres!$A$1:$I$89,3,0)*0.475*44/12</f>
        <v>#VALUE!</v>
      </c>
      <c r="AX119" s="21" t="e">
        <f t="shared" si="60"/>
        <v>#VALUE!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215.55381529099924</v>
      </c>
      <c r="T120" s="59">
        <f t="shared" si="88"/>
        <v>158.77848520346532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 t="e">
        <f>EXP(-LN(2)/35)*Z119+(1-EXP(-LN(2)/35))/(LN(2)/35)*V120*W120*VLOOKUP('Données projet'!$B$9,Paramètres!$A$1:$I$89,3,0)*0.475*44/12</f>
        <v>#VALUE!</v>
      </c>
      <c r="AA120" s="21" t="e">
        <f>EXP(-LN(2)/25)*AA119+(1-EXP(-LN(2)/25))/(LN(2)/25)*Calculateur!V120*Calculateur!X120*VLOOKUP('Données projet'!$B$9,Paramètres!$A$1:$I$89,3,0)*0.475*44/12</f>
        <v>#VALUE!</v>
      </c>
      <c r="AB120" s="21" t="e">
        <f>EXP(-LN(2)/2)*AB119+(1-EXP(-LN(2)/2))/(LN(2)/2)*V120*Y120*VLOOKUP('Données projet'!$B$9,Paramètres!$A$1:$I$89,3,0)*0.475*44/12</f>
        <v>#VALUE!</v>
      </c>
      <c r="AC120" s="22" t="e">
        <f t="shared" si="57"/>
        <v>#VALUE!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2.2737367544323206E-13</v>
      </c>
      <c r="AJ120" s="13">
        <f>AI120*VLOOKUP('Données projet'!$B$10,Paramètres!$A$1:$I$89,3,0)*VLOOKUP('Données projet'!$B$10,Paramètres!$A$1:$I$89,5,0)</f>
        <v>1.064108801074326E-13</v>
      </c>
      <c r="AK120" s="13">
        <f t="shared" si="89"/>
        <v>1.5870730813698654E-12</v>
      </c>
      <c r="AL120" s="20">
        <f t="shared" si="58"/>
        <v>2.9494845662396269E-12</v>
      </c>
      <c r="AM120" s="59">
        <f t="shared" si="59"/>
        <v>293.33333333333627</v>
      </c>
      <c r="AN120" s="59">
        <f ca="1">AVERAGE(OFFSET($AM$3,0,0,'Données projet'!$E$10+1,1))-AVERAGE(OFFSET($H$3,0,0,'Données projet'!$E$10+1,1))</f>
        <v>205.31676282910638</v>
      </c>
      <c r="AO120" s="59">
        <f t="shared" si="90"/>
        <v>190.64998698136026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#VALUE!</v>
      </c>
      <c r="AV120" s="21" t="e">
        <f>EXP(-LN(2)/25)*AV119+(1-EXP(-LN(2)/25))/(LN(2)/25)*Calculateur!AQ120*Calculateur!AS120*VLOOKUP('Données projet'!$B$10,Paramètres!$A$1:$I$89,3,0)*0.475*44/12</f>
        <v>#VALUE!</v>
      </c>
      <c r="AW120" s="21" t="e">
        <f>EXP(-LN(2)/2)*AW119+(1-EXP(-LN(2)/2))/(LN(2)/2)*AQ120*AT120*VLOOKUP('Données projet'!$B$10,Paramètres!$A$1:$I$89,3,0)*0.475*44/12</f>
        <v>#VALUE!</v>
      </c>
      <c r="AX120" s="21" t="e">
        <f t="shared" si="60"/>
        <v>#VALUE!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215.55381529099924</v>
      </c>
      <c r="T121" s="59">
        <f t="shared" si="88"/>
        <v>158.77848520346532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 t="e">
        <f>EXP(-LN(2)/35)*Z120+(1-EXP(-LN(2)/35))/(LN(2)/35)*V121*W121*VLOOKUP('Données projet'!$B$9,Paramètres!$A$1:$I$89,3,0)*0.475*44/12</f>
        <v>#VALUE!</v>
      </c>
      <c r="AA121" s="21" t="e">
        <f>EXP(-LN(2)/25)*AA120+(1-EXP(-LN(2)/25))/(LN(2)/25)*Calculateur!V121*Calculateur!X121*VLOOKUP('Données projet'!$B$9,Paramètres!$A$1:$I$89,3,0)*0.475*44/12</f>
        <v>#VALUE!</v>
      </c>
      <c r="AB121" s="21" t="e">
        <f>EXP(-LN(2)/2)*AB120+(1-EXP(-LN(2)/2))/(LN(2)/2)*V121*Y121*VLOOKUP('Données projet'!$B$9,Paramètres!$A$1:$I$89,3,0)*0.475*44/12</f>
        <v>#VALUE!</v>
      </c>
      <c r="AC121" s="22" t="e">
        <f t="shared" si="57"/>
        <v>#VALUE!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2.2737367544323206E-13</v>
      </c>
      <c r="AJ121" s="13">
        <f>AI121*VLOOKUP('Données projet'!$B$10,Paramètres!$A$1:$I$89,3,0)*VLOOKUP('Données projet'!$B$10,Paramètres!$A$1:$I$89,5,0)</f>
        <v>1.064108801074326E-13</v>
      </c>
      <c r="AK121" s="13">
        <f t="shared" si="89"/>
        <v>1.5870730813698654E-12</v>
      </c>
      <c r="AL121" s="20">
        <f t="shared" si="58"/>
        <v>2.9494845662396269E-12</v>
      </c>
      <c r="AM121" s="59">
        <f t="shared" si="59"/>
        <v>293.33333333333627</v>
      </c>
      <c r="AN121" s="59">
        <f ca="1">AVERAGE(OFFSET($AM$3,0,0,'Données projet'!$E$10+1,1))-AVERAGE(OFFSET($H$3,0,0,'Données projet'!$E$10+1,1))</f>
        <v>205.31676282910638</v>
      </c>
      <c r="AO121" s="59">
        <f t="shared" si="90"/>
        <v>190.64998698136026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#VALUE!</v>
      </c>
      <c r="AV121" s="21" t="e">
        <f>EXP(-LN(2)/25)*AV120+(1-EXP(-LN(2)/25))/(LN(2)/25)*Calculateur!AQ121*Calculateur!AS121*VLOOKUP('Données projet'!$B$10,Paramètres!$A$1:$I$89,3,0)*0.475*44/12</f>
        <v>#VALUE!</v>
      </c>
      <c r="AW121" s="21" t="e">
        <f>EXP(-LN(2)/2)*AW120+(1-EXP(-LN(2)/2))/(LN(2)/2)*AQ121*AT121*VLOOKUP('Données projet'!$B$10,Paramètres!$A$1:$I$89,3,0)*0.475*44/12</f>
        <v>#VALUE!</v>
      </c>
      <c r="AX121" s="21" t="e">
        <f t="shared" si="60"/>
        <v>#VALUE!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215.55381529099924</v>
      </c>
      <c r="T122" s="59">
        <f t="shared" si="88"/>
        <v>158.77848520346532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 t="e">
        <f>EXP(-LN(2)/35)*Z121+(1-EXP(-LN(2)/35))/(LN(2)/35)*V122*W122*VLOOKUP('Données projet'!$B$9,Paramètres!$A$1:$I$89,3,0)*0.475*44/12</f>
        <v>#VALUE!</v>
      </c>
      <c r="AA122" s="21" t="e">
        <f>EXP(-LN(2)/25)*AA121+(1-EXP(-LN(2)/25))/(LN(2)/25)*Calculateur!V122*Calculateur!X122*VLOOKUP('Données projet'!$B$9,Paramètres!$A$1:$I$89,3,0)*0.475*44/12</f>
        <v>#VALUE!</v>
      </c>
      <c r="AB122" s="21" t="e">
        <f>EXP(-LN(2)/2)*AB121+(1-EXP(-LN(2)/2))/(LN(2)/2)*V122*Y122*VLOOKUP('Données projet'!$B$9,Paramètres!$A$1:$I$89,3,0)*0.475*44/12</f>
        <v>#VALUE!</v>
      </c>
      <c r="AC122" s="22" t="e">
        <f t="shared" si="57"/>
        <v>#VALUE!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2.2737367544323206E-13</v>
      </c>
      <c r="AJ122" s="13">
        <f>AI122*VLOOKUP('Données projet'!$B$10,Paramètres!$A$1:$I$89,3,0)*VLOOKUP('Données projet'!$B$10,Paramètres!$A$1:$I$89,5,0)</f>
        <v>1.064108801074326E-13</v>
      </c>
      <c r="AK122" s="13">
        <f t="shared" si="89"/>
        <v>1.5870730813698654E-12</v>
      </c>
      <c r="AL122" s="20">
        <f t="shared" si="58"/>
        <v>2.9494845662396269E-12</v>
      </c>
      <c r="AM122" s="59">
        <f t="shared" si="59"/>
        <v>293.33333333333627</v>
      </c>
      <c r="AN122" s="59">
        <f ca="1">AVERAGE(OFFSET($AM$3,0,0,'Données projet'!$E$10+1,1))-AVERAGE(OFFSET($H$3,0,0,'Données projet'!$E$10+1,1))</f>
        <v>205.31676282910638</v>
      </c>
      <c r="AO122" s="59">
        <f t="shared" si="90"/>
        <v>190.64998698136026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#VALUE!</v>
      </c>
      <c r="AV122" s="21" t="e">
        <f>EXP(-LN(2)/25)*AV121+(1-EXP(-LN(2)/25))/(LN(2)/25)*Calculateur!AQ122*Calculateur!AS122*VLOOKUP('Données projet'!$B$10,Paramètres!$A$1:$I$89,3,0)*0.475*44/12</f>
        <v>#VALUE!</v>
      </c>
      <c r="AW122" s="21" t="e">
        <f>EXP(-LN(2)/2)*AW121+(1-EXP(-LN(2)/2))/(LN(2)/2)*AQ122*AT122*VLOOKUP('Données projet'!$B$10,Paramètres!$A$1:$I$89,3,0)*0.475*44/12</f>
        <v>#VALUE!</v>
      </c>
      <c r="AX122" s="21" t="e">
        <f t="shared" si="60"/>
        <v>#VALUE!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215.55381529099924</v>
      </c>
      <c r="T123" s="59">
        <f t="shared" si="88"/>
        <v>158.77848520346532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 t="e">
        <f>EXP(-LN(2)/35)*Z122+(1-EXP(-LN(2)/35))/(LN(2)/35)*V123*W123*VLOOKUP('Données projet'!$B$9,Paramètres!$A$1:$I$89,3,0)*0.475*44/12</f>
        <v>#VALUE!</v>
      </c>
      <c r="AA123" s="21" t="e">
        <f>EXP(-LN(2)/25)*AA122+(1-EXP(-LN(2)/25))/(LN(2)/25)*Calculateur!V123*Calculateur!X123*VLOOKUP('Données projet'!$B$9,Paramètres!$A$1:$I$89,3,0)*0.475*44/12</f>
        <v>#VALUE!</v>
      </c>
      <c r="AB123" s="21" t="e">
        <f>EXP(-LN(2)/2)*AB122+(1-EXP(-LN(2)/2))/(LN(2)/2)*V123*Y123*VLOOKUP('Données projet'!$B$9,Paramètres!$A$1:$I$89,3,0)*0.475*44/12</f>
        <v>#VALUE!</v>
      </c>
      <c r="AC123" s="22" t="e">
        <f t="shared" si="57"/>
        <v>#VALUE!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2.2737367544323206E-13</v>
      </c>
      <c r="AJ123" s="13">
        <f>AI123*VLOOKUP('Données projet'!$B$10,Paramètres!$A$1:$I$89,3,0)*VLOOKUP('Données projet'!$B$10,Paramètres!$A$1:$I$89,5,0)</f>
        <v>1.064108801074326E-13</v>
      </c>
      <c r="AK123" s="13">
        <f t="shared" si="89"/>
        <v>1.5870730813698654E-12</v>
      </c>
      <c r="AL123" s="20">
        <f t="shared" si="58"/>
        <v>2.9494845662396269E-12</v>
      </c>
      <c r="AM123" s="59">
        <f t="shared" si="59"/>
        <v>293.33333333333627</v>
      </c>
      <c r="AN123" s="59">
        <f ca="1">AVERAGE(OFFSET($AM$3,0,0,'Données projet'!$E$10+1,1))-AVERAGE(OFFSET($H$3,0,0,'Données projet'!$E$10+1,1))</f>
        <v>205.31676282910638</v>
      </c>
      <c r="AO123" s="59">
        <f t="shared" si="90"/>
        <v>190.64998698136026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#VALUE!</v>
      </c>
      <c r="AV123" s="21" t="e">
        <f>EXP(-LN(2)/25)*AV122+(1-EXP(-LN(2)/25))/(LN(2)/25)*Calculateur!AQ123*Calculateur!AS123*VLOOKUP('Données projet'!$B$10,Paramètres!$A$1:$I$89,3,0)*0.475*44/12</f>
        <v>#VALUE!</v>
      </c>
      <c r="AW123" s="21" t="e">
        <f>EXP(-LN(2)/2)*AW122+(1-EXP(-LN(2)/2))/(LN(2)/2)*AQ123*AT123*VLOOKUP('Données projet'!$B$10,Paramètres!$A$1:$I$89,3,0)*0.475*44/12</f>
        <v>#VALUE!</v>
      </c>
      <c r="AX123" s="21" t="e">
        <f t="shared" si="60"/>
        <v>#VALUE!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215.55381529099924</v>
      </c>
      <c r="T124" s="59">
        <f t="shared" si="88"/>
        <v>158.77848520346532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 t="e">
        <f>EXP(-LN(2)/35)*Z123+(1-EXP(-LN(2)/35))/(LN(2)/35)*V124*W124*VLOOKUP('Données projet'!$B$9,Paramètres!$A$1:$I$89,3,0)*0.475*44/12</f>
        <v>#VALUE!</v>
      </c>
      <c r="AA124" s="21" t="e">
        <f>EXP(-LN(2)/25)*AA123+(1-EXP(-LN(2)/25))/(LN(2)/25)*Calculateur!V124*Calculateur!X124*VLOOKUP('Données projet'!$B$9,Paramètres!$A$1:$I$89,3,0)*0.475*44/12</f>
        <v>#VALUE!</v>
      </c>
      <c r="AB124" s="21" t="e">
        <f>EXP(-LN(2)/2)*AB123+(1-EXP(-LN(2)/2))/(LN(2)/2)*V124*Y124*VLOOKUP('Données projet'!$B$9,Paramètres!$A$1:$I$89,3,0)*0.475*44/12</f>
        <v>#VALUE!</v>
      </c>
      <c r="AC124" s="22" t="e">
        <f t="shared" si="57"/>
        <v>#VALUE!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2.2737367544323206E-13</v>
      </c>
      <c r="AJ124" s="13">
        <f>AI124*VLOOKUP('Données projet'!$B$10,Paramètres!$A$1:$I$89,3,0)*VLOOKUP('Données projet'!$B$10,Paramètres!$A$1:$I$89,5,0)</f>
        <v>1.064108801074326E-13</v>
      </c>
      <c r="AK124" s="13">
        <f t="shared" si="89"/>
        <v>1.5870730813698654E-12</v>
      </c>
      <c r="AL124" s="20">
        <f t="shared" si="58"/>
        <v>2.9494845662396269E-12</v>
      </c>
      <c r="AM124" s="59">
        <f t="shared" si="59"/>
        <v>293.33333333333627</v>
      </c>
      <c r="AN124" s="59">
        <f ca="1">AVERAGE(OFFSET($AM$3,0,0,'Données projet'!$E$10+1,1))-AVERAGE(OFFSET($H$3,0,0,'Données projet'!$E$10+1,1))</f>
        <v>205.31676282910638</v>
      </c>
      <c r="AO124" s="59">
        <f t="shared" si="90"/>
        <v>190.64998698136026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#VALUE!</v>
      </c>
      <c r="AV124" s="21" t="e">
        <f>EXP(-LN(2)/25)*AV123+(1-EXP(-LN(2)/25))/(LN(2)/25)*Calculateur!AQ124*Calculateur!AS124*VLOOKUP('Données projet'!$B$10,Paramètres!$A$1:$I$89,3,0)*0.475*44/12</f>
        <v>#VALUE!</v>
      </c>
      <c r="AW124" s="21" t="e">
        <f>EXP(-LN(2)/2)*AW123+(1-EXP(-LN(2)/2))/(LN(2)/2)*AQ124*AT124*VLOOKUP('Données projet'!$B$10,Paramètres!$A$1:$I$89,3,0)*0.475*44/12</f>
        <v>#VALUE!</v>
      </c>
      <c r="AX124" s="21" t="e">
        <f t="shared" si="60"/>
        <v>#VALUE!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215.55381529099924</v>
      </c>
      <c r="T125" s="59">
        <f t="shared" si="88"/>
        <v>158.77848520346532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 t="e">
        <f>EXP(-LN(2)/35)*Z124+(1-EXP(-LN(2)/35))/(LN(2)/35)*V125*W125*VLOOKUP('Données projet'!$B$9,Paramètres!$A$1:$I$89,3,0)*0.475*44/12</f>
        <v>#VALUE!</v>
      </c>
      <c r="AA125" s="21" t="e">
        <f>EXP(-LN(2)/25)*AA124+(1-EXP(-LN(2)/25))/(LN(2)/25)*Calculateur!V125*Calculateur!X125*VLOOKUP('Données projet'!$B$9,Paramètres!$A$1:$I$89,3,0)*0.475*44/12</f>
        <v>#VALUE!</v>
      </c>
      <c r="AB125" s="21" t="e">
        <f>EXP(-LN(2)/2)*AB124+(1-EXP(-LN(2)/2))/(LN(2)/2)*V125*Y125*VLOOKUP('Données projet'!$B$9,Paramètres!$A$1:$I$89,3,0)*0.475*44/12</f>
        <v>#VALUE!</v>
      </c>
      <c r="AC125" s="22" t="e">
        <f t="shared" si="57"/>
        <v>#VALUE!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2.2737367544323206E-13</v>
      </c>
      <c r="AJ125" s="13">
        <f>AI125*VLOOKUP('Données projet'!$B$10,Paramètres!$A$1:$I$89,3,0)*VLOOKUP('Données projet'!$B$10,Paramètres!$A$1:$I$89,5,0)</f>
        <v>1.064108801074326E-13</v>
      </c>
      <c r="AK125" s="13">
        <f t="shared" si="89"/>
        <v>1.5870730813698654E-12</v>
      </c>
      <c r="AL125" s="20">
        <f t="shared" si="58"/>
        <v>2.9494845662396269E-12</v>
      </c>
      <c r="AM125" s="59">
        <f t="shared" si="59"/>
        <v>293.33333333333627</v>
      </c>
      <c r="AN125" s="59">
        <f ca="1">AVERAGE(OFFSET($AM$3,0,0,'Données projet'!$E$10+1,1))-AVERAGE(OFFSET($H$3,0,0,'Données projet'!$E$10+1,1))</f>
        <v>205.31676282910638</v>
      </c>
      <c r="AO125" s="59">
        <f t="shared" si="90"/>
        <v>190.64998698136026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#VALUE!</v>
      </c>
      <c r="AV125" s="21" t="e">
        <f>EXP(-LN(2)/25)*AV124+(1-EXP(-LN(2)/25))/(LN(2)/25)*Calculateur!AQ125*Calculateur!AS125*VLOOKUP('Données projet'!$B$10,Paramètres!$A$1:$I$89,3,0)*0.475*44/12</f>
        <v>#VALUE!</v>
      </c>
      <c r="AW125" s="21" t="e">
        <f>EXP(-LN(2)/2)*AW124+(1-EXP(-LN(2)/2))/(LN(2)/2)*AQ125*AT125*VLOOKUP('Données projet'!$B$10,Paramètres!$A$1:$I$89,3,0)*0.475*44/12</f>
        <v>#VALUE!</v>
      </c>
      <c r="AX125" s="21" t="e">
        <f t="shared" si="60"/>
        <v>#VALUE!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215.55381529099924</v>
      </c>
      <c r="T126" s="59">
        <f t="shared" si="88"/>
        <v>158.77848520346532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 t="e">
        <f>EXP(-LN(2)/35)*Z125+(1-EXP(-LN(2)/35))/(LN(2)/35)*V126*W126*VLOOKUP('Données projet'!$B$9,Paramètres!$A$1:$I$89,3,0)*0.475*44/12</f>
        <v>#VALUE!</v>
      </c>
      <c r="AA126" s="21" t="e">
        <f>EXP(-LN(2)/25)*AA125+(1-EXP(-LN(2)/25))/(LN(2)/25)*Calculateur!V126*Calculateur!X126*VLOOKUP('Données projet'!$B$9,Paramètres!$A$1:$I$89,3,0)*0.475*44/12</f>
        <v>#VALUE!</v>
      </c>
      <c r="AB126" s="21" t="e">
        <f>EXP(-LN(2)/2)*AB125+(1-EXP(-LN(2)/2))/(LN(2)/2)*V126*Y126*VLOOKUP('Données projet'!$B$9,Paramètres!$A$1:$I$89,3,0)*0.475*44/12</f>
        <v>#VALUE!</v>
      </c>
      <c r="AC126" s="22" t="e">
        <f t="shared" si="57"/>
        <v>#VALUE!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2.2737367544323206E-13</v>
      </c>
      <c r="AJ126" s="13">
        <f>AI126*VLOOKUP('Données projet'!$B$10,Paramètres!$A$1:$I$89,3,0)*VLOOKUP('Données projet'!$B$10,Paramètres!$A$1:$I$89,5,0)</f>
        <v>1.064108801074326E-13</v>
      </c>
      <c r="AK126" s="13">
        <f t="shared" si="89"/>
        <v>1.5870730813698654E-12</v>
      </c>
      <c r="AL126" s="20">
        <f t="shared" si="58"/>
        <v>2.9494845662396269E-12</v>
      </c>
      <c r="AM126" s="59">
        <f t="shared" si="59"/>
        <v>293.33333333333627</v>
      </c>
      <c r="AN126" s="59">
        <f ca="1">AVERAGE(OFFSET($AM$3,0,0,'Données projet'!$E$10+1,1))-AVERAGE(OFFSET($H$3,0,0,'Données projet'!$E$10+1,1))</f>
        <v>205.31676282910638</v>
      </c>
      <c r="AO126" s="59">
        <f t="shared" si="90"/>
        <v>190.64998698136026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#VALUE!</v>
      </c>
      <c r="AV126" s="21" t="e">
        <f>EXP(-LN(2)/25)*AV125+(1-EXP(-LN(2)/25))/(LN(2)/25)*Calculateur!AQ126*Calculateur!AS126*VLOOKUP('Données projet'!$B$10,Paramètres!$A$1:$I$89,3,0)*0.475*44/12</f>
        <v>#VALUE!</v>
      </c>
      <c r="AW126" s="21" t="e">
        <f>EXP(-LN(2)/2)*AW125+(1-EXP(-LN(2)/2))/(LN(2)/2)*AQ126*AT126*VLOOKUP('Données projet'!$B$10,Paramètres!$A$1:$I$89,3,0)*0.475*44/12</f>
        <v>#VALUE!</v>
      </c>
      <c r="AX126" s="21" t="e">
        <f t="shared" si="60"/>
        <v>#VALUE!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215.55381529099924</v>
      </c>
      <c r="T127" s="59">
        <f t="shared" si="88"/>
        <v>158.77848520346532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 t="e">
        <f>EXP(-LN(2)/35)*Z126+(1-EXP(-LN(2)/35))/(LN(2)/35)*V127*W127*VLOOKUP('Données projet'!$B$9,Paramètres!$A$1:$I$89,3,0)*0.475*44/12</f>
        <v>#VALUE!</v>
      </c>
      <c r="AA127" s="21" t="e">
        <f>EXP(-LN(2)/25)*AA126+(1-EXP(-LN(2)/25))/(LN(2)/25)*Calculateur!V127*Calculateur!X127*VLOOKUP('Données projet'!$B$9,Paramètres!$A$1:$I$89,3,0)*0.475*44/12</f>
        <v>#VALUE!</v>
      </c>
      <c r="AB127" s="21" t="e">
        <f>EXP(-LN(2)/2)*AB126+(1-EXP(-LN(2)/2))/(LN(2)/2)*V127*Y127*VLOOKUP('Données projet'!$B$9,Paramètres!$A$1:$I$89,3,0)*0.475*44/12</f>
        <v>#VALUE!</v>
      </c>
      <c r="AC127" s="22" t="e">
        <f t="shared" si="57"/>
        <v>#VALUE!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2.2737367544323206E-13</v>
      </c>
      <c r="AJ127" s="13">
        <f>AI127*VLOOKUP('Données projet'!$B$10,Paramètres!$A$1:$I$89,3,0)*VLOOKUP('Données projet'!$B$10,Paramètres!$A$1:$I$89,5,0)</f>
        <v>1.064108801074326E-13</v>
      </c>
      <c r="AK127" s="13">
        <f t="shared" si="89"/>
        <v>1.5870730813698654E-12</v>
      </c>
      <c r="AL127" s="20">
        <f t="shared" si="58"/>
        <v>2.9494845662396269E-12</v>
      </c>
      <c r="AM127" s="59">
        <f t="shared" si="59"/>
        <v>293.33333333333627</v>
      </c>
      <c r="AN127" s="59">
        <f ca="1">AVERAGE(OFFSET($AM$3,0,0,'Données projet'!$E$10+1,1))-AVERAGE(OFFSET($H$3,0,0,'Données projet'!$E$10+1,1))</f>
        <v>205.31676282910638</v>
      </c>
      <c r="AO127" s="59">
        <f t="shared" si="90"/>
        <v>190.64998698136026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#VALUE!</v>
      </c>
      <c r="AV127" s="21" t="e">
        <f>EXP(-LN(2)/25)*AV126+(1-EXP(-LN(2)/25))/(LN(2)/25)*Calculateur!AQ127*Calculateur!AS127*VLOOKUP('Données projet'!$B$10,Paramètres!$A$1:$I$89,3,0)*0.475*44/12</f>
        <v>#VALUE!</v>
      </c>
      <c r="AW127" s="21" t="e">
        <f>EXP(-LN(2)/2)*AW126+(1-EXP(-LN(2)/2))/(LN(2)/2)*AQ127*AT127*VLOOKUP('Données projet'!$B$10,Paramètres!$A$1:$I$89,3,0)*0.475*44/12</f>
        <v>#VALUE!</v>
      </c>
      <c r="AX127" s="21" t="e">
        <f t="shared" si="60"/>
        <v>#VALUE!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215.55381529099924</v>
      </c>
      <c r="T128" s="59">
        <f t="shared" si="88"/>
        <v>158.77848520346532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 t="e">
        <f>EXP(-LN(2)/35)*Z127+(1-EXP(-LN(2)/35))/(LN(2)/35)*V128*W128*VLOOKUP('Données projet'!$B$9,Paramètres!$A$1:$I$89,3,0)*0.475*44/12</f>
        <v>#VALUE!</v>
      </c>
      <c r="AA128" s="21" t="e">
        <f>EXP(-LN(2)/25)*AA127+(1-EXP(-LN(2)/25))/(LN(2)/25)*Calculateur!V128*Calculateur!X128*VLOOKUP('Données projet'!$B$9,Paramètres!$A$1:$I$89,3,0)*0.475*44/12</f>
        <v>#VALUE!</v>
      </c>
      <c r="AB128" s="21" t="e">
        <f>EXP(-LN(2)/2)*AB127+(1-EXP(-LN(2)/2))/(LN(2)/2)*V128*Y128*VLOOKUP('Données projet'!$B$9,Paramètres!$A$1:$I$89,3,0)*0.475*44/12</f>
        <v>#VALUE!</v>
      </c>
      <c r="AC128" s="22" t="e">
        <f t="shared" si="57"/>
        <v>#VALUE!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2.2737367544323206E-13</v>
      </c>
      <c r="AJ128" s="13">
        <f>AI128*VLOOKUP('Données projet'!$B$10,Paramètres!$A$1:$I$89,3,0)*VLOOKUP('Données projet'!$B$10,Paramètres!$A$1:$I$89,5,0)</f>
        <v>1.064108801074326E-13</v>
      </c>
      <c r="AK128" s="13">
        <f t="shared" si="89"/>
        <v>1.5870730813698654E-12</v>
      </c>
      <c r="AL128" s="20">
        <f t="shared" si="58"/>
        <v>2.9494845662396269E-12</v>
      </c>
      <c r="AM128" s="59">
        <f t="shared" si="59"/>
        <v>293.33333333333627</v>
      </c>
      <c r="AN128" s="59">
        <f ca="1">AVERAGE(OFFSET($AM$3,0,0,'Données projet'!$E$10+1,1))-AVERAGE(OFFSET($H$3,0,0,'Données projet'!$E$10+1,1))</f>
        <v>205.31676282910638</v>
      </c>
      <c r="AO128" s="59">
        <f t="shared" si="90"/>
        <v>190.64998698136026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#VALUE!</v>
      </c>
      <c r="AV128" s="21" t="e">
        <f>EXP(-LN(2)/25)*AV127+(1-EXP(-LN(2)/25))/(LN(2)/25)*Calculateur!AQ128*Calculateur!AS128*VLOOKUP('Données projet'!$B$10,Paramètres!$A$1:$I$89,3,0)*0.475*44/12</f>
        <v>#VALUE!</v>
      </c>
      <c r="AW128" s="21" t="e">
        <f>EXP(-LN(2)/2)*AW127+(1-EXP(-LN(2)/2))/(LN(2)/2)*AQ128*AT128*VLOOKUP('Données projet'!$B$10,Paramètres!$A$1:$I$89,3,0)*0.475*44/12</f>
        <v>#VALUE!</v>
      </c>
      <c r="AX128" s="21" t="e">
        <f t="shared" si="60"/>
        <v>#VALUE!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215.55381529099924</v>
      </c>
      <c r="T129" s="59">
        <f t="shared" si="88"/>
        <v>158.77848520346532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 t="e">
        <f>EXP(-LN(2)/35)*Z128+(1-EXP(-LN(2)/35))/(LN(2)/35)*V129*W129*VLOOKUP('Données projet'!$B$9,Paramètres!$A$1:$I$89,3,0)*0.475*44/12</f>
        <v>#VALUE!</v>
      </c>
      <c r="AA129" s="21" t="e">
        <f>EXP(-LN(2)/25)*AA128+(1-EXP(-LN(2)/25))/(LN(2)/25)*Calculateur!V129*Calculateur!X129*VLOOKUP('Données projet'!$B$9,Paramètres!$A$1:$I$89,3,0)*0.475*44/12</f>
        <v>#VALUE!</v>
      </c>
      <c r="AB129" s="21" t="e">
        <f>EXP(-LN(2)/2)*AB128+(1-EXP(-LN(2)/2))/(LN(2)/2)*V129*Y129*VLOOKUP('Données projet'!$B$9,Paramètres!$A$1:$I$89,3,0)*0.475*44/12</f>
        <v>#VALUE!</v>
      </c>
      <c r="AC129" s="22" t="e">
        <f t="shared" si="57"/>
        <v>#VALUE!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2.2737367544323206E-13</v>
      </c>
      <c r="AJ129" s="13">
        <f>AI129*VLOOKUP('Données projet'!$B$10,Paramètres!$A$1:$I$89,3,0)*VLOOKUP('Données projet'!$B$10,Paramètres!$A$1:$I$89,5,0)</f>
        <v>1.064108801074326E-13</v>
      </c>
      <c r="AK129" s="13">
        <f t="shared" si="89"/>
        <v>1.5870730813698654E-12</v>
      </c>
      <c r="AL129" s="20">
        <f t="shared" si="58"/>
        <v>2.9494845662396269E-12</v>
      </c>
      <c r="AM129" s="59">
        <f t="shared" si="59"/>
        <v>293.33333333333627</v>
      </c>
      <c r="AN129" s="59">
        <f ca="1">AVERAGE(OFFSET($AM$3,0,0,'Données projet'!$E$10+1,1))-AVERAGE(OFFSET($H$3,0,0,'Données projet'!$E$10+1,1))</f>
        <v>205.31676282910638</v>
      </c>
      <c r="AO129" s="59">
        <f t="shared" si="90"/>
        <v>190.64998698136026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#VALUE!</v>
      </c>
      <c r="AV129" s="21" t="e">
        <f>EXP(-LN(2)/25)*AV128+(1-EXP(-LN(2)/25))/(LN(2)/25)*Calculateur!AQ129*Calculateur!AS129*VLOOKUP('Données projet'!$B$10,Paramètres!$A$1:$I$89,3,0)*0.475*44/12</f>
        <v>#VALUE!</v>
      </c>
      <c r="AW129" s="21" t="e">
        <f>EXP(-LN(2)/2)*AW128+(1-EXP(-LN(2)/2))/(LN(2)/2)*AQ129*AT129*VLOOKUP('Données projet'!$B$10,Paramètres!$A$1:$I$89,3,0)*0.475*44/12</f>
        <v>#VALUE!</v>
      </c>
      <c r="AX129" s="21" t="e">
        <f t="shared" si="60"/>
        <v>#VALUE!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215.55381529099924</v>
      </c>
      <c r="T130" s="59">
        <f t="shared" si="88"/>
        <v>158.77848520346532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 t="e">
        <f>EXP(-LN(2)/35)*Z129+(1-EXP(-LN(2)/35))/(LN(2)/35)*V130*W130*VLOOKUP('Données projet'!$B$9,Paramètres!$A$1:$I$89,3,0)*0.475*44/12</f>
        <v>#VALUE!</v>
      </c>
      <c r="AA130" s="21" t="e">
        <f>EXP(-LN(2)/25)*AA129+(1-EXP(-LN(2)/25))/(LN(2)/25)*Calculateur!V130*Calculateur!X130*VLOOKUP('Données projet'!$B$9,Paramètres!$A$1:$I$89,3,0)*0.475*44/12</f>
        <v>#VALUE!</v>
      </c>
      <c r="AB130" s="21" t="e">
        <f>EXP(-LN(2)/2)*AB129+(1-EXP(-LN(2)/2))/(LN(2)/2)*V130*Y130*VLOOKUP('Données projet'!$B$9,Paramètres!$A$1:$I$89,3,0)*0.475*44/12</f>
        <v>#VALUE!</v>
      </c>
      <c r="AC130" s="22" t="e">
        <f t="shared" si="57"/>
        <v>#VALUE!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2.2737367544323206E-13</v>
      </c>
      <c r="AJ130" s="13">
        <f>AI130*VLOOKUP('Données projet'!$B$10,Paramètres!$A$1:$I$89,3,0)*VLOOKUP('Données projet'!$B$10,Paramètres!$A$1:$I$89,5,0)</f>
        <v>1.064108801074326E-13</v>
      </c>
      <c r="AK130" s="13">
        <f t="shared" si="89"/>
        <v>1.5870730813698654E-12</v>
      </c>
      <c r="AL130" s="20">
        <f t="shared" si="58"/>
        <v>2.9494845662396269E-12</v>
      </c>
      <c r="AM130" s="59">
        <f t="shared" si="59"/>
        <v>293.33333333333627</v>
      </c>
      <c r="AN130" s="59">
        <f ca="1">AVERAGE(OFFSET($AM$3,0,0,'Données projet'!$E$10+1,1))-AVERAGE(OFFSET($H$3,0,0,'Données projet'!$E$10+1,1))</f>
        <v>205.31676282910638</v>
      </c>
      <c r="AO130" s="59">
        <f t="shared" si="90"/>
        <v>190.64998698136026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#VALUE!</v>
      </c>
      <c r="AV130" s="21" t="e">
        <f>EXP(-LN(2)/25)*AV129+(1-EXP(-LN(2)/25))/(LN(2)/25)*Calculateur!AQ130*Calculateur!AS130*VLOOKUP('Données projet'!$B$10,Paramètres!$A$1:$I$89,3,0)*0.475*44/12</f>
        <v>#VALUE!</v>
      </c>
      <c r="AW130" s="21" t="e">
        <f>EXP(-LN(2)/2)*AW129+(1-EXP(-LN(2)/2))/(LN(2)/2)*AQ130*AT130*VLOOKUP('Données projet'!$B$10,Paramètres!$A$1:$I$89,3,0)*0.475*44/12</f>
        <v>#VALUE!</v>
      </c>
      <c r="AX130" s="21" t="e">
        <f t="shared" si="60"/>
        <v>#VALUE!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215.55381529099924</v>
      </c>
      <c r="T131" s="59">
        <f t="shared" si="88"/>
        <v>158.77848520346532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 t="e">
        <f>EXP(-LN(2)/35)*Z130+(1-EXP(-LN(2)/35))/(LN(2)/35)*V131*W131*VLOOKUP('Données projet'!$B$9,Paramètres!$A$1:$I$89,3,0)*0.475*44/12</f>
        <v>#VALUE!</v>
      </c>
      <c r="AA131" s="21" t="e">
        <f>EXP(-LN(2)/25)*AA130+(1-EXP(-LN(2)/25))/(LN(2)/25)*Calculateur!V131*Calculateur!X131*VLOOKUP('Données projet'!$B$9,Paramètres!$A$1:$I$89,3,0)*0.475*44/12</f>
        <v>#VALUE!</v>
      </c>
      <c r="AB131" s="21" t="e">
        <f>EXP(-LN(2)/2)*AB130+(1-EXP(-LN(2)/2))/(LN(2)/2)*V131*Y131*VLOOKUP('Données projet'!$B$9,Paramètres!$A$1:$I$89,3,0)*0.475*44/12</f>
        <v>#VALUE!</v>
      </c>
      <c r="AC131" s="22" t="e">
        <f t="shared" si="57"/>
        <v>#VALUE!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2.2737367544323206E-13</v>
      </c>
      <c r="AJ131" s="13">
        <f>AI131*VLOOKUP('Données projet'!$B$10,Paramètres!$A$1:$I$89,3,0)*VLOOKUP('Données projet'!$B$10,Paramètres!$A$1:$I$89,5,0)</f>
        <v>1.064108801074326E-13</v>
      </c>
      <c r="AK131" s="13">
        <f t="shared" si="89"/>
        <v>1.5870730813698654E-12</v>
      </c>
      <c r="AL131" s="20">
        <f t="shared" si="58"/>
        <v>2.9494845662396269E-12</v>
      </c>
      <c r="AM131" s="59">
        <f t="shared" si="59"/>
        <v>293.33333333333627</v>
      </c>
      <c r="AN131" s="59">
        <f ca="1">AVERAGE(OFFSET($AM$3,0,0,'Données projet'!$E$10+1,1))-AVERAGE(OFFSET($H$3,0,0,'Données projet'!$E$10+1,1))</f>
        <v>205.31676282910638</v>
      </c>
      <c r="AO131" s="59">
        <f t="shared" si="90"/>
        <v>190.64998698136026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#VALUE!</v>
      </c>
      <c r="AV131" s="21" t="e">
        <f>EXP(-LN(2)/25)*AV130+(1-EXP(-LN(2)/25))/(LN(2)/25)*Calculateur!AQ131*Calculateur!AS131*VLOOKUP('Données projet'!$B$10,Paramètres!$A$1:$I$89,3,0)*0.475*44/12</f>
        <v>#VALUE!</v>
      </c>
      <c r="AW131" s="21" t="e">
        <f>EXP(-LN(2)/2)*AW130+(1-EXP(-LN(2)/2))/(LN(2)/2)*AQ131*AT131*VLOOKUP('Données projet'!$B$10,Paramètres!$A$1:$I$89,3,0)*0.475*44/12</f>
        <v>#VALUE!</v>
      </c>
      <c r="AX131" s="21" t="e">
        <f t="shared" si="60"/>
        <v>#VALUE!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215.55381529099924</v>
      </c>
      <c r="T132" s="59">
        <f t="shared" si="88"/>
        <v>158.77848520346532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 t="e">
        <f>EXP(-LN(2)/35)*Z131+(1-EXP(-LN(2)/35))/(LN(2)/35)*V132*W132*VLOOKUP('Données projet'!$B$9,Paramètres!$A$1:$I$89,3,0)*0.475*44/12</f>
        <v>#VALUE!</v>
      </c>
      <c r="AA132" s="21" t="e">
        <f>EXP(-LN(2)/25)*AA131+(1-EXP(-LN(2)/25))/(LN(2)/25)*Calculateur!V132*Calculateur!X132*VLOOKUP('Données projet'!$B$9,Paramètres!$A$1:$I$89,3,0)*0.475*44/12</f>
        <v>#VALUE!</v>
      </c>
      <c r="AB132" s="21" t="e">
        <f>EXP(-LN(2)/2)*AB131+(1-EXP(-LN(2)/2))/(LN(2)/2)*V132*Y132*VLOOKUP('Données projet'!$B$9,Paramètres!$A$1:$I$89,3,0)*0.475*44/12</f>
        <v>#VALUE!</v>
      </c>
      <c r="AC132" s="22" t="e">
        <f t="shared" ref="AC132:AC153" si="111">SUM(Z132:AB132)</f>
        <v>#VALUE!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2.2737367544323206E-13</v>
      </c>
      <c r="AJ132" s="13">
        <f>AI132*VLOOKUP('Données projet'!$B$10,Paramètres!$A$1:$I$89,3,0)*VLOOKUP('Données projet'!$B$10,Paramètres!$A$1:$I$89,5,0)</f>
        <v>1.064108801074326E-13</v>
      </c>
      <c r="AK132" s="13">
        <f t="shared" si="89"/>
        <v>1.5870730813698654E-12</v>
      </c>
      <c r="AL132" s="20">
        <f t="shared" ref="AL132:AL153" si="112">(AJ132+AK132)*0.475*44/12</f>
        <v>2.9494845662396269E-12</v>
      </c>
      <c r="AM132" s="59">
        <f t="shared" ref="AM132:AM195" si="113">AL132+(AD132+AE132)*44/12</f>
        <v>293.33333333333627</v>
      </c>
      <c r="AN132" s="59">
        <f ca="1">AVERAGE(OFFSET($AM$3,0,0,'Données projet'!$E$10+1,1))-AVERAGE(OFFSET($H$3,0,0,'Données projet'!$E$10+1,1))</f>
        <v>205.31676282910638</v>
      </c>
      <c r="AO132" s="59">
        <f t="shared" si="90"/>
        <v>190.64998698136026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#VALUE!</v>
      </c>
      <c r="AV132" s="21" t="e">
        <f>EXP(-LN(2)/25)*AV131+(1-EXP(-LN(2)/25))/(LN(2)/25)*Calculateur!AQ132*Calculateur!AS132*VLOOKUP('Données projet'!$B$10,Paramètres!$A$1:$I$89,3,0)*0.475*44/12</f>
        <v>#VALUE!</v>
      </c>
      <c r="AW132" s="21" t="e">
        <f>EXP(-LN(2)/2)*AW131+(1-EXP(-LN(2)/2))/(LN(2)/2)*AQ132*AT132*VLOOKUP('Données projet'!$B$10,Paramètres!$A$1:$I$89,3,0)*0.475*44/12</f>
        <v>#VALUE!</v>
      </c>
      <c r="AX132" s="21" t="e">
        <f t="shared" ref="AX132:AX153" si="114">SUM(AU132:AW132)</f>
        <v>#VALUE!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215.55381529099924</v>
      </c>
      <c r="T133" s="59">
        <f t="shared" ref="T133:T196" si="142">$T$3</f>
        <v>158.77848520346532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 t="e">
        <f>EXP(-LN(2)/35)*Z132+(1-EXP(-LN(2)/35))/(LN(2)/35)*V133*W133*VLOOKUP('Données projet'!$B$9,Paramètres!$A$1:$I$89,3,0)*0.475*44/12</f>
        <v>#VALUE!</v>
      </c>
      <c r="AA133" s="21" t="e">
        <f>EXP(-LN(2)/25)*AA132+(1-EXP(-LN(2)/25))/(LN(2)/25)*Calculateur!V133*Calculateur!X133*VLOOKUP('Données projet'!$B$9,Paramètres!$A$1:$I$89,3,0)*0.475*44/12</f>
        <v>#VALUE!</v>
      </c>
      <c r="AB133" s="21" t="e">
        <f>EXP(-LN(2)/2)*AB132+(1-EXP(-LN(2)/2))/(LN(2)/2)*V133*Y133*VLOOKUP('Données projet'!$B$9,Paramètres!$A$1:$I$89,3,0)*0.475*44/12</f>
        <v>#VALUE!</v>
      </c>
      <c r="AC133" s="22" t="e">
        <f t="shared" si="111"/>
        <v>#VALUE!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2.2737367544323206E-13</v>
      </c>
      <c r="AJ133" s="13">
        <f>AI133*VLOOKUP('Données projet'!$B$10,Paramètres!$A$1:$I$89,3,0)*VLOOKUP('Données projet'!$B$10,Paramètres!$A$1:$I$89,5,0)</f>
        <v>1.064108801074326E-13</v>
      </c>
      <c r="AK133" s="13">
        <f t="shared" ref="AK133:AK153" si="143">EXP(-1.0587+0.8836*LN(AJ133)+0.284)</f>
        <v>1.5870730813698654E-12</v>
      </c>
      <c r="AL133" s="20">
        <f t="shared" si="112"/>
        <v>2.9494845662396269E-12</v>
      </c>
      <c r="AM133" s="59">
        <f t="shared" si="113"/>
        <v>293.33333333333627</v>
      </c>
      <c r="AN133" s="59">
        <f ca="1">AVERAGE(OFFSET($AM$3,0,0,'Données projet'!$E$10+1,1))-AVERAGE(OFFSET($H$3,0,0,'Données projet'!$E$10+1,1))</f>
        <v>205.31676282910638</v>
      </c>
      <c r="AO133" s="59">
        <f t="shared" ref="AO133:AO196" si="144">$AO$3</f>
        <v>190.64998698136026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#VALUE!</v>
      </c>
      <c r="AV133" s="21" t="e">
        <f>EXP(-LN(2)/25)*AV132+(1-EXP(-LN(2)/25))/(LN(2)/25)*Calculateur!AQ133*Calculateur!AS133*VLOOKUP('Données projet'!$B$10,Paramètres!$A$1:$I$89,3,0)*0.475*44/12</f>
        <v>#VALUE!</v>
      </c>
      <c r="AW133" s="21" t="e">
        <f>EXP(-LN(2)/2)*AW132+(1-EXP(-LN(2)/2))/(LN(2)/2)*AQ133*AT133*VLOOKUP('Données projet'!$B$10,Paramètres!$A$1:$I$89,3,0)*0.475*44/12</f>
        <v>#VALUE!</v>
      </c>
      <c r="AX133" s="21" t="e">
        <f t="shared" si="114"/>
        <v>#VALUE!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215.55381529099924</v>
      </c>
      <c r="T134" s="59">
        <f t="shared" si="142"/>
        <v>158.77848520346532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 t="e">
        <f>EXP(-LN(2)/35)*Z133+(1-EXP(-LN(2)/35))/(LN(2)/35)*V134*W134*VLOOKUP('Données projet'!$B$9,Paramètres!$A$1:$I$89,3,0)*0.475*44/12</f>
        <v>#VALUE!</v>
      </c>
      <c r="AA134" s="21" t="e">
        <f>EXP(-LN(2)/25)*AA133+(1-EXP(-LN(2)/25))/(LN(2)/25)*Calculateur!V134*Calculateur!X134*VLOOKUP('Données projet'!$B$9,Paramètres!$A$1:$I$89,3,0)*0.475*44/12</f>
        <v>#VALUE!</v>
      </c>
      <c r="AB134" s="21" t="e">
        <f>EXP(-LN(2)/2)*AB133+(1-EXP(-LN(2)/2))/(LN(2)/2)*V134*Y134*VLOOKUP('Données projet'!$B$9,Paramètres!$A$1:$I$89,3,0)*0.475*44/12</f>
        <v>#VALUE!</v>
      </c>
      <c r="AC134" s="22" t="e">
        <f t="shared" si="111"/>
        <v>#VALUE!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2.2737367544323206E-13</v>
      </c>
      <c r="AJ134" s="13">
        <f>AI134*VLOOKUP('Données projet'!$B$10,Paramètres!$A$1:$I$89,3,0)*VLOOKUP('Données projet'!$B$10,Paramètres!$A$1:$I$89,5,0)</f>
        <v>1.064108801074326E-13</v>
      </c>
      <c r="AK134" s="13">
        <f t="shared" si="143"/>
        <v>1.5870730813698654E-12</v>
      </c>
      <c r="AL134" s="20">
        <f t="shared" si="112"/>
        <v>2.9494845662396269E-12</v>
      </c>
      <c r="AM134" s="59">
        <f t="shared" si="113"/>
        <v>293.33333333333627</v>
      </c>
      <c r="AN134" s="59">
        <f ca="1">AVERAGE(OFFSET($AM$3,0,0,'Données projet'!$E$10+1,1))-AVERAGE(OFFSET($H$3,0,0,'Données projet'!$E$10+1,1))</f>
        <v>205.31676282910638</v>
      </c>
      <c r="AO134" s="59">
        <f t="shared" si="144"/>
        <v>190.64998698136026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#VALUE!</v>
      </c>
      <c r="AV134" s="21" t="e">
        <f>EXP(-LN(2)/25)*AV133+(1-EXP(-LN(2)/25))/(LN(2)/25)*Calculateur!AQ134*Calculateur!AS134*VLOOKUP('Données projet'!$B$10,Paramètres!$A$1:$I$89,3,0)*0.475*44/12</f>
        <v>#VALUE!</v>
      </c>
      <c r="AW134" s="21" t="e">
        <f>EXP(-LN(2)/2)*AW133+(1-EXP(-LN(2)/2))/(LN(2)/2)*AQ134*AT134*VLOOKUP('Données projet'!$B$10,Paramètres!$A$1:$I$89,3,0)*0.475*44/12</f>
        <v>#VALUE!</v>
      </c>
      <c r="AX134" s="21" t="e">
        <f t="shared" si="114"/>
        <v>#VALUE!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215.55381529099924</v>
      </c>
      <c r="T135" s="59">
        <f t="shared" si="142"/>
        <v>158.77848520346532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 t="e">
        <f>EXP(-LN(2)/35)*Z134+(1-EXP(-LN(2)/35))/(LN(2)/35)*V135*W135*VLOOKUP('Données projet'!$B$9,Paramètres!$A$1:$I$89,3,0)*0.475*44/12</f>
        <v>#VALUE!</v>
      </c>
      <c r="AA135" s="21" t="e">
        <f>EXP(-LN(2)/25)*AA134+(1-EXP(-LN(2)/25))/(LN(2)/25)*Calculateur!V135*Calculateur!X135*VLOOKUP('Données projet'!$B$9,Paramètres!$A$1:$I$89,3,0)*0.475*44/12</f>
        <v>#VALUE!</v>
      </c>
      <c r="AB135" s="21" t="e">
        <f>EXP(-LN(2)/2)*AB134+(1-EXP(-LN(2)/2))/(LN(2)/2)*V135*Y135*VLOOKUP('Données projet'!$B$9,Paramètres!$A$1:$I$89,3,0)*0.475*44/12</f>
        <v>#VALUE!</v>
      </c>
      <c r="AC135" s="22" t="e">
        <f t="shared" si="111"/>
        <v>#VALUE!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2.2737367544323206E-13</v>
      </c>
      <c r="AJ135" s="13">
        <f>AI135*VLOOKUP('Données projet'!$B$10,Paramètres!$A$1:$I$89,3,0)*VLOOKUP('Données projet'!$B$10,Paramètres!$A$1:$I$89,5,0)</f>
        <v>1.064108801074326E-13</v>
      </c>
      <c r="AK135" s="13">
        <f t="shared" si="143"/>
        <v>1.5870730813698654E-12</v>
      </c>
      <c r="AL135" s="20">
        <f t="shared" si="112"/>
        <v>2.9494845662396269E-12</v>
      </c>
      <c r="AM135" s="59">
        <f t="shared" si="113"/>
        <v>293.33333333333627</v>
      </c>
      <c r="AN135" s="59">
        <f ca="1">AVERAGE(OFFSET($AM$3,0,0,'Données projet'!$E$10+1,1))-AVERAGE(OFFSET($H$3,0,0,'Données projet'!$E$10+1,1))</f>
        <v>205.31676282910638</v>
      </c>
      <c r="AO135" s="59">
        <f t="shared" si="144"/>
        <v>190.64998698136026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#VALUE!</v>
      </c>
      <c r="AV135" s="21" t="e">
        <f>EXP(-LN(2)/25)*AV134+(1-EXP(-LN(2)/25))/(LN(2)/25)*Calculateur!AQ135*Calculateur!AS135*VLOOKUP('Données projet'!$B$10,Paramètres!$A$1:$I$89,3,0)*0.475*44/12</f>
        <v>#VALUE!</v>
      </c>
      <c r="AW135" s="21" t="e">
        <f>EXP(-LN(2)/2)*AW134+(1-EXP(-LN(2)/2))/(LN(2)/2)*AQ135*AT135*VLOOKUP('Données projet'!$B$10,Paramètres!$A$1:$I$89,3,0)*0.475*44/12</f>
        <v>#VALUE!</v>
      </c>
      <c r="AX135" s="21" t="e">
        <f t="shared" si="114"/>
        <v>#VALUE!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215.55381529099924</v>
      </c>
      <c r="T136" s="59">
        <f t="shared" si="142"/>
        <v>158.77848520346532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 t="e">
        <f>EXP(-LN(2)/35)*Z135+(1-EXP(-LN(2)/35))/(LN(2)/35)*V136*W136*VLOOKUP('Données projet'!$B$9,Paramètres!$A$1:$I$89,3,0)*0.475*44/12</f>
        <v>#VALUE!</v>
      </c>
      <c r="AA136" s="21" t="e">
        <f>EXP(-LN(2)/25)*AA135+(1-EXP(-LN(2)/25))/(LN(2)/25)*Calculateur!V136*Calculateur!X136*VLOOKUP('Données projet'!$B$9,Paramètres!$A$1:$I$89,3,0)*0.475*44/12</f>
        <v>#VALUE!</v>
      </c>
      <c r="AB136" s="21" t="e">
        <f>EXP(-LN(2)/2)*AB135+(1-EXP(-LN(2)/2))/(LN(2)/2)*V136*Y136*VLOOKUP('Données projet'!$B$9,Paramètres!$A$1:$I$89,3,0)*0.475*44/12</f>
        <v>#VALUE!</v>
      </c>
      <c r="AC136" s="22" t="e">
        <f t="shared" si="111"/>
        <v>#VALUE!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2.2737367544323206E-13</v>
      </c>
      <c r="AJ136" s="13">
        <f>AI136*VLOOKUP('Données projet'!$B$10,Paramètres!$A$1:$I$89,3,0)*VLOOKUP('Données projet'!$B$10,Paramètres!$A$1:$I$89,5,0)</f>
        <v>1.064108801074326E-13</v>
      </c>
      <c r="AK136" s="13">
        <f t="shared" si="143"/>
        <v>1.5870730813698654E-12</v>
      </c>
      <c r="AL136" s="20">
        <f t="shared" si="112"/>
        <v>2.9494845662396269E-12</v>
      </c>
      <c r="AM136" s="59">
        <f t="shared" si="113"/>
        <v>293.33333333333627</v>
      </c>
      <c r="AN136" s="59">
        <f ca="1">AVERAGE(OFFSET($AM$3,0,0,'Données projet'!$E$10+1,1))-AVERAGE(OFFSET($H$3,0,0,'Données projet'!$E$10+1,1))</f>
        <v>205.31676282910638</v>
      </c>
      <c r="AO136" s="59">
        <f t="shared" si="144"/>
        <v>190.64998698136026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#VALUE!</v>
      </c>
      <c r="AV136" s="21" t="e">
        <f>EXP(-LN(2)/25)*AV135+(1-EXP(-LN(2)/25))/(LN(2)/25)*Calculateur!AQ136*Calculateur!AS136*VLOOKUP('Données projet'!$B$10,Paramètres!$A$1:$I$89,3,0)*0.475*44/12</f>
        <v>#VALUE!</v>
      </c>
      <c r="AW136" s="21" t="e">
        <f>EXP(-LN(2)/2)*AW135+(1-EXP(-LN(2)/2))/(LN(2)/2)*AQ136*AT136*VLOOKUP('Données projet'!$B$10,Paramètres!$A$1:$I$89,3,0)*0.475*44/12</f>
        <v>#VALUE!</v>
      </c>
      <c r="AX136" s="21" t="e">
        <f t="shared" si="114"/>
        <v>#VALUE!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215.55381529099924</v>
      </c>
      <c r="T137" s="59">
        <f t="shared" si="142"/>
        <v>158.77848520346532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 t="e">
        <f>EXP(-LN(2)/35)*Z136+(1-EXP(-LN(2)/35))/(LN(2)/35)*V137*W137*VLOOKUP('Données projet'!$B$9,Paramètres!$A$1:$I$89,3,0)*0.475*44/12</f>
        <v>#VALUE!</v>
      </c>
      <c r="AA137" s="21" t="e">
        <f>EXP(-LN(2)/25)*AA136+(1-EXP(-LN(2)/25))/(LN(2)/25)*Calculateur!V137*Calculateur!X137*VLOOKUP('Données projet'!$B$9,Paramètres!$A$1:$I$89,3,0)*0.475*44/12</f>
        <v>#VALUE!</v>
      </c>
      <c r="AB137" s="21" t="e">
        <f>EXP(-LN(2)/2)*AB136+(1-EXP(-LN(2)/2))/(LN(2)/2)*V137*Y137*VLOOKUP('Données projet'!$B$9,Paramètres!$A$1:$I$89,3,0)*0.475*44/12</f>
        <v>#VALUE!</v>
      </c>
      <c r="AC137" s="22" t="e">
        <f t="shared" si="111"/>
        <v>#VALUE!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2.2737367544323206E-13</v>
      </c>
      <c r="AJ137" s="13">
        <f>AI137*VLOOKUP('Données projet'!$B$10,Paramètres!$A$1:$I$89,3,0)*VLOOKUP('Données projet'!$B$10,Paramètres!$A$1:$I$89,5,0)</f>
        <v>1.064108801074326E-13</v>
      </c>
      <c r="AK137" s="13">
        <f t="shared" si="143"/>
        <v>1.5870730813698654E-12</v>
      </c>
      <c r="AL137" s="20">
        <f t="shared" si="112"/>
        <v>2.9494845662396269E-12</v>
      </c>
      <c r="AM137" s="59">
        <f t="shared" si="113"/>
        <v>293.33333333333627</v>
      </c>
      <c r="AN137" s="59">
        <f ca="1">AVERAGE(OFFSET($AM$3,0,0,'Données projet'!$E$10+1,1))-AVERAGE(OFFSET($H$3,0,0,'Données projet'!$E$10+1,1))</f>
        <v>205.31676282910638</v>
      </c>
      <c r="AO137" s="59">
        <f t="shared" si="144"/>
        <v>190.64998698136026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#VALUE!</v>
      </c>
      <c r="AV137" s="21" t="e">
        <f>EXP(-LN(2)/25)*AV136+(1-EXP(-LN(2)/25))/(LN(2)/25)*Calculateur!AQ137*Calculateur!AS137*VLOOKUP('Données projet'!$B$10,Paramètres!$A$1:$I$89,3,0)*0.475*44/12</f>
        <v>#VALUE!</v>
      </c>
      <c r="AW137" s="21" t="e">
        <f>EXP(-LN(2)/2)*AW136+(1-EXP(-LN(2)/2))/(LN(2)/2)*AQ137*AT137*VLOOKUP('Données projet'!$B$10,Paramètres!$A$1:$I$89,3,0)*0.475*44/12</f>
        <v>#VALUE!</v>
      </c>
      <c r="AX137" s="21" t="e">
        <f t="shared" si="114"/>
        <v>#VALUE!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215.55381529099924</v>
      </c>
      <c r="T138" s="59">
        <f t="shared" si="142"/>
        <v>158.77848520346532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 t="e">
        <f>EXP(-LN(2)/35)*Z137+(1-EXP(-LN(2)/35))/(LN(2)/35)*V138*W138*VLOOKUP('Données projet'!$B$9,Paramètres!$A$1:$I$89,3,0)*0.475*44/12</f>
        <v>#VALUE!</v>
      </c>
      <c r="AA138" s="21" t="e">
        <f>EXP(-LN(2)/25)*AA137+(1-EXP(-LN(2)/25))/(LN(2)/25)*Calculateur!V138*Calculateur!X138*VLOOKUP('Données projet'!$B$9,Paramètres!$A$1:$I$89,3,0)*0.475*44/12</f>
        <v>#VALUE!</v>
      </c>
      <c r="AB138" s="21" t="e">
        <f>EXP(-LN(2)/2)*AB137+(1-EXP(-LN(2)/2))/(LN(2)/2)*V138*Y138*VLOOKUP('Données projet'!$B$9,Paramètres!$A$1:$I$89,3,0)*0.475*44/12</f>
        <v>#VALUE!</v>
      </c>
      <c r="AC138" s="22" t="e">
        <f t="shared" si="111"/>
        <v>#VALUE!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2.2737367544323206E-13</v>
      </c>
      <c r="AJ138" s="13">
        <f>AI138*VLOOKUP('Données projet'!$B$10,Paramètres!$A$1:$I$89,3,0)*VLOOKUP('Données projet'!$B$10,Paramètres!$A$1:$I$89,5,0)</f>
        <v>1.064108801074326E-13</v>
      </c>
      <c r="AK138" s="13">
        <f t="shared" si="143"/>
        <v>1.5870730813698654E-12</v>
      </c>
      <c r="AL138" s="20">
        <f t="shared" si="112"/>
        <v>2.9494845662396269E-12</v>
      </c>
      <c r="AM138" s="59">
        <f t="shared" si="113"/>
        <v>293.33333333333627</v>
      </c>
      <c r="AN138" s="59">
        <f ca="1">AVERAGE(OFFSET($AM$3,0,0,'Données projet'!$E$10+1,1))-AVERAGE(OFFSET($H$3,0,0,'Données projet'!$E$10+1,1))</f>
        <v>205.31676282910638</v>
      </c>
      <c r="AO138" s="59">
        <f t="shared" si="144"/>
        <v>190.64998698136026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#VALUE!</v>
      </c>
      <c r="AV138" s="21" t="e">
        <f>EXP(-LN(2)/25)*AV137+(1-EXP(-LN(2)/25))/(LN(2)/25)*Calculateur!AQ138*Calculateur!AS138*VLOOKUP('Données projet'!$B$10,Paramètres!$A$1:$I$89,3,0)*0.475*44/12</f>
        <v>#VALUE!</v>
      </c>
      <c r="AW138" s="21" t="e">
        <f>EXP(-LN(2)/2)*AW137+(1-EXP(-LN(2)/2))/(LN(2)/2)*AQ138*AT138*VLOOKUP('Données projet'!$B$10,Paramètres!$A$1:$I$89,3,0)*0.475*44/12</f>
        <v>#VALUE!</v>
      </c>
      <c r="AX138" s="21" t="e">
        <f t="shared" si="114"/>
        <v>#VALUE!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215.55381529099924</v>
      </c>
      <c r="T139" s="59">
        <f t="shared" si="142"/>
        <v>158.77848520346532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 t="e">
        <f>EXP(-LN(2)/35)*Z138+(1-EXP(-LN(2)/35))/(LN(2)/35)*V139*W139*VLOOKUP('Données projet'!$B$9,Paramètres!$A$1:$I$89,3,0)*0.475*44/12</f>
        <v>#VALUE!</v>
      </c>
      <c r="AA139" s="21" t="e">
        <f>EXP(-LN(2)/25)*AA138+(1-EXP(-LN(2)/25))/(LN(2)/25)*Calculateur!V139*Calculateur!X139*VLOOKUP('Données projet'!$B$9,Paramètres!$A$1:$I$89,3,0)*0.475*44/12</f>
        <v>#VALUE!</v>
      </c>
      <c r="AB139" s="21" t="e">
        <f>EXP(-LN(2)/2)*AB138+(1-EXP(-LN(2)/2))/(LN(2)/2)*V139*Y139*VLOOKUP('Données projet'!$B$9,Paramètres!$A$1:$I$89,3,0)*0.475*44/12</f>
        <v>#VALUE!</v>
      </c>
      <c r="AC139" s="22" t="e">
        <f t="shared" si="111"/>
        <v>#VALUE!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2.2737367544323206E-13</v>
      </c>
      <c r="AJ139" s="13">
        <f>AI139*VLOOKUP('Données projet'!$B$10,Paramètres!$A$1:$I$89,3,0)*VLOOKUP('Données projet'!$B$10,Paramètres!$A$1:$I$89,5,0)</f>
        <v>1.064108801074326E-13</v>
      </c>
      <c r="AK139" s="13">
        <f t="shared" si="143"/>
        <v>1.5870730813698654E-12</v>
      </c>
      <c r="AL139" s="20">
        <f t="shared" si="112"/>
        <v>2.9494845662396269E-12</v>
      </c>
      <c r="AM139" s="59">
        <f t="shared" si="113"/>
        <v>293.33333333333627</v>
      </c>
      <c r="AN139" s="59">
        <f ca="1">AVERAGE(OFFSET($AM$3,0,0,'Données projet'!$E$10+1,1))-AVERAGE(OFFSET($H$3,0,0,'Données projet'!$E$10+1,1))</f>
        <v>205.31676282910638</v>
      </c>
      <c r="AO139" s="59">
        <f t="shared" si="144"/>
        <v>190.64998698136026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#VALUE!</v>
      </c>
      <c r="AV139" s="21" t="e">
        <f>EXP(-LN(2)/25)*AV138+(1-EXP(-LN(2)/25))/(LN(2)/25)*Calculateur!AQ139*Calculateur!AS139*VLOOKUP('Données projet'!$B$10,Paramètres!$A$1:$I$89,3,0)*0.475*44/12</f>
        <v>#VALUE!</v>
      </c>
      <c r="AW139" s="21" t="e">
        <f>EXP(-LN(2)/2)*AW138+(1-EXP(-LN(2)/2))/(LN(2)/2)*AQ139*AT139*VLOOKUP('Données projet'!$B$10,Paramètres!$A$1:$I$89,3,0)*0.475*44/12</f>
        <v>#VALUE!</v>
      </c>
      <c r="AX139" s="21" t="e">
        <f t="shared" si="114"/>
        <v>#VALUE!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215.55381529099924</v>
      </c>
      <c r="T140" s="59">
        <f t="shared" si="142"/>
        <v>158.77848520346532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 t="e">
        <f>EXP(-LN(2)/35)*Z139+(1-EXP(-LN(2)/35))/(LN(2)/35)*V140*W140*VLOOKUP('Données projet'!$B$9,Paramètres!$A$1:$I$89,3,0)*0.475*44/12</f>
        <v>#VALUE!</v>
      </c>
      <c r="AA140" s="21" t="e">
        <f>EXP(-LN(2)/25)*AA139+(1-EXP(-LN(2)/25))/(LN(2)/25)*Calculateur!V140*Calculateur!X140*VLOOKUP('Données projet'!$B$9,Paramètres!$A$1:$I$89,3,0)*0.475*44/12</f>
        <v>#VALUE!</v>
      </c>
      <c r="AB140" s="21" t="e">
        <f>EXP(-LN(2)/2)*AB139+(1-EXP(-LN(2)/2))/(LN(2)/2)*V140*Y140*VLOOKUP('Données projet'!$B$9,Paramètres!$A$1:$I$89,3,0)*0.475*44/12</f>
        <v>#VALUE!</v>
      </c>
      <c r="AC140" s="22" t="e">
        <f t="shared" si="111"/>
        <v>#VALUE!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2.2737367544323206E-13</v>
      </c>
      <c r="AJ140" s="13">
        <f>AI140*VLOOKUP('Données projet'!$B$10,Paramètres!$A$1:$I$89,3,0)*VLOOKUP('Données projet'!$B$10,Paramètres!$A$1:$I$89,5,0)</f>
        <v>1.064108801074326E-13</v>
      </c>
      <c r="AK140" s="13">
        <f t="shared" si="143"/>
        <v>1.5870730813698654E-12</v>
      </c>
      <c r="AL140" s="20">
        <f t="shared" si="112"/>
        <v>2.9494845662396269E-12</v>
      </c>
      <c r="AM140" s="59">
        <f t="shared" si="113"/>
        <v>293.33333333333627</v>
      </c>
      <c r="AN140" s="59">
        <f ca="1">AVERAGE(OFFSET($AM$3,0,0,'Données projet'!$E$10+1,1))-AVERAGE(OFFSET($H$3,0,0,'Données projet'!$E$10+1,1))</f>
        <v>205.31676282910638</v>
      </c>
      <c r="AO140" s="59">
        <f t="shared" si="144"/>
        <v>190.64998698136026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#VALUE!</v>
      </c>
      <c r="AV140" s="21" t="e">
        <f>EXP(-LN(2)/25)*AV139+(1-EXP(-LN(2)/25))/(LN(2)/25)*Calculateur!AQ140*Calculateur!AS140*VLOOKUP('Données projet'!$B$10,Paramètres!$A$1:$I$89,3,0)*0.475*44/12</f>
        <v>#VALUE!</v>
      </c>
      <c r="AW140" s="21" t="e">
        <f>EXP(-LN(2)/2)*AW139+(1-EXP(-LN(2)/2))/(LN(2)/2)*AQ140*AT140*VLOOKUP('Données projet'!$B$10,Paramètres!$A$1:$I$89,3,0)*0.475*44/12</f>
        <v>#VALUE!</v>
      </c>
      <c r="AX140" s="21" t="e">
        <f t="shared" si="114"/>
        <v>#VALUE!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215.55381529099924</v>
      </c>
      <c r="T141" s="59">
        <f t="shared" si="142"/>
        <v>158.77848520346532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 t="e">
        <f>EXP(-LN(2)/35)*Z140+(1-EXP(-LN(2)/35))/(LN(2)/35)*V141*W141*VLOOKUP('Données projet'!$B$9,Paramètres!$A$1:$I$89,3,0)*0.475*44/12</f>
        <v>#VALUE!</v>
      </c>
      <c r="AA141" s="21" t="e">
        <f>EXP(-LN(2)/25)*AA140+(1-EXP(-LN(2)/25))/(LN(2)/25)*Calculateur!V141*Calculateur!X141*VLOOKUP('Données projet'!$B$9,Paramètres!$A$1:$I$89,3,0)*0.475*44/12</f>
        <v>#VALUE!</v>
      </c>
      <c r="AB141" s="21" t="e">
        <f>EXP(-LN(2)/2)*AB140+(1-EXP(-LN(2)/2))/(LN(2)/2)*V141*Y141*VLOOKUP('Données projet'!$B$9,Paramètres!$A$1:$I$89,3,0)*0.475*44/12</f>
        <v>#VALUE!</v>
      </c>
      <c r="AC141" s="22" t="e">
        <f t="shared" si="111"/>
        <v>#VALUE!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2.2737367544323206E-13</v>
      </c>
      <c r="AJ141" s="13">
        <f>AI141*VLOOKUP('Données projet'!$B$10,Paramètres!$A$1:$I$89,3,0)*VLOOKUP('Données projet'!$B$10,Paramètres!$A$1:$I$89,5,0)</f>
        <v>1.064108801074326E-13</v>
      </c>
      <c r="AK141" s="13">
        <f t="shared" si="143"/>
        <v>1.5870730813698654E-12</v>
      </c>
      <c r="AL141" s="20">
        <f t="shared" si="112"/>
        <v>2.9494845662396269E-12</v>
      </c>
      <c r="AM141" s="59">
        <f t="shared" si="113"/>
        <v>293.33333333333627</v>
      </c>
      <c r="AN141" s="59">
        <f ca="1">AVERAGE(OFFSET($AM$3,0,0,'Données projet'!$E$10+1,1))-AVERAGE(OFFSET($H$3,0,0,'Données projet'!$E$10+1,1))</f>
        <v>205.31676282910638</v>
      </c>
      <c r="AO141" s="59">
        <f t="shared" si="144"/>
        <v>190.64998698136026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#VALUE!</v>
      </c>
      <c r="AV141" s="21" t="e">
        <f>EXP(-LN(2)/25)*AV140+(1-EXP(-LN(2)/25))/(LN(2)/25)*Calculateur!AQ141*Calculateur!AS141*VLOOKUP('Données projet'!$B$10,Paramètres!$A$1:$I$89,3,0)*0.475*44/12</f>
        <v>#VALUE!</v>
      </c>
      <c r="AW141" s="21" t="e">
        <f>EXP(-LN(2)/2)*AW140+(1-EXP(-LN(2)/2))/(LN(2)/2)*AQ141*AT141*VLOOKUP('Données projet'!$B$10,Paramètres!$A$1:$I$89,3,0)*0.475*44/12</f>
        <v>#VALUE!</v>
      </c>
      <c r="AX141" s="21" t="e">
        <f t="shared" si="114"/>
        <v>#VALUE!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215.55381529099924</v>
      </c>
      <c r="T142" s="59">
        <f t="shared" si="142"/>
        <v>158.77848520346532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 t="e">
        <f>EXP(-LN(2)/35)*Z141+(1-EXP(-LN(2)/35))/(LN(2)/35)*V142*W142*VLOOKUP('Données projet'!$B$9,Paramètres!$A$1:$I$89,3,0)*0.475*44/12</f>
        <v>#VALUE!</v>
      </c>
      <c r="AA142" s="21" t="e">
        <f>EXP(-LN(2)/25)*AA141+(1-EXP(-LN(2)/25))/(LN(2)/25)*Calculateur!V142*Calculateur!X142*VLOOKUP('Données projet'!$B$9,Paramètres!$A$1:$I$89,3,0)*0.475*44/12</f>
        <v>#VALUE!</v>
      </c>
      <c r="AB142" s="21" t="e">
        <f>EXP(-LN(2)/2)*AB141+(1-EXP(-LN(2)/2))/(LN(2)/2)*V142*Y142*VLOOKUP('Données projet'!$B$9,Paramètres!$A$1:$I$89,3,0)*0.475*44/12</f>
        <v>#VALUE!</v>
      </c>
      <c r="AC142" s="22" t="e">
        <f t="shared" si="111"/>
        <v>#VALUE!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2.2737367544323206E-13</v>
      </c>
      <c r="AJ142" s="13">
        <f>AI142*VLOOKUP('Données projet'!$B$10,Paramètres!$A$1:$I$89,3,0)*VLOOKUP('Données projet'!$B$10,Paramètres!$A$1:$I$89,5,0)</f>
        <v>1.064108801074326E-13</v>
      </c>
      <c r="AK142" s="13">
        <f t="shared" si="143"/>
        <v>1.5870730813698654E-12</v>
      </c>
      <c r="AL142" s="20">
        <f t="shared" si="112"/>
        <v>2.9494845662396269E-12</v>
      </c>
      <c r="AM142" s="59">
        <f t="shared" si="113"/>
        <v>293.33333333333627</v>
      </c>
      <c r="AN142" s="59">
        <f ca="1">AVERAGE(OFFSET($AM$3,0,0,'Données projet'!$E$10+1,1))-AVERAGE(OFFSET($H$3,0,0,'Données projet'!$E$10+1,1))</f>
        <v>205.31676282910638</v>
      </c>
      <c r="AO142" s="59">
        <f t="shared" si="144"/>
        <v>190.64998698136026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#VALUE!</v>
      </c>
      <c r="AV142" s="21" t="e">
        <f>EXP(-LN(2)/25)*AV141+(1-EXP(-LN(2)/25))/(LN(2)/25)*Calculateur!AQ142*Calculateur!AS142*VLOOKUP('Données projet'!$B$10,Paramètres!$A$1:$I$89,3,0)*0.475*44/12</f>
        <v>#VALUE!</v>
      </c>
      <c r="AW142" s="21" t="e">
        <f>EXP(-LN(2)/2)*AW141+(1-EXP(-LN(2)/2))/(LN(2)/2)*AQ142*AT142*VLOOKUP('Données projet'!$B$10,Paramètres!$A$1:$I$89,3,0)*0.475*44/12</f>
        <v>#VALUE!</v>
      </c>
      <c r="AX142" s="21" t="e">
        <f t="shared" si="114"/>
        <v>#VALUE!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215.55381529099924</v>
      </c>
      <c r="T143" s="59">
        <f t="shared" si="142"/>
        <v>158.77848520346532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 t="e">
        <f>EXP(-LN(2)/35)*Z142+(1-EXP(-LN(2)/35))/(LN(2)/35)*V143*W143*VLOOKUP('Données projet'!$B$9,Paramètres!$A$1:$I$89,3,0)*0.475*44/12</f>
        <v>#VALUE!</v>
      </c>
      <c r="AA143" s="21" t="e">
        <f>EXP(-LN(2)/25)*AA142+(1-EXP(-LN(2)/25))/(LN(2)/25)*Calculateur!V143*Calculateur!X143*VLOOKUP('Données projet'!$B$9,Paramètres!$A$1:$I$89,3,0)*0.475*44/12</f>
        <v>#VALUE!</v>
      </c>
      <c r="AB143" s="21" t="e">
        <f>EXP(-LN(2)/2)*AB142+(1-EXP(-LN(2)/2))/(LN(2)/2)*V143*Y143*VLOOKUP('Données projet'!$B$9,Paramètres!$A$1:$I$89,3,0)*0.475*44/12</f>
        <v>#VALUE!</v>
      </c>
      <c r="AC143" s="22" t="e">
        <f t="shared" si="111"/>
        <v>#VALUE!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2.2737367544323206E-13</v>
      </c>
      <c r="AJ143" s="13">
        <f>AI143*VLOOKUP('Données projet'!$B$10,Paramètres!$A$1:$I$89,3,0)*VLOOKUP('Données projet'!$B$10,Paramètres!$A$1:$I$89,5,0)</f>
        <v>1.064108801074326E-13</v>
      </c>
      <c r="AK143" s="13">
        <f t="shared" si="143"/>
        <v>1.5870730813698654E-12</v>
      </c>
      <c r="AL143" s="20">
        <f t="shared" si="112"/>
        <v>2.9494845662396269E-12</v>
      </c>
      <c r="AM143" s="59">
        <f t="shared" si="113"/>
        <v>293.33333333333627</v>
      </c>
      <c r="AN143" s="59">
        <f ca="1">AVERAGE(OFFSET($AM$3,0,0,'Données projet'!$E$10+1,1))-AVERAGE(OFFSET($H$3,0,0,'Données projet'!$E$10+1,1))</f>
        <v>205.31676282910638</v>
      </c>
      <c r="AO143" s="59">
        <f t="shared" si="144"/>
        <v>190.64998698136026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#VALUE!</v>
      </c>
      <c r="AV143" s="21" t="e">
        <f>EXP(-LN(2)/25)*AV142+(1-EXP(-LN(2)/25))/(LN(2)/25)*Calculateur!AQ143*Calculateur!AS143*VLOOKUP('Données projet'!$B$10,Paramètres!$A$1:$I$89,3,0)*0.475*44/12</f>
        <v>#VALUE!</v>
      </c>
      <c r="AW143" s="21" t="e">
        <f>EXP(-LN(2)/2)*AW142+(1-EXP(-LN(2)/2))/(LN(2)/2)*AQ143*AT143*VLOOKUP('Données projet'!$B$10,Paramètres!$A$1:$I$89,3,0)*0.475*44/12</f>
        <v>#VALUE!</v>
      </c>
      <c r="AX143" s="21" t="e">
        <f t="shared" si="114"/>
        <v>#VALUE!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215.55381529099924</v>
      </c>
      <c r="T144" s="59">
        <f t="shared" si="142"/>
        <v>158.77848520346532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 t="e">
        <f>EXP(-LN(2)/35)*Z143+(1-EXP(-LN(2)/35))/(LN(2)/35)*V144*W144*VLOOKUP('Données projet'!$B$9,Paramètres!$A$1:$I$89,3,0)*0.475*44/12</f>
        <v>#VALUE!</v>
      </c>
      <c r="AA144" s="21" t="e">
        <f>EXP(-LN(2)/25)*AA143+(1-EXP(-LN(2)/25))/(LN(2)/25)*Calculateur!V144*Calculateur!X144*VLOOKUP('Données projet'!$B$9,Paramètres!$A$1:$I$89,3,0)*0.475*44/12</f>
        <v>#VALUE!</v>
      </c>
      <c r="AB144" s="21" t="e">
        <f>EXP(-LN(2)/2)*AB143+(1-EXP(-LN(2)/2))/(LN(2)/2)*V144*Y144*VLOOKUP('Données projet'!$B$9,Paramètres!$A$1:$I$89,3,0)*0.475*44/12</f>
        <v>#VALUE!</v>
      </c>
      <c r="AC144" s="22" t="e">
        <f t="shared" si="111"/>
        <v>#VALUE!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2.2737367544323206E-13</v>
      </c>
      <c r="AJ144" s="13">
        <f>AI144*VLOOKUP('Données projet'!$B$10,Paramètres!$A$1:$I$89,3,0)*VLOOKUP('Données projet'!$B$10,Paramètres!$A$1:$I$89,5,0)</f>
        <v>1.064108801074326E-13</v>
      </c>
      <c r="AK144" s="13">
        <f t="shared" si="143"/>
        <v>1.5870730813698654E-12</v>
      </c>
      <c r="AL144" s="20">
        <f t="shared" si="112"/>
        <v>2.9494845662396269E-12</v>
      </c>
      <c r="AM144" s="59">
        <f t="shared" si="113"/>
        <v>293.33333333333627</v>
      </c>
      <c r="AN144" s="59">
        <f ca="1">AVERAGE(OFFSET($AM$3,0,0,'Données projet'!$E$10+1,1))-AVERAGE(OFFSET($H$3,0,0,'Données projet'!$E$10+1,1))</f>
        <v>205.31676282910638</v>
      </c>
      <c r="AO144" s="59">
        <f t="shared" si="144"/>
        <v>190.64998698136026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#VALUE!</v>
      </c>
      <c r="AV144" s="21" t="e">
        <f>EXP(-LN(2)/25)*AV143+(1-EXP(-LN(2)/25))/(LN(2)/25)*Calculateur!AQ144*Calculateur!AS144*VLOOKUP('Données projet'!$B$10,Paramètres!$A$1:$I$89,3,0)*0.475*44/12</f>
        <v>#VALUE!</v>
      </c>
      <c r="AW144" s="21" t="e">
        <f>EXP(-LN(2)/2)*AW143+(1-EXP(-LN(2)/2))/(LN(2)/2)*AQ144*AT144*VLOOKUP('Données projet'!$B$10,Paramètres!$A$1:$I$89,3,0)*0.475*44/12</f>
        <v>#VALUE!</v>
      </c>
      <c r="AX144" s="21" t="e">
        <f t="shared" si="114"/>
        <v>#VALUE!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215.55381529099924</v>
      </c>
      <c r="T145" s="59">
        <f t="shared" si="142"/>
        <v>158.77848520346532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 t="e">
        <f>EXP(-LN(2)/35)*Z144+(1-EXP(-LN(2)/35))/(LN(2)/35)*V145*W145*VLOOKUP('Données projet'!$B$9,Paramètres!$A$1:$I$89,3,0)*0.475*44/12</f>
        <v>#VALUE!</v>
      </c>
      <c r="AA145" s="21" t="e">
        <f>EXP(-LN(2)/25)*AA144+(1-EXP(-LN(2)/25))/(LN(2)/25)*Calculateur!V145*Calculateur!X145*VLOOKUP('Données projet'!$B$9,Paramètres!$A$1:$I$89,3,0)*0.475*44/12</f>
        <v>#VALUE!</v>
      </c>
      <c r="AB145" s="21" t="e">
        <f>EXP(-LN(2)/2)*AB144+(1-EXP(-LN(2)/2))/(LN(2)/2)*V145*Y145*VLOOKUP('Données projet'!$B$9,Paramètres!$A$1:$I$89,3,0)*0.475*44/12</f>
        <v>#VALUE!</v>
      </c>
      <c r="AC145" s="22" t="e">
        <f t="shared" si="111"/>
        <v>#VALUE!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2.2737367544323206E-13</v>
      </c>
      <c r="AJ145" s="13">
        <f>AI145*VLOOKUP('Données projet'!$B$10,Paramètres!$A$1:$I$89,3,0)*VLOOKUP('Données projet'!$B$10,Paramètres!$A$1:$I$89,5,0)</f>
        <v>1.064108801074326E-13</v>
      </c>
      <c r="AK145" s="13">
        <f t="shared" si="143"/>
        <v>1.5870730813698654E-12</v>
      </c>
      <c r="AL145" s="20">
        <f t="shared" si="112"/>
        <v>2.9494845662396269E-12</v>
      </c>
      <c r="AM145" s="59">
        <f t="shared" si="113"/>
        <v>293.33333333333627</v>
      </c>
      <c r="AN145" s="59">
        <f ca="1">AVERAGE(OFFSET($AM$3,0,0,'Données projet'!$E$10+1,1))-AVERAGE(OFFSET($H$3,0,0,'Données projet'!$E$10+1,1))</f>
        <v>205.31676282910638</v>
      </c>
      <c r="AO145" s="59">
        <f t="shared" si="144"/>
        <v>190.64998698136026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#VALUE!</v>
      </c>
      <c r="AV145" s="21" t="e">
        <f>EXP(-LN(2)/25)*AV144+(1-EXP(-LN(2)/25))/(LN(2)/25)*Calculateur!AQ145*Calculateur!AS145*VLOOKUP('Données projet'!$B$10,Paramètres!$A$1:$I$89,3,0)*0.475*44/12</f>
        <v>#VALUE!</v>
      </c>
      <c r="AW145" s="21" t="e">
        <f>EXP(-LN(2)/2)*AW144+(1-EXP(-LN(2)/2))/(LN(2)/2)*AQ145*AT145*VLOOKUP('Données projet'!$B$10,Paramètres!$A$1:$I$89,3,0)*0.475*44/12</f>
        <v>#VALUE!</v>
      </c>
      <c r="AX145" s="21" t="e">
        <f t="shared" si="114"/>
        <v>#VALUE!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215.55381529099924</v>
      </c>
      <c r="T146" s="59">
        <f t="shared" si="142"/>
        <v>158.77848520346532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 t="e">
        <f>EXP(-LN(2)/35)*Z145+(1-EXP(-LN(2)/35))/(LN(2)/35)*V146*W146*VLOOKUP('Données projet'!$B$9,Paramètres!$A$1:$I$89,3,0)*0.475*44/12</f>
        <v>#VALUE!</v>
      </c>
      <c r="AA146" s="21" t="e">
        <f>EXP(-LN(2)/25)*AA145+(1-EXP(-LN(2)/25))/(LN(2)/25)*Calculateur!V146*Calculateur!X146*VLOOKUP('Données projet'!$B$9,Paramètres!$A$1:$I$89,3,0)*0.475*44/12</f>
        <v>#VALUE!</v>
      </c>
      <c r="AB146" s="21" t="e">
        <f>EXP(-LN(2)/2)*AB145+(1-EXP(-LN(2)/2))/(LN(2)/2)*V146*Y146*VLOOKUP('Données projet'!$B$9,Paramètres!$A$1:$I$89,3,0)*0.475*44/12</f>
        <v>#VALUE!</v>
      </c>
      <c r="AC146" s="22" t="e">
        <f t="shared" si="111"/>
        <v>#VALUE!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2.2737367544323206E-13</v>
      </c>
      <c r="AJ146" s="13">
        <f>AI146*VLOOKUP('Données projet'!$B$10,Paramètres!$A$1:$I$89,3,0)*VLOOKUP('Données projet'!$B$10,Paramètres!$A$1:$I$89,5,0)</f>
        <v>1.064108801074326E-13</v>
      </c>
      <c r="AK146" s="13">
        <f t="shared" si="143"/>
        <v>1.5870730813698654E-12</v>
      </c>
      <c r="AL146" s="20">
        <f t="shared" si="112"/>
        <v>2.9494845662396269E-12</v>
      </c>
      <c r="AM146" s="59">
        <f t="shared" si="113"/>
        <v>293.33333333333627</v>
      </c>
      <c r="AN146" s="59">
        <f ca="1">AVERAGE(OFFSET($AM$3,0,0,'Données projet'!$E$10+1,1))-AVERAGE(OFFSET($H$3,0,0,'Données projet'!$E$10+1,1))</f>
        <v>205.31676282910638</v>
      </c>
      <c r="AO146" s="59">
        <f t="shared" si="144"/>
        <v>190.64998698136026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#VALUE!</v>
      </c>
      <c r="AV146" s="21" t="e">
        <f>EXP(-LN(2)/25)*AV145+(1-EXP(-LN(2)/25))/(LN(2)/25)*Calculateur!AQ146*Calculateur!AS146*VLOOKUP('Données projet'!$B$10,Paramètres!$A$1:$I$89,3,0)*0.475*44/12</f>
        <v>#VALUE!</v>
      </c>
      <c r="AW146" s="21" t="e">
        <f>EXP(-LN(2)/2)*AW145+(1-EXP(-LN(2)/2))/(LN(2)/2)*AQ146*AT146*VLOOKUP('Données projet'!$B$10,Paramètres!$A$1:$I$89,3,0)*0.475*44/12</f>
        <v>#VALUE!</v>
      </c>
      <c r="AX146" s="21" t="e">
        <f t="shared" si="114"/>
        <v>#VALUE!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215.55381529099924</v>
      </c>
      <c r="T147" s="59">
        <f t="shared" si="142"/>
        <v>158.77848520346532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 t="e">
        <f>EXP(-LN(2)/35)*Z146+(1-EXP(-LN(2)/35))/(LN(2)/35)*V147*W147*VLOOKUP('Données projet'!$B$9,Paramètres!$A$1:$I$89,3,0)*0.475*44/12</f>
        <v>#VALUE!</v>
      </c>
      <c r="AA147" s="21" t="e">
        <f>EXP(-LN(2)/25)*AA146+(1-EXP(-LN(2)/25))/(LN(2)/25)*Calculateur!V147*Calculateur!X147*VLOOKUP('Données projet'!$B$9,Paramètres!$A$1:$I$89,3,0)*0.475*44/12</f>
        <v>#VALUE!</v>
      </c>
      <c r="AB147" s="21" t="e">
        <f>EXP(-LN(2)/2)*AB146+(1-EXP(-LN(2)/2))/(LN(2)/2)*V147*Y147*VLOOKUP('Données projet'!$B$9,Paramètres!$A$1:$I$89,3,0)*0.475*44/12</f>
        <v>#VALUE!</v>
      </c>
      <c r="AC147" s="22" t="e">
        <f t="shared" si="111"/>
        <v>#VALUE!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2.2737367544323206E-13</v>
      </c>
      <c r="AJ147" s="13">
        <f>AI147*VLOOKUP('Données projet'!$B$10,Paramètres!$A$1:$I$89,3,0)*VLOOKUP('Données projet'!$B$10,Paramètres!$A$1:$I$89,5,0)</f>
        <v>1.064108801074326E-13</v>
      </c>
      <c r="AK147" s="13">
        <f t="shared" si="143"/>
        <v>1.5870730813698654E-12</v>
      </c>
      <c r="AL147" s="20">
        <f t="shared" si="112"/>
        <v>2.9494845662396269E-12</v>
      </c>
      <c r="AM147" s="59">
        <f t="shared" si="113"/>
        <v>293.33333333333627</v>
      </c>
      <c r="AN147" s="59">
        <f ca="1">AVERAGE(OFFSET($AM$3,0,0,'Données projet'!$E$10+1,1))-AVERAGE(OFFSET($H$3,0,0,'Données projet'!$E$10+1,1))</f>
        <v>205.31676282910638</v>
      </c>
      <c r="AO147" s="59">
        <f t="shared" si="144"/>
        <v>190.64998698136026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#VALUE!</v>
      </c>
      <c r="AV147" s="21" t="e">
        <f>EXP(-LN(2)/25)*AV146+(1-EXP(-LN(2)/25))/(LN(2)/25)*Calculateur!AQ147*Calculateur!AS147*VLOOKUP('Données projet'!$B$10,Paramètres!$A$1:$I$89,3,0)*0.475*44/12</f>
        <v>#VALUE!</v>
      </c>
      <c r="AW147" s="21" t="e">
        <f>EXP(-LN(2)/2)*AW146+(1-EXP(-LN(2)/2))/(LN(2)/2)*AQ147*AT147*VLOOKUP('Données projet'!$B$10,Paramètres!$A$1:$I$89,3,0)*0.475*44/12</f>
        <v>#VALUE!</v>
      </c>
      <c r="AX147" s="21" t="e">
        <f t="shared" si="114"/>
        <v>#VALUE!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215.55381529099924</v>
      </c>
      <c r="T148" s="59">
        <f t="shared" si="142"/>
        <v>158.77848520346532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 t="e">
        <f>EXP(-LN(2)/35)*Z147+(1-EXP(-LN(2)/35))/(LN(2)/35)*V148*W148*VLOOKUP('Données projet'!$B$9,Paramètres!$A$1:$I$89,3,0)*0.475*44/12</f>
        <v>#VALUE!</v>
      </c>
      <c r="AA148" s="21" t="e">
        <f>EXP(-LN(2)/25)*AA147+(1-EXP(-LN(2)/25))/(LN(2)/25)*Calculateur!V148*Calculateur!X148*VLOOKUP('Données projet'!$B$9,Paramètres!$A$1:$I$89,3,0)*0.475*44/12</f>
        <v>#VALUE!</v>
      </c>
      <c r="AB148" s="21" t="e">
        <f>EXP(-LN(2)/2)*AB147+(1-EXP(-LN(2)/2))/(LN(2)/2)*V148*Y148*VLOOKUP('Données projet'!$B$9,Paramètres!$A$1:$I$89,3,0)*0.475*44/12</f>
        <v>#VALUE!</v>
      </c>
      <c r="AC148" s="22" t="e">
        <f t="shared" si="111"/>
        <v>#VALUE!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2.2737367544323206E-13</v>
      </c>
      <c r="AJ148" s="13">
        <f>AI148*VLOOKUP('Données projet'!$B$10,Paramètres!$A$1:$I$89,3,0)*VLOOKUP('Données projet'!$B$10,Paramètres!$A$1:$I$89,5,0)</f>
        <v>1.064108801074326E-13</v>
      </c>
      <c r="AK148" s="13">
        <f t="shared" si="143"/>
        <v>1.5870730813698654E-12</v>
      </c>
      <c r="AL148" s="20">
        <f t="shared" si="112"/>
        <v>2.9494845662396269E-12</v>
      </c>
      <c r="AM148" s="59">
        <f t="shared" si="113"/>
        <v>293.33333333333627</v>
      </c>
      <c r="AN148" s="59">
        <f ca="1">AVERAGE(OFFSET($AM$3,0,0,'Données projet'!$E$10+1,1))-AVERAGE(OFFSET($H$3,0,0,'Données projet'!$E$10+1,1))</f>
        <v>205.31676282910638</v>
      </c>
      <c r="AO148" s="59">
        <f t="shared" si="144"/>
        <v>190.64998698136026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#VALUE!</v>
      </c>
      <c r="AV148" s="21" t="e">
        <f>EXP(-LN(2)/25)*AV147+(1-EXP(-LN(2)/25))/(LN(2)/25)*Calculateur!AQ148*Calculateur!AS148*VLOOKUP('Données projet'!$B$10,Paramètres!$A$1:$I$89,3,0)*0.475*44/12</f>
        <v>#VALUE!</v>
      </c>
      <c r="AW148" s="21" t="e">
        <f>EXP(-LN(2)/2)*AW147+(1-EXP(-LN(2)/2))/(LN(2)/2)*AQ148*AT148*VLOOKUP('Données projet'!$B$10,Paramètres!$A$1:$I$89,3,0)*0.475*44/12</f>
        <v>#VALUE!</v>
      </c>
      <c r="AX148" s="21" t="e">
        <f t="shared" si="114"/>
        <v>#VALUE!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215.55381529099924</v>
      </c>
      <c r="T149" s="59">
        <f t="shared" si="142"/>
        <v>158.77848520346532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 t="e">
        <f>EXP(-LN(2)/35)*Z148+(1-EXP(-LN(2)/35))/(LN(2)/35)*V149*W149*VLOOKUP('Données projet'!$B$9,Paramètres!$A$1:$I$89,3,0)*0.475*44/12</f>
        <v>#VALUE!</v>
      </c>
      <c r="AA149" s="21" t="e">
        <f>EXP(-LN(2)/25)*AA148+(1-EXP(-LN(2)/25))/(LN(2)/25)*Calculateur!V149*Calculateur!X149*VLOOKUP('Données projet'!$B$9,Paramètres!$A$1:$I$89,3,0)*0.475*44/12</f>
        <v>#VALUE!</v>
      </c>
      <c r="AB149" s="21" t="e">
        <f>EXP(-LN(2)/2)*AB148+(1-EXP(-LN(2)/2))/(LN(2)/2)*V149*Y149*VLOOKUP('Données projet'!$B$9,Paramètres!$A$1:$I$89,3,0)*0.475*44/12</f>
        <v>#VALUE!</v>
      </c>
      <c r="AC149" s="22" t="e">
        <f t="shared" si="111"/>
        <v>#VALUE!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2.2737367544323206E-13</v>
      </c>
      <c r="AJ149" s="13">
        <f>AI149*VLOOKUP('Données projet'!$B$10,Paramètres!$A$1:$I$89,3,0)*VLOOKUP('Données projet'!$B$10,Paramètres!$A$1:$I$89,5,0)</f>
        <v>1.064108801074326E-13</v>
      </c>
      <c r="AK149" s="13">
        <f t="shared" si="143"/>
        <v>1.5870730813698654E-12</v>
      </c>
      <c r="AL149" s="20">
        <f t="shared" si="112"/>
        <v>2.9494845662396269E-12</v>
      </c>
      <c r="AM149" s="59">
        <f t="shared" si="113"/>
        <v>293.33333333333627</v>
      </c>
      <c r="AN149" s="59">
        <f ca="1">AVERAGE(OFFSET($AM$3,0,0,'Données projet'!$E$10+1,1))-AVERAGE(OFFSET($H$3,0,0,'Données projet'!$E$10+1,1))</f>
        <v>205.31676282910638</v>
      </c>
      <c r="AO149" s="59">
        <f t="shared" si="144"/>
        <v>190.64998698136026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#VALUE!</v>
      </c>
      <c r="AV149" s="21" t="e">
        <f>EXP(-LN(2)/25)*AV148+(1-EXP(-LN(2)/25))/(LN(2)/25)*Calculateur!AQ149*Calculateur!AS149*VLOOKUP('Données projet'!$B$10,Paramètres!$A$1:$I$89,3,0)*0.475*44/12</f>
        <v>#VALUE!</v>
      </c>
      <c r="AW149" s="21" t="e">
        <f>EXP(-LN(2)/2)*AW148+(1-EXP(-LN(2)/2))/(LN(2)/2)*AQ149*AT149*VLOOKUP('Données projet'!$B$10,Paramètres!$A$1:$I$89,3,0)*0.475*44/12</f>
        <v>#VALUE!</v>
      </c>
      <c r="AX149" s="21" t="e">
        <f t="shared" si="114"/>
        <v>#VALUE!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215.55381529099924</v>
      </c>
      <c r="T150" s="59">
        <f t="shared" si="142"/>
        <v>158.77848520346532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 t="e">
        <f>EXP(-LN(2)/35)*Z149+(1-EXP(-LN(2)/35))/(LN(2)/35)*V150*W150*VLOOKUP('Données projet'!$B$9,Paramètres!$A$1:$I$89,3,0)*0.475*44/12</f>
        <v>#VALUE!</v>
      </c>
      <c r="AA150" s="21" t="e">
        <f>EXP(-LN(2)/25)*AA149+(1-EXP(-LN(2)/25))/(LN(2)/25)*Calculateur!V150*Calculateur!X150*VLOOKUP('Données projet'!$B$9,Paramètres!$A$1:$I$89,3,0)*0.475*44/12</f>
        <v>#VALUE!</v>
      </c>
      <c r="AB150" s="21" t="e">
        <f>EXP(-LN(2)/2)*AB149+(1-EXP(-LN(2)/2))/(LN(2)/2)*V150*Y150*VLOOKUP('Données projet'!$B$9,Paramètres!$A$1:$I$89,3,0)*0.475*44/12</f>
        <v>#VALUE!</v>
      </c>
      <c r="AC150" s="22" t="e">
        <f t="shared" si="111"/>
        <v>#VALUE!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2.2737367544323206E-13</v>
      </c>
      <c r="AJ150" s="13">
        <f>AI150*VLOOKUP('Données projet'!$B$10,Paramètres!$A$1:$I$89,3,0)*VLOOKUP('Données projet'!$B$10,Paramètres!$A$1:$I$89,5,0)</f>
        <v>1.064108801074326E-13</v>
      </c>
      <c r="AK150" s="13">
        <f t="shared" si="143"/>
        <v>1.5870730813698654E-12</v>
      </c>
      <c r="AL150" s="20">
        <f t="shared" si="112"/>
        <v>2.9494845662396269E-12</v>
      </c>
      <c r="AM150" s="59">
        <f t="shared" si="113"/>
        <v>293.33333333333627</v>
      </c>
      <c r="AN150" s="59">
        <f ca="1">AVERAGE(OFFSET($AM$3,0,0,'Données projet'!$E$10+1,1))-AVERAGE(OFFSET($H$3,0,0,'Données projet'!$E$10+1,1))</f>
        <v>205.31676282910638</v>
      </c>
      <c r="AO150" s="59">
        <f t="shared" si="144"/>
        <v>190.64998698136026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#VALUE!</v>
      </c>
      <c r="AV150" s="21" t="e">
        <f>EXP(-LN(2)/25)*AV149+(1-EXP(-LN(2)/25))/(LN(2)/25)*Calculateur!AQ150*Calculateur!AS150*VLOOKUP('Données projet'!$B$10,Paramètres!$A$1:$I$89,3,0)*0.475*44/12</f>
        <v>#VALUE!</v>
      </c>
      <c r="AW150" s="21" t="e">
        <f>EXP(-LN(2)/2)*AW149+(1-EXP(-LN(2)/2))/(LN(2)/2)*AQ150*AT150*VLOOKUP('Données projet'!$B$10,Paramètres!$A$1:$I$89,3,0)*0.475*44/12</f>
        <v>#VALUE!</v>
      </c>
      <c r="AX150" s="21" t="e">
        <f t="shared" si="114"/>
        <v>#VALUE!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215.55381529099924</v>
      </c>
      <c r="T151" s="59">
        <f t="shared" si="142"/>
        <v>158.77848520346532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 t="e">
        <f>EXP(-LN(2)/35)*Z150+(1-EXP(-LN(2)/35))/(LN(2)/35)*V151*W151*VLOOKUP('Données projet'!$B$9,Paramètres!$A$1:$I$89,3,0)*0.475*44/12</f>
        <v>#VALUE!</v>
      </c>
      <c r="AA151" s="21" t="e">
        <f>EXP(-LN(2)/25)*AA150+(1-EXP(-LN(2)/25))/(LN(2)/25)*Calculateur!V151*Calculateur!X151*VLOOKUP('Données projet'!$B$9,Paramètres!$A$1:$I$89,3,0)*0.475*44/12</f>
        <v>#VALUE!</v>
      </c>
      <c r="AB151" s="21" t="e">
        <f>EXP(-LN(2)/2)*AB150+(1-EXP(-LN(2)/2))/(LN(2)/2)*V151*Y151*VLOOKUP('Données projet'!$B$9,Paramètres!$A$1:$I$89,3,0)*0.475*44/12</f>
        <v>#VALUE!</v>
      </c>
      <c r="AC151" s="22" t="e">
        <f t="shared" si="111"/>
        <v>#VALUE!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2.2737367544323206E-13</v>
      </c>
      <c r="AJ151" s="13">
        <f>AI151*VLOOKUP('Données projet'!$B$10,Paramètres!$A$1:$I$89,3,0)*VLOOKUP('Données projet'!$B$10,Paramètres!$A$1:$I$89,5,0)</f>
        <v>1.064108801074326E-13</v>
      </c>
      <c r="AK151" s="13">
        <f t="shared" si="143"/>
        <v>1.5870730813698654E-12</v>
      </c>
      <c r="AL151" s="20">
        <f t="shared" si="112"/>
        <v>2.9494845662396269E-12</v>
      </c>
      <c r="AM151" s="59">
        <f t="shared" si="113"/>
        <v>293.33333333333627</v>
      </c>
      <c r="AN151" s="59">
        <f ca="1">AVERAGE(OFFSET($AM$3,0,0,'Données projet'!$E$10+1,1))-AVERAGE(OFFSET($H$3,0,0,'Données projet'!$E$10+1,1))</f>
        <v>205.31676282910638</v>
      </c>
      <c r="AO151" s="59">
        <f t="shared" si="144"/>
        <v>190.64998698136026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#VALUE!</v>
      </c>
      <c r="AV151" s="21" t="e">
        <f>EXP(-LN(2)/25)*AV150+(1-EXP(-LN(2)/25))/(LN(2)/25)*Calculateur!AQ151*Calculateur!AS151*VLOOKUP('Données projet'!$B$10,Paramètres!$A$1:$I$89,3,0)*0.475*44/12</f>
        <v>#VALUE!</v>
      </c>
      <c r="AW151" s="21" t="e">
        <f>EXP(-LN(2)/2)*AW150+(1-EXP(-LN(2)/2))/(LN(2)/2)*AQ151*AT151*VLOOKUP('Données projet'!$B$10,Paramètres!$A$1:$I$89,3,0)*0.475*44/12</f>
        <v>#VALUE!</v>
      </c>
      <c r="AX151" s="21" t="e">
        <f t="shared" si="114"/>
        <v>#VALUE!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215.55381529099924</v>
      </c>
      <c r="T152" s="59">
        <f t="shared" si="142"/>
        <v>158.77848520346532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 t="e">
        <f>EXP(-LN(2)/35)*Z151+(1-EXP(-LN(2)/35))/(LN(2)/35)*V152*W152*VLOOKUP('Données projet'!$B$9,Paramètres!$A$1:$I$89,3,0)*0.475*44/12</f>
        <v>#VALUE!</v>
      </c>
      <c r="AA152" s="21" t="e">
        <f>EXP(-LN(2)/25)*AA151+(1-EXP(-LN(2)/25))/(LN(2)/25)*Calculateur!V152*Calculateur!X152*VLOOKUP('Données projet'!$B$9,Paramètres!$A$1:$I$89,3,0)*0.475*44/12</f>
        <v>#VALUE!</v>
      </c>
      <c r="AB152" s="21" t="e">
        <f>EXP(-LN(2)/2)*AB151+(1-EXP(-LN(2)/2))/(LN(2)/2)*V152*Y152*VLOOKUP('Données projet'!$B$9,Paramètres!$A$1:$I$89,3,0)*0.475*44/12</f>
        <v>#VALUE!</v>
      </c>
      <c r="AC152" s="22" t="e">
        <f t="shared" si="111"/>
        <v>#VALUE!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2.2737367544323206E-13</v>
      </c>
      <c r="AJ152" s="13">
        <f>AI152*VLOOKUP('Données projet'!$B$10,Paramètres!$A$1:$I$89,3,0)*VLOOKUP('Données projet'!$B$10,Paramètres!$A$1:$I$89,5,0)</f>
        <v>1.064108801074326E-13</v>
      </c>
      <c r="AK152" s="13">
        <f t="shared" si="143"/>
        <v>1.5870730813698654E-12</v>
      </c>
      <c r="AL152" s="20">
        <f t="shared" si="112"/>
        <v>2.9494845662396269E-12</v>
      </c>
      <c r="AM152" s="59">
        <f t="shared" si="113"/>
        <v>293.33333333333627</v>
      </c>
      <c r="AN152" s="59">
        <f ca="1">AVERAGE(OFFSET($AM$3,0,0,'Données projet'!$E$10+1,1))-AVERAGE(OFFSET($H$3,0,0,'Données projet'!$E$10+1,1))</f>
        <v>205.31676282910638</v>
      </c>
      <c r="AO152" s="59">
        <f t="shared" si="144"/>
        <v>190.64998698136026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#VALUE!</v>
      </c>
      <c r="AV152" s="21" t="e">
        <f>EXP(-LN(2)/25)*AV151+(1-EXP(-LN(2)/25))/(LN(2)/25)*Calculateur!AQ152*Calculateur!AS152*VLOOKUP('Données projet'!$B$10,Paramètres!$A$1:$I$89,3,0)*0.475*44/12</f>
        <v>#VALUE!</v>
      </c>
      <c r="AW152" s="21" t="e">
        <f>EXP(-LN(2)/2)*AW151+(1-EXP(-LN(2)/2))/(LN(2)/2)*AQ152*AT152*VLOOKUP('Données projet'!$B$10,Paramètres!$A$1:$I$89,3,0)*0.475*44/12</f>
        <v>#VALUE!</v>
      </c>
      <c r="AX152" s="21" t="e">
        <f t="shared" si="114"/>
        <v>#VALUE!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215.55381529099924</v>
      </c>
      <c r="T153" s="59">
        <f t="shared" si="142"/>
        <v>158.77848520346532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 t="e">
        <f>EXP(-LN(2)/35)*Z152+(1-EXP(-LN(2)/35))/(LN(2)/35)*V153*W153*VLOOKUP('Données projet'!$B$9,Paramètres!$A$1:$I$89,3,0)*0.475*44/12</f>
        <v>#VALUE!</v>
      </c>
      <c r="AA153" s="21" t="e">
        <f>EXP(-LN(2)/25)*AA152+(1-EXP(-LN(2)/25))/(LN(2)/25)*Calculateur!V153*Calculateur!X153*VLOOKUP('Données projet'!$B$9,Paramètres!$A$1:$I$89,3,0)*0.475*44/12</f>
        <v>#VALUE!</v>
      </c>
      <c r="AB153" s="21" t="e">
        <f>EXP(-LN(2)/2)*AB152+(1-EXP(-LN(2)/2))/(LN(2)/2)*V153*Y153*VLOOKUP('Données projet'!$B$9,Paramètres!$A$1:$I$89,3,0)*0.475*44/12</f>
        <v>#VALUE!</v>
      </c>
      <c r="AC153" s="22" t="e">
        <f t="shared" si="111"/>
        <v>#VALUE!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2.2737367544323206E-13</v>
      </c>
      <c r="AJ153" s="13">
        <f>AI153*VLOOKUP('Données projet'!$B$10,Paramètres!$A$1:$I$89,3,0)*VLOOKUP('Données projet'!$B$10,Paramètres!$A$1:$I$89,5,0)</f>
        <v>1.064108801074326E-13</v>
      </c>
      <c r="AK153" s="13">
        <f t="shared" si="143"/>
        <v>1.5870730813698654E-12</v>
      </c>
      <c r="AL153" s="20">
        <f t="shared" si="112"/>
        <v>2.9494845662396269E-12</v>
      </c>
      <c r="AM153" s="59">
        <f t="shared" si="113"/>
        <v>293.33333333333627</v>
      </c>
      <c r="AN153" s="59">
        <f ca="1">AVERAGE(OFFSET($AM$3,0,0,'Données projet'!$E$10+1,1))-AVERAGE(OFFSET($H$3,0,0,'Données projet'!$E$10+1,1))</f>
        <v>205.31676282910638</v>
      </c>
      <c r="AO153" s="59">
        <f t="shared" si="144"/>
        <v>190.64998698136026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#VALUE!</v>
      </c>
      <c r="AV153" s="21" t="e">
        <f>EXP(-LN(2)/25)*AV152+(1-EXP(-LN(2)/25))/(LN(2)/25)*Calculateur!AQ153*Calculateur!AS153*VLOOKUP('Données projet'!$B$10,Paramètres!$A$1:$I$89,3,0)*0.475*44/12</f>
        <v>#VALUE!</v>
      </c>
      <c r="AW153" s="21" t="e">
        <f>EXP(-LN(2)/2)*AW152+(1-EXP(-LN(2)/2))/(LN(2)/2)*AQ153*AT153*VLOOKUP('Données projet'!$B$10,Paramètres!$A$1:$I$89,3,0)*0.475*44/12</f>
        <v>#VALUE!</v>
      </c>
      <c r="AX153" s="21" t="e">
        <f t="shared" si="114"/>
        <v>#VALUE!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215.55381529099924</v>
      </c>
      <c r="T154" s="59">
        <f t="shared" si="142"/>
        <v>158.77848520346532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 t="e">
        <f>EXP(-LN(2)/35)*Z153+(1-EXP(-LN(2)/35))/(LN(2)/35)*V154*W154*VLOOKUP('Données projet'!$B$9,Paramètres!$A$1:$I$89,3,0)*0.475*44/12</f>
        <v>#VALUE!</v>
      </c>
      <c r="AA154" s="21" t="e">
        <f>EXP(-LN(2)/25)*AA153+(1-EXP(-LN(2)/25))/(LN(2)/25)*Calculateur!V154*Calculateur!X154*VLOOKUP('Données projet'!$B$9,Paramètres!$A$1:$I$89,3,0)*0.475*44/12</f>
        <v>#VALUE!</v>
      </c>
      <c r="AB154" s="21" t="e">
        <f>EXP(-LN(2)/2)*AB153+(1-EXP(-LN(2)/2))/(LN(2)/2)*V154*Y154*VLOOKUP('Données projet'!$B$9,Paramètres!$A$1:$I$89,3,0)*0.475*44/12</f>
        <v>#VALUE!</v>
      </c>
      <c r="AC154" s="22" t="e">
        <f t="shared" ref="AC154:AC203" si="163">SUM(Z154:AB154)</f>
        <v>#VALUE!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1.064108801074326E-13</v>
      </c>
      <c r="AK154" s="13">
        <f t="shared" ref="AK154:AK203" si="164">EXP(-1.0587+0.8836*LN(AJ154)+0.284)</f>
        <v>1.5870730813698654E-12</v>
      </c>
      <c r="AL154" s="20">
        <f t="shared" ref="AL154:AL203" si="165">(AJ154+AK154)*0.475*44/12</f>
        <v>2.9494845662396269E-12</v>
      </c>
      <c r="AM154" s="59">
        <f t="shared" si="113"/>
        <v>293.33333333333627</v>
      </c>
      <c r="AN154" s="59">
        <f ca="1">AVERAGE(OFFSET($AM$3,0,0,'Données projet'!$E$10+1,1))-AVERAGE(OFFSET($H$3,0,0,'Données projet'!$E$10+1,1))</f>
        <v>205.31676282910638</v>
      </c>
      <c r="AO154" s="59">
        <f t="shared" si="144"/>
        <v>190.64998698136026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#VALUE!</v>
      </c>
      <c r="AV154" s="21" t="e">
        <f>EXP(-LN(2)/25)*AV153+(1-EXP(-LN(2)/25))/(LN(2)/25)*Calculateur!AQ154*Calculateur!AS154*VLOOKUP('Données projet'!$B$10,Paramètres!$A$1:$I$89,3,0)*0.475*44/12</f>
        <v>#VALUE!</v>
      </c>
      <c r="AW154" s="21" t="e">
        <f>EXP(-LN(2)/2)*AW153+(1-EXP(-LN(2)/2))/(LN(2)/2)*AQ154*AT154*VLOOKUP('Données projet'!$B$10,Paramètres!$A$1:$I$89,3,0)*0.475*44/12</f>
        <v>#VALUE!</v>
      </c>
      <c r="AX154" s="21" t="e">
        <f t="shared" ref="AX154:AX203" si="166">SUM(AU154:AW154)</f>
        <v>#VALUE!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215.55381529099924</v>
      </c>
      <c r="T155" s="59">
        <f t="shared" si="142"/>
        <v>158.77848520346532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 t="e">
        <f>EXP(-LN(2)/35)*Z154+(1-EXP(-LN(2)/35))/(LN(2)/35)*V155*W155*VLOOKUP('Données projet'!$B$9,Paramètres!$A$1:$I$89,3,0)*0.475*44/12</f>
        <v>#VALUE!</v>
      </c>
      <c r="AA155" s="21" t="e">
        <f>EXP(-LN(2)/25)*AA154+(1-EXP(-LN(2)/25))/(LN(2)/25)*Calculateur!V155*Calculateur!X155*VLOOKUP('Données projet'!$B$9,Paramètres!$A$1:$I$89,3,0)*0.475*44/12</f>
        <v>#VALUE!</v>
      </c>
      <c r="AB155" s="21" t="e">
        <f>EXP(-LN(2)/2)*AB154+(1-EXP(-LN(2)/2))/(LN(2)/2)*V155*Y155*VLOOKUP('Données projet'!$B$9,Paramètres!$A$1:$I$89,3,0)*0.475*44/12</f>
        <v>#VALUE!</v>
      </c>
      <c r="AC155" s="22" t="e">
        <f t="shared" si="163"/>
        <v>#VALUE!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1.064108801074326E-13</v>
      </c>
      <c r="AK155" s="13">
        <f t="shared" si="164"/>
        <v>1.5870730813698654E-12</v>
      </c>
      <c r="AL155" s="20">
        <f t="shared" si="165"/>
        <v>2.9494845662396269E-12</v>
      </c>
      <c r="AM155" s="59">
        <f t="shared" si="113"/>
        <v>293.33333333333627</v>
      </c>
      <c r="AN155" s="59">
        <f ca="1">AVERAGE(OFFSET($AM$3,0,0,'Données projet'!$E$10+1,1))-AVERAGE(OFFSET($H$3,0,0,'Données projet'!$E$10+1,1))</f>
        <v>205.31676282910638</v>
      </c>
      <c r="AO155" s="59">
        <f t="shared" si="144"/>
        <v>190.64998698136026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#VALUE!</v>
      </c>
      <c r="AV155" s="21" t="e">
        <f>EXP(-LN(2)/25)*AV154+(1-EXP(-LN(2)/25))/(LN(2)/25)*Calculateur!AQ155*Calculateur!AS155*VLOOKUP('Données projet'!$B$10,Paramètres!$A$1:$I$89,3,0)*0.475*44/12</f>
        <v>#VALUE!</v>
      </c>
      <c r="AW155" s="21" t="e">
        <f>EXP(-LN(2)/2)*AW154+(1-EXP(-LN(2)/2))/(LN(2)/2)*AQ155*AT155*VLOOKUP('Données projet'!$B$10,Paramètres!$A$1:$I$89,3,0)*0.475*44/12</f>
        <v>#VALUE!</v>
      </c>
      <c r="AX155" s="21" t="e">
        <f t="shared" si="166"/>
        <v>#VALUE!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215.55381529099924</v>
      </c>
      <c r="T156" s="59">
        <f t="shared" si="142"/>
        <v>158.77848520346532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 t="e">
        <f>EXP(-LN(2)/35)*Z155+(1-EXP(-LN(2)/35))/(LN(2)/35)*V156*W156*VLOOKUP('Données projet'!$B$9,Paramètres!$A$1:$I$89,3,0)*0.475*44/12</f>
        <v>#VALUE!</v>
      </c>
      <c r="AA156" s="21" t="e">
        <f>EXP(-LN(2)/25)*AA155+(1-EXP(-LN(2)/25))/(LN(2)/25)*Calculateur!V156*Calculateur!X156*VLOOKUP('Données projet'!$B$9,Paramètres!$A$1:$I$89,3,0)*0.475*44/12</f>
        <v>#VALUE!</v>
      </c>
      <c r="AB156" s="21" t="e">
        <f>EXP(-LN(2)/2)*AB155+(1-EXP(-LN(2)/2))/(LN(2)/2)*V156*Y156*VLOOKUP('Données projet'!$B$9,Paramètres!$A$1:$I$89,3,0)*0.475*44/12</f>
        <v>#VALUE!</v>
      </c>
      <c r="AC156" s="22" t="e">
        <f t="shared" si="163"/>
        <v>#VALUE!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1.064108801074326E-13</v>
      </c>
      <c r="AK156" s="13">
        <f t="shared" si="164"/>
        <v>1.5870730813698654E-12</v>
      </c>
      <c r="AL156" s="20">
        <f t="shared" si="165"/>
        <v>2.9494845662396269E-12</v>
      </c>
      <c r="AM156" s="59">
        <f t="shared" si="113"/>
        <v>293.33333333333627</v>
      </c>
      <c r="AN156" s="59">
        <f ca="1">AVERAGE(OFFSET($AM$3,0,0,'Données projet'!$E$10+1,1))-AVERAGE(OFFSET($H$3,0,0,'Données projet'!$E$10+1,1))</f>
        <v>205.31676282910638</v>
      </c>
      <c r="AO156" s="59">
        <f t="shared" si="144"/>
        <v>190.64998698136026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#VALUE!</v>
      </c>
      <c r="AV156" s="21" t="e">
        <f>EXP(-LN(2)/25)*AV155+(1-EXP(-LN(2)/25))/(LN(2)/25)*Calculateur!AQ156*Calculateur!AS156*VLOOKUP('Données projet'!$B$10,Paramètres!$A$1:$I$89,3,0)*0.475*44/12</f>
        <v>#VALUE!</v>
      </c>
      <c r="AW156" s="21" t="e">
        <f>EXP(-LN(2)/2)*AW155+(1-EXP(-LN(2)/2))/(LN(2)/2)*AQ156*AT156*VLOOKUP('Données projet'!$B$10,Paramètres!$A$1:$I$89,3,0)*0.475*44/12</f>
        <v>#VALUE!</v>
      </c>
      <c r="AX156" s="21" t="e">
        <f t="shared" si="166"/>
        <v>#VALUE!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215.55381529099924</v>
      </c>
      <c r="T157" s="59">
        <f t="shared" si="142"/>
        <v>158.77848520346532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 t="e">
        <f>EXP(-LN(2)/35)*Z156+(1-EXP(-LN(2)/35))/(LN(2)/35)*V157*W157*VLOOKUP('Données projet'!$B$9,Paramètres!$A$1:$I$89,3,0)*0.475*44/12</f>
        <v>#VALUE!</v>
      </c>
      <c r="AA157" s="21" t="e">
        <f>EXP(-LN(2)/25)*AA156+(1-EXP(-LN(2)/25))/(LN(2)/25)*Calculateur!V157*Calculateur!X157*VLOOKUP('Données projet'!$B$9,Paramètres!$A$1:$I$89,3,0)*0.475*44/12</f>
        <v>#VALUE!</v>
      </c>
      <c r="AB157" s="21" t="e">
        <f>EXP(-LN(2)/2)*AB156+(1-EXP(-LN(2)/2))/(LN(2)/2)*V157*Y157*VLOOKUP('Données projet'!$B$9,Paramètres!$A$1:$I$89,3,0)*0.475*44/12</f>
        <v>#VALUE!</v>
      </c>
      <c r="AC157" s="22" t="e">
        <f t="shared" si="163"/>
        <v>#VALUE!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1.064108801074326E-13</v>
      </c>
      <c r="AK157" s="13">
        <f t="shared" si="164"/>
        <v>1.5870730813698654E-12</v>
      </c>
      <c r="AL157" s="20">
        <f t="shared" si="165"/>
        <v>2.9494845662396269E-12</v>
      </c>
      <c r="AM157" s="59">
        <f t="shared" si="113"/>
        <v>293.33333333333627</v>
      </c>
      <c r="AN157" s="59">
        <f ca="1">AVERAGE(OFFSET($AM$3,0,0,'Données projet'!$E$10+1,1))-AVERAGE(OFFSET($H$3,0,0,'Données projet'!$E$10+1,1))</f>
        <v>205.31676282910638</v>
      </c>
      <c r="AO157" s="59">
        <f t="shared" si="144"/>
        <v>190.64998698136026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#VALUE!</v>
      </c>
      <c r="AV157" s="21" t="e">
        <f>EXP(-LN(2)/25)*AV156+(1-EXP(-LN(2)/25))/(LN(2)/25)*Calculateur!AQ157*Calculateur!AS157*VLOOKUP('Données projet'!$B$10,Paramètres!$A$1:$I$89,3,0)*0.475*44/12</f>
        <v>#VALUE!</v>
      </c>
      <c r="AW157" s="21" t="e">
        <f>EXP(-LN(2)/2)*AW156+(1-EXP(-LN(2)/2))/(LN(2)/2)*AQ157*AT157*VLOOKUP('Données projet'!$B$10,Paramètres!$A$1:$I$89,3,0)*0.475*44/12</f>
        <v>#VALUE!</v>
      </c>
      <c r="AX157" s="21" t="e">
        <f t="shared" si="166"/>
        <v>#VALUE!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215.55381529099924</v>
      </c>
      <c r="T158" s="59">
        <f t="shared" si="142"/>
        <v>158.77848520346532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 t="e">
        <f>EXP(-LN(2)/35)*Z157+(1-EXP(-LN(2)/35))/(LN(2)/35)*V158*W158*VLOOKUP('Données projet'!$B$9,Paramètres!$A$1:$I$89,3,0)*0.475*44/12</f>
        <v>#VALUE!</v>
      </c>
      <c r="AA158" s="21" t="e">
        <f>EXP(-LN(2)/25)*AA157+(1-EXP(-LN(2)/25))/(LN(2)/25)*Calculateur!V158*Calculateur!X158*VLOOKUP('Données projet'!$B$9,Paramètres!$A$1:$I$89,3,0)*0.475*44/12</f>
        <v>#VALUE!</v>
      </c>
      <c r="AB158" s="21" t="e">
        <f>EXP(-LN(2)/2)*AB157+(1-EXP(-LN(2)/2))/(LN(2)/2)*V158*Y158*VLOOKUP('Données projet'!$B$9,Paramètres!$A$1:$I$89,3,0)*0.475*44/12</f>
        <v>#VALUE!</v>
      </c>
      <c r="AC158" s="22" t="e">
        <f t="shared" si="163"/>
        <v>#VALUE!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1.064108801074326E-13</v>
      </c>
      <c r="AK158" s="13">
        <f t="shared" si="164"/>
        <v>1.5870730813698654E-12</v>
      </c>
      <c r="AL158" s="20">
        <f t="shared" si="165"/>
        <v>2.9494845662396269E-12</v>
      </c>
      <c r="AM158" s="59">
        <f t="shared" si="113"/>
        <v>293.33333333333627</v>
      </c>
      <c r="AN158" s="59">
        <f ca="1">AVERAGE(OFFSET($AM$3,0,0,'Données projet'!$E$10+1,1))-AVERAGE(OFFSET($H$3,0,0,'Données projet'!$E$10+1,1))</f>
        <v>205.31676282910638</v>
      </c>
      <c r="AO158" s="59">
        <f t="shared" si="144"/>
        <v>190.64998698136026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#VALUE!</v>
      </c>
      <c r="AV158" s="21" t="e">
        <f>EXP(-LN(2)/25)*AV157+(1-EXP(-LN(2)/25))/(LN(2)/25)*Calculateur!AQ158*Calculateur!AS158*VLOOKUP('Données projet'!$B$10,Paramètres!$A$1:$I$89,3,0)*0.475*44/12</f>
        <v>#VALUE!</v>
      </c>
      <c r="AW158" s="21" t="e">
        <f>EXP(-LN(2)/2)*AW157+(1-EXP(-LN(2)/2))/(LN(2)/2)*AQ158*AT158*VLOOKUP('Données projet'!$B$10,Paramètres!$A$1:$I$89,3,0)*0.475*44/12</f>
        <v>#VALUE!</v>
      </c>
      <c r="AX158" s="21" t="e">
        <f t="shared" si="166"/>
        <v>#VALUE!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215.55381529099924</v>
      </c>
      <c r="T159" s="59">
        <f t="shared" si="142"/>
        <v>158.77848520346532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 t="e">
        <f>EXP(-LN(2)/35)*Z158+(1-EXP(-LN(2)/35))/(LN(2)/35)*V159*W159*VLOOKUP('Données projet'!$B$9,Paramètres!$A$1:$I$89,3,0)*0.475*44/12</f>
        <v>#VALUE!</v>
      </c>
      <c r="AA159" s="21" t="e">
        <f>EXP(-LN(2)/25)*AA158+(1-EXP(-LN(2)/25))/(LN(2)/25)*Calculateur!V159*Calculateur!X159*VLOOKUP('Données projet'!$B$9,Paramètres!$A$1:$I$89,3,0)*0.475*44/12</f>
        <v>#VALUE!</v>
      </c>
      <c r="AB159" s="21" t="e">
        <f>EXP(-LN(2)/2)*AB158+(1-EXP(-LN(2)/2))/(LN(2)/2)*V159*Y159*VLOOKUP('Données projet'!$B$9,Paramètres!$A$1:$I$89,3,0)*0.475*44/12</f>
        <v>#VALUE!</v>
      </c>
      <c r="AC159" s="22" t="e">
        <f t="shared" si="163"/>
        <v>#VALUE!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1.064108801074326E-13</v>
      </c>
      <c r="AK159" s="13">
        <f t="shared" si="164"/>
        <v>1.5870730813698654E-12</v>
      </c>
      <c r="AL159" s="20">
        <f t="shared" si="165"/>
        <v>2.9494845662396269E-12</v>
      </c>
      <c r="AM159" s="59">
        <f t="shared" si="113"/>
        <v>293.33333333333627</v>
      </c>
      <c r="AN159" s="59">
        <f ca="1">AVERAGE(OFFSET($AM$3,0,0,'Données projet'!$E$10+1,1))-AVERAGE(OFFSET($H$3,0,0,'Données projet'!$E$10+1,1))</f>
        <v>205.31676282910638</v>
      </c>
      <c r="AO159" s="59">
        <f t="shared" si="144"/>
        <v>190.64998698136026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#VALUE!</v>
      </c>
      <c r="AV159" s="21" t="e">
        <f>EXP(-LN(2)/25)*AV158+(1-EXP(-LN(2)/25))/(LN(2)/25)*Calculateur!AQ159*Calculateur!AS159*VLOOKUP('Données projet'!$B$10,Paramètres!$A$1:$I$89,3,0)*0.475*44/12</f>
        <v>#VALUE!</v>
      </c>
      <c r="AW159" s="21" t="e">
        <f>EXP(-LN(2)/2)*AW158+(1-EXP(-LN(2)/2))/(LN(2)/2)*AQ159*AT159*VLOOKUP('Données projet'!$B$10,Paramètres!$A$1:$I$89,3,0)*0.475*44/12</f>
        <v>#VALUE!</v>
      </c>
      <c r="AX159" s="21" t="e">
        <f t="shared" si="166"/>
        <v>#VALUE!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215.55381529099924</v>
      </c>
      <c r="T160" s="59">
        <f t="shared" si="142"/>
        <v>158.77848520346532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 t="e">
        <f>EXP(-LN(2)/35)*Z159+(1-EXP(-LN(2)/35))/(LN(2)/35)*V160*W160*VLOOKUP('Données projet'!$B$9,Paramètres!$A$1:$I$89,3,0)*0.475*44/12</f>
        <v>#VALUE!</v>
      </c>
      <c r="AA160" s="21" t="e">
        <f>EXP(-LN(2)/25)*AA159+(1-EXP(-LN(2)/25))/(LN(2)/25)*Calculateur!V160*Calculateur!X160*VLOOKUP('Données projet'!$B$9,Paramètres!$A$1:$I$89,3,0)*0.475*44/12</f>
        <v>#VALUE!</v>
      </c>
      <c r="AB160" s="21" t="e">
        <f>EXP(-LN(2)/2)*AB159+(1-EXP(-LN(2)/2))/(LN(2)/2)*V160*Y160*VLOOKUP('Données projet'!$B$9,Paramètres!$A$1:$I$89,3,0)*0.475*44/12</f>
        <v>#VALUE!</v>
      </c>
      <c r="AC160" s="22" t="e">
        <f t="shared" si="163"/>
        <v>#VALUE!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1.064108801074326E-13</v>
      </c>
      <c r="AK160" s="13">
        <f t="shared" si="164"/>
        <v>1.5870730813698654E-12</v>
      </c>
      <c r="AL160" s="20">
        <f t="shared" si="165"/>
        <v>2.9494845662396269E-12</v>
      </c>
      <c r="AM160" s="59">
        <f t="shared" si="113"/>
        <v>293.33333333333627</v>
      </c>
      <c r="AN160" s="59">
        <f ca="1">AVERAGE(OFFSET($AM$3,0,0,'Données projet'!$E$10+1,1))-AVERAGE(OFFSET($H$3,0,0,'Données projet'!$E$10+1,1))</f>
        <v>205.31676282910638</v>
      </c>
      <c r="AO160" s="59">
        <f t="shared" si="144"/>
        <v>190.64998698136026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#VALUE!</v>
      </c>
      <c r="AV160" s="21" t="e">
        <f>EXP(-LN(2)/25)*AV159+(1-EXP(-LN(2)/25))/(LN(2)/25)*Calculateur!AQ160*Calculateur!AS160*VLOOKUP('Données projet'!$B$10,Paramètres!$A$1:$I$89,3,0)*0.475*44/12</f>
        <v>#VALUE!</v>
      </c>
      <c r="AW160" s="21" t="e">
        <f>EXP(-LN(2)/2)*AW159+(1-EXP(-LN(2)/2))/(LN(2)/2)*AQ160*AT160*VLOOKUP('Données projet'!$B$10,Paramètres!$A$1:$I$89,3,0)*0.475*44/12</f>
        <v>#VALUE!</v>
      </c>
      <c r="AX160" s="21" t="e">
        <f t="shared" si="166"/>
        <v>#VALUE!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215.55381529099924</v>
      </c>
      <c r="T161" s="59">
        <f t="shared" si="142"/>
        <v>158.77848520346532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 t="e">
        <f>EXP(-LN(2)/35)*Z160+(1-EXP(-LN(2)/35))/(LN(2)/35)*V161*W161*VLOOKUP('Données projet'!$B$9,Paramètres!$A$1:$I$89,3,0)*0.475*44/12</f>
        <v>#VALUE!</v>
      </c>
      <c r="AA161" s="21" t="e">
        <f>EXP(-LN(2)/25)*AA160+(1-EXP(-LN(2)/25))/(LN(2)/25)*Calculateur!V161*Calculateur!X161*VLOOKUP('Données projet'!$B$9,Paramètres!$A$1:$I$89,3,0)*0.475*44/12</f>
        <v>#VALUE!</v>
      </c>
      <c r="AB161" s="21" t="e">
        <f>EXP(-LN(2)/2)*AB160+(1-EXP(-LN(2)/2))/(LN(2)/2)*V161*Y161*VLOOKUP('Données projet'!$B$9,Paramètres!$A$1:$I$89,3,0)*0.475*44/12</f>
        <v>#VALUE!</v>
      </c>
      <c r="AC161" s="22" t="e">
        <f t="shared" si="163"/>
        <v>#VALUE!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1.064108801074326E-13</v>
      </c>
      <c r="AK161" s="13">
        <f t="shared" si="164"/>
        <v>1.5870730813698654E-12</v>
      </c>
      <c r="AL161" s="20">
        <f t="shared" si="165"/>
        <v>2.9494845662396269E-12</v>
      </c>
      <c r="AM161" s="59">
        <f t="shared" si="113"/>
        <v>293.33333333333627</v>
      </c>
      <c r="AN161" s="59">
        <f ca="1">AVERAGE(OFFSET($AM$3,0,0,'Données projet'!$E$10+1,1))-AVERAGE(OFFSET($H$3,0,0,'Données projet'!$E$10+1,1))</f>
        <v>205.31676282910638</v>
      </c>
      <c r="AO161" s="59">
        <f t="shared" si="144"/>
        <v>190.64998698136026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#VALUE!</v>
      </c>
      <c r="AV161" s="21" t="e">
        <f>EXP(-LN(2)/25)*AV160+(1-EXP(-LN(2)/25))/(LN(2)/25)*Calculateur!AQ161*Calculateur!AS161*VLOOKUP('Données projet'!$B$10,Paramètres!$A$1:$I$89,3,0)*0.475*44/12</f>
        <v>#VALUE!</v>
      </c>
      <c r="AW161" s="21" t="e">
        <f>EXP(-LN(2)/2)*AW160+(1-EXP(-LN(2)/2))/(LN(2)/2)*AQ161*AT161*VLOOKUP('Données projet'!$B$10,Paramètres!$A$1:$I$89,3,0)*0.475*44/12</f>
        <v>#VALUE!</v>
      </c>
      <c r="AX161" s="21" t="e">
        <f t="shared" si="166"/>
        <v>#VALUE!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215.55381529099924</v>
      </c>
      <c r="T162" s="59">
        <f t="shared" si="142"/>
        <v>158.77848520346532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 t="e">
        <f>EXP(-LN(2)/35)*Z161+(1-EXP(-LN(2)/35))/(LN(2)/35)*V162*W162*VLOOKUP('Données projet'!$B$9,Paramètres!$A$1:$I$89,3,0)*0.475*44/12</f>
        <v>#VALUE!</v>
      </c>
      <c r="AA162" s="21" t="e">
        <f>EXP(-LN(2)/25)*AA161+(1-EXP(-LN(2)/25))/(LN(2)/25)*Calculateur!V162*Calculateur!X162*VLOOKUP('Données projet'!$B$9,Paramètres!$A$1:$I$89,3,0)*0.475*44/12</f>
        <v>#VALUE!</v>
      </c>
      <c r="AB162" s="21" t="e">
        <f>EXP(-LN(2)/2)*AB161+(1-EXP(-LN(2)/2))/(LN(2)/2)*V162*Y162*VLOOKUP('Données projet'!$B$9,Paramètres!$A$1:$I$89,3,0)*0.475*44/12</f>
        <v>#VALUE!</v>
      </c>
      <c r="AC162" s="22" t="e">
        <f t="shared" si="163"/>
        <v>#VALUE!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1.064108801074326E-13</v>
      </c>
      <c r="AK162" s="13">
        <f t="shared" si="164"/>
        <v>1.5870730813698654E-12</v>
      </c>
      <c r="AL162" s="20">
        <f t="shared" si="165"/>
        <v>2.9494845662396269E-12</v>
      </c>
      <c r="AM162" s="59">
        <f t="shared" si="113"/>
        <v>293.33333333333627</v>
      </c>
      <c r="AN162" s="59">
        <f ca="1">AVERAGE(OFFSET($AM$3,0,0,'Données projet'!$E$10+1,1))-AVERAGE(OFFSET($H$3,0,0,'Données projet'!$E$10+1,1))</f>
        <v>205.31676282910638</v>
      </c>
      <c r="AO162" s="59">
        <f t="shared" si="144"/>
        <v>190.64998698136026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#VALUE!</v>
      </c>
      <c r="AV162" s="21" t="e">
        <f>EXP(-LN(2)/25)*AV161+(1-EXP(-LN(2)/25))/(LN(2)/25)*Calculateur!AQ162*Calculateur!AS162*VLOOKUP('Données projet'!$B$10,Paramètres!$A$1:$I$89,3,0)*0.475*44/12</f>
        <v>#VALUE!</v>
      </c>
      <c r="AW162" s="21" t="e">
        <f>EXP(-LN(2)/2)*AW161+(1-EXP(-LN(2)/2))/(LN(2)/2)*AQ162*AT162*VLOOKUP('Données projet'!$B$10,Paramètres!$A$1:$I$89,3,0)*0.475*44/12</f>
        <v>#VALUE!</v>
      </c>
      <c r="AX162" s="21" t="e">
        <f t="shared" si="166"/>
        <v>#VALUE!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215.55381529099924</v>
      </c>
      <c r="T163" s="59">
        <f t="shared" si="142"/>
        <v>158.77848520346532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 t="e">
        <f>EXP(-LN(2)/35)*Z162+(1-EXP(-LN(2)/35))/(LN(2)/35)*V163*W163*VLOOKUP('Données projet'!$B$9,Paramètres!$A$1:$I$89,3,0)*0.475*44/12</f>
        <v>#VALUE!</v>
      </c>
      <c r="AA163" s="21" t="e">
        <f>EXP(-LN(2)/25)*AA162+(1-EXP(-LN(2)/25))/(LN(2)/25)*Calculateur!V163*Calculateur!X163*VLOOKUP('Données projet'!$B$9,Paramètres!$A$1:$I$89,3,0)*0.475*44/12</f>
        <v>#VALUE!</v>
      </c>
      <c r="AB163" s="21" t="e">
        <f>EXP(-LN(2)/2)*AB162+(1-EXP(-LN(2)/2))/(LN(2)/2)*V163*Y163*VLOOKUP('Données projet'!$B$9,Paramètres!$A$1:$I$89,3,0)*0.475*44/12</f>
        <v>#VALUE!</v>
      </c>
      <c r="AC163" s="22" t="e">
        <f t="shared" si="163"/>
        <v>#VALUE!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1.064108801074326E-13</v>
      </c>
      <c r="AK163" s="13">
        <f t="shared" si="164"/>
        <v>1.5870730813698654E-12</v>
      </c>
      <c r="AL163" s="20">
        <f t="shared" si="165"/>
        <v>2.9494845662396269E-12</v>
      </c>
      <c r="AM163" s="59">
        <f t="shared" si="113"/>
        <v>293.33333333333627</v>
      </c>
      <c r="AN163" s="59">
        <f ca="1">AVERAGE(OFFSET($AM$3,0,0,'Données projet'!$E$10+1,1))-AVERAGE(OFFSET($H$3,0,0,'Données projet'!$E$10+1,1))</f>
        <v>205.31676282910638</v>
      </c>
      <c r="AO163" s="59">
        <f t="shared" si="144"/>
        <v>190.64998698136026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#VALUE!</v>
      </c>
      <c r="AV163" s="21" t="e">
        <f>EXP(-LN(2)/25)*AV162+(1-EXP(-LN(2)/25))/(LN(2)/25)*Calculateur!AQ163*Calculateur!AS163*VLOOKUP('Données projet'!$B$10,Paramètres!$A$1:$I$89,3,0)*0.475*44/12</f>
        <v>#VALUE!</v>
      </c>
      <c r="AW163" s="21" t="e">
        <f>EXP(-LN(2)/2)*AW162+(1-EXP(-LN(2)/2))/(LN(2)/2)*AQ163*AT163*VLOOKUP('Données projet'!$B$10,Paramètres!$A$1:$I$89,3,0)*0.475*44/12</f>
        <v>#VALUE!</v>
      </c>
      <c r="AX163" s="21" t="e">
        <f t="shared" si="166"/>
        <v>#VALUE!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215.55381529099924</v>
      </c>
      <c r="T164" s="59">
        <f t="shared" si="142"/>
        <v>158.77848520346532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 t="e">
        <f>EXP(-LN(2)/35)*Z163+(1-EXP(-LN(2)/35))/(LN(2)/35)*V164*W164*VLOOKUP('Données projet'!$B$9,Paramètres!$A$1:$I$89,3,0)*0.475*44/12</f>
        <v>#VALUE!</v>
      </c>
      <c r="AA164" s="21" t="e">
        <f>EXP(-LN(2)/25)*AA163+(1-EXP(-LN(2)/25))/(LN(2)/25)*Calculateur!V164*Calculateur!X164*VLOOKUP('Données projet'!$B$9,Paramètres!$A$1:$I$89,3,0)*0.475*44/12</f>
        <v>#VALUE!</v>
      </c>
      <c r="AB164" s="21" t="e">
        <f>EXP(-LN(2)/2)*AB163+(1-EXP(-LN(2)/2))/(LN(2)/2)*V164*Y164*VLOOKUP('Données projet'!$B$9,Paramètres!$A$1:$I$89,3,0)*0.475*44/12</f>
        <v>#VALUE!</v>
      </c>
      <c r="AC164" s="22" t="e">
        <f t="shared" si="163"/>
        <v>#VALUE!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1.064108801074326E-13</v>
      </c>
      <c r="AK164" s="13">
        <f t="shared" si="164"/>
        <v>1.5870730813698654E-12</v>
      </c>
      <c r="AL164" s="20">
        <f t="shared" si="165"/>
        <v>2.9494845662396269E-12</v>
      </c>
      <c r="AM164" s="59">
        <f t="shared" si="113"/>
        <v>293.33333333333627</v>
      </c>
      <c r="AN164" s="59">
        <f ca="1">AVERAGE(OFFSET($AM$3,0,0,'Données projet'!$E$10+1,1))-AVERAGE(OFFSET($H$3,0,0,'Données projet'!$E$10+1,1))</f>
        <v>205.31676282910638</v>
      </c>
      <c r="AO164" s="59">
        <f t="shared" si="144"/>
        <v>190.64998698136026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#VALUE!</v>
      </c>
      <c r="AV164" s="21" t="e">
        <f>EXP(-LN(2)/25)*AV163+(1-EXP(-LN(2)/25))/(LN(2)/25)*Calculateur!AQ164*Calculateur!AS164*VLOOKUP('Données projet'!$B$10,Paramètres!$A$1:$I$89,3,0)*0.475*44/12</f>
        <v>#VALUE!</v>
      </c>
      <c r="AW164" s="21" t="e">
        <f>EXP(-LN(2)/2)*AW163+(1-EXP(-LN(2)/2))/(LN(2)/2)*AQ164*AT164*VLOOKUP('Données projet'!$B$10,Paramètres!$A$1:$I$89,3,0)*0.475*44/12</f>
        <v>#VALUE!</v>
      </c>
      <c r="AX164" s="21" t="e">
        <f t="shared" si="166"/>
        <v>#VALUE!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215.55381529099924</v>
      </c>
      <c r="T165" s="59">
        <f t="shared" si="142"/>
        <v>158.77848520346532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 t="e">
        <f>EXP(-LN(2)/35)*Z164+(1-EXP(-LN(2)/35))/(LN(2)/35)*V165*W165*VLOOKUP('Données projet'!$B$9,Paramètres!$A$1:$I$89,3,0)*0.475*44/12</f>
        <v>#VALUE!</v>
      </c>
      <c r="AA165" s="21" t="e">
        <f>EXP(-LN(2)/25)*AA164+(1-EXP(-LN(2)/25))/(LN(2)/25)*Calculateur!V165*Calculateur!X165*VLOOKUP('Données projet'!$B$9,Paramètres!$A$1:$I$89,3,0)*0.475*44/12</f>
        <v>#VALUE!</v>
      </c>
      <c r="AB165" s="21" t="e">
        <f>EXP(-LN(2)/2)*AB164+(1-EXP(-LN(2)/2))/(LN(2)/2)*V165*Y165*VLOOKUP('Données projet'!$B$9,Paramètres!$A$1:$I$89,3,0)*0.475*44/12</f>
        <v>#VALUE!</v>
      </c>
      <c r="AC165" s="22" t="e">
        <f t="shared" si="163"/>
        <v>#VALUE!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1.064108801074326E-13</v>
      </c>
      <c r="AK165" s="13">
        <f t="shared" si="164"/>
        <v>1.5870730813698654E-12</v>
      </c>
      <c r="AL165" s="20">
        <f t="shared" si="165"/>
        <v>2.9494845662396269E-12</v>
      </c>
      <c r="AM165" s="59">
        <f t="shared" si="113"/>
        <v>293.33333333333627</v>
      </c>
      <c r="AN165" s="59">
        <f ca="1">AVERAGE(OFFSET($AM$3,0,0,'Données projet'!$E$10+1,1))-AVERAGE(OFFSET($H$3,0,0,'Données projet'!$E$10+1,1))</f>
        <v>205.31676282910638</v>
      </c>
      <c r="AO165" s="59">
        <f t="shared" si="144"/>
        <v>190.64998698136026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#VALUE!</v>
      </c>
      <c r="AV165" s="21" t="e">
        <f>EXP(-LN(2)/25)*AV164+(1-EXP(-LN(2)/25))/(LN(2)/25)*Calculateur!AQ165*Calculateur!AS165*VLOOKUP('Données projet'!$B$10,Paramètres!$A$1:$I$89,3,0)*0.475*44/12</f>
        <v>#VALUE!</v>
      </c>
      <c r="AW165" s="21" t="e">
        <f>EXP(-LN(2)/2)*AW164+(1-EXP(-LN(2)/2))/(LN(2)/2)*AQ165*AT165*VLOOKUP('Données projet'!$B$10,Paramètres!$A$1:$I$89,3,0)*0.475*44/12</f>
        <v>#VALUE!</v>
      </c>
      <c r="AX165" s="21" t="e">
        <f t="shared" si="166"/>
        <v>#VALUE!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215.55381529099924</v>
      </c>
      <c r="T166" s="59">
        <f t="shared" si="142"/>
        <v>158.77848520346532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 t="e">
        <f>EXP(-LN(2)/35)*Z165+(1-EXP(-LN(2)/35))/(LN(2)/35)*V166*W166*VLOOKUP('Données projet'!$B$9,Paramètres!$A$1:$I$89,3,0)*0.475*44/12</f>
        <v>#VALUE!</v>
      </c>
      <c r="AA166" s="21" t="e">
        <f>EXP(-LN(2)/25)*AA165+(1-EXP(-LN(2)/25))/(LN(2)/25)*Calculateur!V166*Calculateur!X166*VLOOKUP('Données projet'!$B$9,Paramètres!$A$1:$I$89,3,0)*0.475*44/12</f>
        <v>#VALUE!</v>
      </c>
      <c r="AB166" s="21" t="e">
        <f>EXP(-LN(2)/2)*AB165+(1-EXP(-LN(2)/2))/(LN(2)/2)*V166*Y166*VLOOKUP('Données projet'!$B$9,Paramètres!$A$1:$I$89,3,0)*0.475*44/12</f>
        <v>#VALUE!</v>
      </c>
      <c r="AC166" s="22" t="e">
        <f t="shared" si="163"/>
        <v>#VALUE!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1.064108801074326E-13</v>
      </c>
      <c r="AK166" s="13">
        <f t="shared" si="164"/>
        <v>1.5870730813698654E-12</v>
      </c>
      <c r="AL166" s="20">
        <f t="shared" si="165"/>
        <v>2.9494845662396269E-12</v>
      </c>
      <c r="AM166" s="59">
        <f t="shared" si="113"/>
        <v>293.33333333333627</v>
      </c>
      <c r="AN166" s="59">
        <f ca="1">AVERAGE(OFFSET($AM$3,0,0,'Données projet'!$E$10+1,1))-AVERAGE(OFFSET($H$3,0,0,'Données projet'!$E$10+1,1))</f>
        <v>205.31676282910638</v>
      </c>
      <c r="AO166" s="59">
        <f t="shared" si="144"/>
        <v>190.64998698136026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#VALUE!</v>
      </c>
      <c r="AV166" s="21" t="e">
        <f>EXP(-LN(2)/25)*AV165+(1-EXP(-LN(2)/25))/(LN(2)/25)*Calculateur!AQ166*Calculateur!AS166*VLOOKUP('Données projet'!$B$10,Paramètres!$A$1:$I$89,3,0)*0.475*44/12</f>
        <v>#VALUE!</v>
      </c>
      <c r="AW166" s="21" t="e">
        <f>EXP(-LN(2)/2)*AW165+(1-EXP(-LN(2)/2))/(LN(2)/2)*AQ166*AT166*VLOOKUP('Données projet'!$B$10,Paramètres!$A$1:$I$89,3,0)*0.475*44/12</f>
        <v>#VALUE!</v>
      </c>
      <c r="AX166" s="21" t="e">
        <f t="shared" si="166"/>
        <v>#VALUE!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215.55381529099924</v>
      </c>
      <c r="T167" s="59">
        <f t="shared" si="142"/>
        <v>158.77848520346532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 t="e">
        <f>EXP(-LN(2)/35)*Z166+(1-EXP(-LN(2)/35))/(LN(2)/35)*V167*W167*VLOOKUP('Données projet'!$B$9,Paramètres!$A$1:$I$89,3,0)*0.475*44/12</f>
        <v>#VALUE!</v>
      </c>
      <c r="AA167" s="21" t="e">
        <f>EXP(-LN(2)/25)*AA166+(1-EXP(-LN(2)/25))/(LN(2)/25)*Calculateur!V167*Calculateur!X167*VLOOKUP('Données projet'!$B$9,Paramètres!$A$1:$I$89,3,0)*0.475*44/12</f>
        <v>#VALUE!</v>
      </c>
      <c r="AB167" s="21" t="e">
        <f>EXP(-LN(2)/2)*AB166+(1-EXP(-LN(2)/2))/(LN(2)/2)*V167*Y167*VLOOKUP('Données projet'!$B$9,Paramètres!$A$1:$I$89,3,0)*0.475*44/12</f>
        <v>#VALUE!</v>
      </c>
      <c r="AC167" s="22" t="e">
        <f t="shared" si="163"/>
        <v>#VALUE!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1.064108801074326E-13</v>
      </c>
      <c r="AK167" s="13">
        <f t="shared" si="164"/>
        <v>1.5870730813698654E-12</v>
      </c>
      <c r="AL167" s="20">
        <f t="shared" si="165"/>
        <v>2.9494845662396269E-12</v>
      </c>
      <c r="AM167" s="59">
        <f t="shared" si="113"/>
        <v>293.33333333333627</v>
      </c>
      <c r="AN167" s="59">
        <f ca="1">AVERAGE(OFFSET($AM$3,0,0,'Données projet'!$E$10+1,1))-AVERAGE(OFFSET($H$3,0,0,'Données projet'!$E$10+1,1))</f>
        <v>205.31676282910638</v>
      </c>
      <c r="AO167" s="59">
        <f t="shared" si="144"/>
        <v>190.64998698136026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#VALUE!</v>
      </c>
      <c r="AV167" s="21" t="e">
        <f>EXP(-LN(2)/25)*AV166+(1-EXP(-LN(2)/25))/(LN(2)/25)*Calculateur!AQ167*Calculateur!AS167*VLOOKUP('Données projet'!$B$10,Paramètres!$A$1:$I$89,3,0)*0.475*44/12</f>
        <v>#VALUE!</v>
      </c>
      <c r="AW167" s="21" t="e">
        <f>EXP(-LN(2)/2)*AW166+(1-EXP(-LN(2)/2))/(LN(2)/2)*AQ167*AT167*VLOOKUP('Données projet'!$B$10,Paramètres!$A$1:$I$89,3,0)*0.475*44/12</f>
        <v>#VALUE!</v>
      </c>
      <c r="AX167" s="21" t="e">
        <f t="shared" si="166"/>
        <v>#VALUE!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215.55381529099924</v>
      </c>
      <c r="T168" s="59">
        <f t="shared" si="142"/>
        <v>158.77848520346532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 t="e">
        <f>EXP(-LN(2)/35)*Z167+(1-EXP(-LN(2)/35))/(LN(2)/35)*V168*W168*VLOOKUP('Données projet'!$B$9,Paramètres!$A$1:$I$89,3,0)*0.475*44/12</f>
        <v>#VALUE!</v>
      </c>
      <c r="AA168" s="21" t="e">
        <f>EXP(-LN(2)/25)*AA167+(1-EXP(-LN(2)/25))/(LN(2)/25)*Calculateur!V168*Calculateur!X168*VLOOKUP('Données projet'!$B$9,Paramètres!$A$1:$I$89,3,0)*0.475*44/12</f>
        <v>#VALUE!</v>
      </c>
      <c r="AB168" s="21" t="e">
        <f>EXP(-LN(2)/2)*AB167+(1-EXP(-LN(2)/2))/(LN(2)/2)*V168*Y168*VLOOKUP('Données projet'!$B$9,Paramètres!$A$1:$I$89,3,0)*0.475*44/12</f>
        <v>#VALUE!</v>
      </c>
      <c r="AC168" s="22" t="e">
        <f t="shared" si="163"/>
        <v>#VALUE!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1.064108801074326E-13</v>
      </c>
      <c r="AK168" s="13">
        <f t="shared" si="164"/>
        <v>1.5870730813698654E-12</v>
      </c>
      <c r="AL168" s="20">
        <f t="shared" si="165"/>
        <v>2.9494845662396269E-12</v>
      </c>
      <c r="AM168" s="59">
        <f t="shared" si="113"/>
        <v>293.33333333333627</v>
      </c>
      <c r="AN168" s="59">
        <f ca="1">AVERAGE(OFFSET($AM$3,0,0,'Données projet'!$E$10+1,1))-AVERAGE(OFFSET($H$3,0,0,'Données projet'!$E$10+1,1))</f>
        <v>205.31676282910638</v>
      </c>
      <c r="AO168" s="59">
        <f t="shared" si="144"/>
        <v>190.64998698136026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#VALUE!</v>
      </c>
      <c r="AV168" s="21" t="e">
        <f>EXP(-LN(2)/25)*AV167+(1-EXP(-LN(2)/25))/(LN(2)/25)*Calculateur!AQ168*Calculateur!AS168*VLOOKUP('Données projet'!$B$10,Paramètres!$A$1:$I$89,3,0)*0.475*44/12</f>
        <v>#VALUE!</v>
      </c>
      <c r="AW168" s="21" t="e">
        <f>EXP(-LN(2)/2)*AW167+(1-EXP(-LN(2)/2))/(LN(2)/2)*AQ168*AT168*VLOOKUP('Données projet'!$B$10,Paramètres!$A$1:$I$89,3,0)*0.475*44/12</f>
        <v>#VALUE!</v>
      </c>
      <c r="AX168" s="21" t="e">
        <f t="shared" si="166"/>
        <v>#VALUE!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215.55381529099924</v>
      </c>
      <c r="T169" s="59">
        <f t="shared" si="142"/>
        <v>158.77848520346532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 t="e">
        <f>EXP(-LN(2)/35)*Z168+(1-EXP(-LN(2)/35))/(LN(2)/35)*V169*W169*VLOOKUP('Données projet'!$B$9,Paramètres!$A$1:$I$89,3,0)*0.475*44/12</f>
        <v>#VALUE!</v>
      </c>
      <c r="AA169" s="21" t="e">
        <f>EXP(-LN(2)/25)*AA168+(1-EXP(-LN(2)/25))/(LN(2)/25)*Calculateur!V169*Calculateur!X169*VLOOKUP('Données projet'!$B$9,Paramètres!$A$1:$I$89,3,0)*0.475*44/12</f>
        <v>#VALUE!</v>
      </c>
      <c r="AB169" s="21" t="e">
        <f>EXP(-LN(2)/2)*AB168+(1-EXP(-LN(2)/2))/(LN(2)/2)*V169*Y169*VLOOKUP('Données projet'!$B$9,Paramètres!$A$1:$I$89,3,0)*0.475*44/12</f>
        <v>#VALUE!</v>
      </c>
      <c r="AC169" s="22" t="e">
        <f t="shared" si="163"/>
        <v>#VALUE!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1.064108801074326E-13</v>
      </c>
      <c r="AK169" s="13">
        <f t="shared" si="164"/>
        <v>1.5870730813698654E-12</v>
      </c>
      <c r="AL169" s="20">
        <f t="shared" si="165"/>
        <v>2.9494845662396269E-12</v>
      </c>
      <c r="AM169" s="59">
        <f t="shared" si="113"/>
        <v>293.33333333333627</v>
      </c>
      <c r="AN169" s="59">
        <f ca="1">AVERAGE(OFFSET($AM$3,0,0,'Données projet'!$E$10+1,1))-AVERAGE(OFFSET($H$3,0,0,'Données projet'!$E$10+1,1))</f>
        <v>205.31676282910638</v>
      </c>
      <c r="AO169" s="59">
        <f t="shared" si="144"/>
        <v>190.64998698136026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#VALUE!</v>
      </c>
      <c r="AV169" s="21" t="e">
        <f>EXP(-LN(2)/25)*AV168+(1-EXP(-LN(2)/25))/(LN(2)/25)*Calculateur!AQ169*Calculateur!AS169*VLOOKUP('Données projet'!$B$10,Paramètres!$A$1:$I$89,3,0)*0.475*44/12</f>
        <v>#VALUE!</v>
      </c>
      <c r="AW169" s="21" t="e">
        <f>EXP(-LN(2)/2)*AW168+(1-EXP(-LN(2)/2))/(LN(2)/2)*AQ169*AT169*VLOOKUP('Données projet'!$B$10,Paramètres!$A$1:$I$89,3,0)*0.475*44/12</f>
        <v>#VALUE!</v>
      </c>
      <c r="AX169" s="21" t="e">
        <f t="shared" si="166"/>
        <v>#VALUE!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215.55381529099924</v>
      </c>
      <c r="T170" s="59">
        <f t="shared" si="142"/>
        <v>158.77848520346532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 t="e">
        <f>EXP(-LN(2)/35)*Z169+(1-EXP(-LN(2)/35))/(LN(2)/35)*V170*W170*VLOOKUP('Données projet'!$B$9,Paramètres!$A$1:$I$89,3,0)*0.475*44/12</f>
        <v>#VALUE!</v>
      </c>
      <c r="AA170" s="21" t="e">
        <f>EXP(-LN(2)/25)*AA169+(1-EXP(-LN(2)/25))/(LN(2)/25)*Calculateur!V170*Calculateur!X170*VLOOKUP('Données projet'!$B$9,Paramètres!$A$1:$I$89,3,0)*0.475*44/12</f>
        <v>#VALUE!</v>
      </c>
      <c r="AB170" s="21" t="e">
        <f>EXP(-LN(2)/2)*AB169+(1-EXP(-LN(2)/2))/(LN(2)/2)*V170*Y170*VLOOKUP('Données projet'!$B$9,Paramètres!$A$1:$I$89,3,0)*0.475*44/12</f>
        <v>#VALUE!</v>
      </c>
      <c r="AC170" s="22" t="e">
        <f t="shared" si="163"/>
        <v>#VALUE!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1.064108801074326E-13</v>
      </c>
      <c r="AK170" s="13">
        <f t="shared" si="164"/>
        <v>1.5870730813698654E-12</v>
      </c>
      <c r="AL170" s="20">
        <f t="shared" si="165"/>
        <v>2.9494845662396269E-12</v>
      </c>
      <c r="AM170" s="59">
        <f t="shared" si="113"/>
        <v>293.33333333333627</v>
      </c>
      <c r="AN170" s="59">
        <f ca="1">AVERAGE(OFFSET($AM$3,0,0,'Données projet'!$E$10+1,1))-AVERAGE(OFFSET($H$3,0,0,'Données projet'!$E$10+1,1))</f>
        <v>205.31676282910638</v>
      </c>
      <c r="AO170" s="59">
        <f t="shared" si="144"/>
        <v>190.64998698136026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#VALUE!</v>
      </c>
      <c r="AV170" s="21" t="e">
        <f>EXP(-LN(2)/25)*AV169+(1-EXP(-LN(2)/25))/(LN(2)/25)*Calculateur!AQ170*Calculateur!AS170*VLOOKUP('Données projet'!$B$10,Paramètres!$A$1:$I$89,3,0)*0.475*44/12</f>
        <v>#VALUE!</v>
      </c>
      <c r="AW170" s="21" t="e">
        <f>EXP(-LN(2)/2)*AW169+(1-EXP(-LN(2)/2))/(LN(2)/2)*AQ170*AT170*VLOOKUP('Données projet'!$B$10,Paramètres!$A$1:$I$89,3,0)*0.475*44/12</f>
        <v>#VALUE!</v>
      </c>
      <c r="AX170" s="21" t="e">
        <f t="shared" si="166"/>
        <v>#VALUE!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215.55381529099924</v>
      </c>
      <c r="T171" s="59">
        <f t="shared" si="142"/>
        <v>158.77848520346532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 t="e">
        <f>EXP(-LN(2)/35)*Z170+(1-EXP(-LN(2)/35))/(LN(2)/35)*V171*W171*VLOOKUP('Données projet'!$B$9,Paramètres!$A$1:$I$89,3,0)*0.475*44/12</f>
        <v>#VALUE!</v>
      </c>
      <c r="AA171" s="21" t="e">
        <f>EXP(-LN(2)/25)*AA170+(1-EXP(-LN(2)/25))/(LN(2)/25)*Calculateur!V171*Calculateur!X171*VLOOKUP('Données projet'!$B$9,Paramètres!$A$1:$I$89,3,0)*0.475*44/12</f>
        <v>#VALUE!</v>
      </c>
      <c r="AB171" s="21" t="e">
        <f>EXP(-LN(2)/2)*AB170+(1-EXP(-LN(2)/2))/(LN(2)/2)*V171*Y171*VLOOKUP('Données projet'!$B$9,Paramètres!$A$1:$I$89,3,0)*0.475*44/12</f>
        <v>#VALUE!</v>
      </c>
      <c r="AC171" s="22" t="e">
        <f t="shared" si="163"/>
        <v>#VALUE!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1.064108801074326E-13</v>
      </c>
      <c r="AK171" s="13">
        <f t="shared" si="164"/>
        <v>1.5870730813698654E-12</v>
      </c>
      <c r="AL171" s="20">
        <f t="shared" si="165"/>
        <v>2.9494845662396269E-12</v>
      </c>
      <c r="AM171" s="59">
        <f t="shared" si="113"/>
        <v>293.33333333333627</v>
      </c>
      <c r="AN171" s="59">
        <f ca="1">AVERAGE(OFFSET($AM$3,0,0,'Données projet'!$E$10+1,1))-AVERAGE(OFFSET($H$3,0,0,'Données projet'!$E$10+1,1))</f>
        <v>205.31676282910638</v>
      </c>
      <c r="AO171" s="59">
        <f t="shared" si="144"/>
        <v>190.64998698136026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#VALUE!</v>
      </c>
      <c r="AV171" s="21" t="e">
        <f>EXP(-LN(2)/25)*AV170+(1-EXP(-LN(2)/25))/(LN(2)/25)*Calculateur!AQ171*Calculateur!AS171*VLOOKUP('Données projet'!$B$10,Paramètres!$A$1:$I$89,3,0)*0.475*44/12</f>
        <v>#VALUE!</v>
      </c>
      <c r="AW171" s="21" t="e">
        <f>EXP(-LN(2)/2)*AW170+(1-EXP(-LN(2)/2))/(LN(2)/2)*AQ171*AT171*VLOOKUP('Données projet'!$B$10,Paramètres!$A$1:$I$89,3,0)*0.475*44/12</f>
        <v>#VALUE!</v>
      </c>
      <c r="AX171" s="21" t="e">
        <f t="shared" si="166"/>
        <v>#VALUE!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215.55381529099924</v>
      </c>
      <c r="T172" s="59">
        <f t="shared" si="142"/>
        <v>158.77848520346532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 t="e">
        <f>EXP(-LN(2)/35)*Z171+(1-EXP(-LN(2)/35))/(LN(2)/35)*V172*W172*VLOOKUP('Données projet'!$B$9,Paramètres!$A$1:$I$89,3,0)*0.475*44/12</f>
        <v>#VALUE!</v>
      </c>
      <c r="AA172" s="21" t="e">
        <f>EXP(-LN(2)/25)*AA171+(1-EXP(-LN(2)/25))/(LN(2)/25)*Calculateur!V172*Calculateur!X172*VLOOKUP('Données projet'!$B$9,Paramètres!$A$1:$I$89,3,0)*0.475*44/12</f>
        <v>#VALUE!</v>
      </c>
      <c r="AB172" s="21" t="e">
        <f>EXP(-LN(2)/2)*AB171+(1-EXP(-LN(2)/2))/(LN(2)/2)*V172*Y172*VLOOKUP('Données projet'!$B$9,Paramètres!$A$1:$I$89,3,0)*0.475*44/12</f>
        <v>#VALUE!</v>
      </c>
      <c r="AC172" s="22" t="e">
        <f t="shared" si="163"/>
        <v>#VALUE!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1.064108801074326E-13</v>
      </c>
      <c r="AK172" s="13">
        <f t="shared" si="164"/>
        <v>1.5870730813698654E-12</v>
      </c>
      <c r="AL172" s="20">
        <f t="shared" si="165"/>
        <v>2.9494845662396269E-12</v>
      </c>
      <c r="AM172" s="59">
        <f t="shared" si="113"/>
        <v>293.33333333333627</v>
      </c>
      <c r="AN172" s="59">
        <f ca="1">AVERAGE(OFFSET($AM$3,0,0,'Données projet'!$E$10+1,1))-AVERAGE(OFFSET($H$3,0,0,'Données projet'!$E$10+1,1))</f>
        <v>205.31676282910638</v>
      </c>
      <c r="AO172" s="59">
        <f t="shared" si="144"/>
        <v>190.64998698136026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#VALUE!</v>
      </c>
      <c r="AV172" s="21" t="e">
        <f>EXP(-LN(2)/25)*AV171+(1-EXP(-LN(2)/25))/(LN(2)/25)*Calculateur!AQ172*Calculateur!AS172*VLOOKUP('Données projet'!$B$10,Paramètres!$A$1:$I$89,3,0)*0.475*44/12</f>
        <v>#VALUE!</v>
      </c>
      <c r="AW172" s="21" t="e">
        <f>EXP(-LN(2)/2)*AW171+(1-EXP(-LN(2)/2))/(LN(2)/2)*AQ172*AT172*VLOOKUP('Données projet'!$B$10,Paramètres!$A$1:$I$89,3,0)*0.475*44/12</f>
        <v>#VALUE!</v>
      </c>
      <c r="AX172" s="21" t="e">
        <f t="shared" si="166"/>
        <v>#VALUE!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215.55381529099924</v>
      </c>
      <c r="T173" s="59">
        <f t="shared" si="142"/>
        <v>158.77848520346532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 t="e">
        <f>EXP(-LN(2)/35)*Z172+(1-EXP(-LN(2)/35))/(LN(2)/35)*V173*W173*VLOOKUP('Données projet'!$B$9,Paramètres!$A$1:$I$89,3,0)*0.475*44/12</f>
        <v>#VALUE!</v>
      </c>
      <c r="AA173" s="21" t="e">
        <f>EXP(-LN(2)/25)*AA172+(1-EXP(-LN(2)/25))/(LN(2)/25)*Calculateur!V173*Calculateur!X173*VLOOKUP('Données projet'!$B$9,Paramètres!$A$1:$I$89,3,0)*0.475*44/12</f>
        <v>#VALUE!</v>
      </c>
      <c r="AB173" s="21" t="e">
        <f>EXP(-LN(2)/2)*AB172+(1-EXP(-LN(2)/2))/(LN(2)/2)*V173*Y173*VLOOKUP('Données projet'!$B$9,Paramètres!$A$1:$I$89,3,0)*0.475*44/12</f>
        <v>#VALUE!</v>
      </c>
      <c r="AC173" s="22" t="e">
        <f t="shared" si="163"/>
        <v>#VALUE!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1.064108801074326E-13</v>
      </c>
      <c r="AK173" s="13">
        <f t="shared" si="164"/>
        <v>1.5870730813698654E-12</v>
      </c>
      <c r="AL173" s="20">
        <f t="shared" si="165"/>
        <v>2.9494845662396269E-12</v>
      </c>
      <c r="AM173" s="59">
        <f t="shared" si="113"/>
        <v>293.33333333333627</v>
      </c>
      <c r="AN173" s="59">
        <f ca="1">AVERAGE(OFFSET($AM$3,0,0,'Données projet'!$E$10+1,1))-AVERAGE(OFFSET($H$3,0,0,'Données projet'!$E$10+1,1))</f>
        <v>205.31676282910638</v>
      </c>
      <c r="AO173" s="59">
        <f t="shared" si="144"/>
        <v>190.64998698136026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#VALUE!</v>
      </c>
      <c r="AV173" s="21" t="e">
        <f>EXP(-LN(2)/25)*AV172+(1-EXP(-LN(2)/25))/(LN(2)/25)*Calculateur!AQ173*Calculateur!AS173*VLOOKUP('Données projet'!$B$10,Paramètres!$A$1:$I$89,3,0)*0.475*44/12</f>
        <v>#VALUE!</v>
      </c>
      <c r="AW173" s="21" t="e">
        <f>EXP(-LN(2)/2)*AW172+(1-EXP(-LN(2)/2))/(LN(2)/2)*AQ173*AT173*VLOOKUP('Données projet'!$B$10,Paramètres!$A$1:$I$89,3,0)*0.475*44/12</f>
        <v>#VALUE!</v>
      </c>
      <c r="AX173" s="21" t="e">
        <f t="shared" si="166"/>
        <v>#VALUE!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215.55381529099924</v>
      </c>
      <c r="T174" s="59">
        <f t="shared" si="142"/>
        <v>158.77848520346532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 t="e">
        <f>EXP(-LN(2)/35)*Z173+(1-EXP(-LN(2)/35))/(LN(2)/35)*V174*W174*VLOOKUP('Données projet'!$B$9,Paramètres!$A$1:$I$89,3,0)*0.475*44/12</f>
        <v>#VALUE!</v>
      </c>
      <c r="AA174" s="21" t="e">
        <f>EXP(-LN(2)/25)*AA173+(1-EXP(-LN(2)/25))/(LN(2)/25)*Calculateur!V174*Calculateur!X174*VLOOKUP('Données projet'!$B$9,Paramètres!$A$1:$I$89,3,0)*0.475*44/12</f>
        <v>#VALUE!</v>
      </c>
      <c r="AB174" s="21" t="e">
        <f>EXP(-LN(2)/2)*AB173+(1-EXP(-LN(2)/2))/(LN(2)/2)*V174*Y174*VLOOKUP('Données projet'!$B$9,Paramètres!$A$1:$I$89,3,0)*0.475*44/12</f>
        <v>#VALUE!</v>
      </c>
      <c r="AC174" s="22" t="e">
        <f t="shared" si="163"/>
        <v>#VALUE!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1.064108801074326E-13</v>
      </c>
      <c r="AK174" s="13">
        <f t="shared" si="164"/>
        <v>1.5870730813698654E-12</v>
      </c>
      <c r="AL174" s="20">
        <f t="shared" si="165"/>
        <v>2.9494845662396269E-12</v>
      </c>
      <c r="AM174" s="59">
        <f t="shared" si="113"/>
        <v>293.33333333333627</v>
      </c>
      <c r="AN174" s="59">
        <f ca="1">AVERAGE(OFFSET($AM$3,0,0,'Données projet'!$E$10+1,1))-AVERAGE(OFFSET($H$3,0,0,'Données projet'!$E$10+1,1))</f>
        <v>205.31676282910638</v>
      </c>
      <c r="AO174" s="59">
        <f t="shared" si="144"/>
        <v>190.64998698136026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#VALUE!</v>
      </c>
      <c r="AV174" s="21" t="e">
        <f>EXP(-LN(2)/25)*AV173+(1-EXP(-LN(2)/25))/(LN(2)/25)*Calculateur!AQ174*Calculateur!AS174*VLOOKUP('Données projet'!$B$10,Paramètres!$A$1:$I$89,3,0)*0.475*44/12</f>
        <v>#VALUE!</v>
      </c>
      <c r="AW174" s="21" t="e">
        <f>EXP(-LN(2)/2)*AW173+(1-EXP(-LN(2)/2))/(LN(2)/2)*AQ174*AT174*VLOOKUP('Données projet'!$B$10,Paramètres!$A$1:$I$89,3,0)*0.475*44/12</f>
        <v>#VALUE!</v>
      </c>
      <c r="AX174" s="21" t="e">
        <f t="shared" si="166"/>
        <v>#VALUE!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215.55381529099924</v>
      </c>
      <c r="T175" s="59">
        <f t="shared" si="142"/>
        <v>158.77848520346532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 t="e">
        <f>EXP(-LN(2)/35)*Z174+(1-EXP(-LN(2)/35))/(LN(2)/35)*V175*W175*VLOOKUP('Données projet'!$B$9,Paramètres!$A$1:$I$89,3,0)*0.475*44/12</f>
        <v>#VALUE!</v>
      </c>
      <c r="AA175" s="21" t="e">
        <f>EXP(-LN(2)/25)*AA174+(1-EXP(-LN(2)/25))/(LN(2)/25)*Calculateur!V175*Calculateur!X175*VLOOKUP('Données projet'!$B$9,Paramètres!$A$1:$I$89,3,0)*0.475*44/12</f>
        <v>#VALUE!</v>
      </c>
      <c r="AB175" s="21" t="e">
        <f>EXP(-LN(2)/2)*AB174+(1-EXP(-LN(2)/2))/(LN(2)/2)*V175*Y175*VLOOKUP('Données projet'!$B$9,Paramètres!$A$1:$I$89,3,0)*0.475*44/12</f>
        <v>#VALUE!</v>
      </c>
      <c r="AC175" s="22" t="e">
        <f t="shared" si="163"/>
        <v>#VALUE!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1.064108801074326E-13</v>
      </c>
      <c r="AK175" s="13">
        <f t="shared" si="164"/>
        <v>1.5870730813698654E-12</v>
      </c>
      <c r="AL175" s="20">
        <f t="shared" si="165"/>
        <v>2.9494845662396269E-12</v>
      </c>
      <c r="AM175" s="59">
        <f t="shared" si="113"/>
        <v>293.33333333333627</v>
      </c>
      <c r="AN175" s="59">
        <f ca="1">AVERAGE(OFFSET($AM$3,0,0,'Données projet'!$E$10+1,1))-AVERAGE(OFFSET($H$3,0,0,'Données projet'!$E$10+1,1))</f>
        <v>205.31676282910638</v>
      </c>
      <c r="AO175" s="59">
        <f t="shared" si="144"/>
        <v>190.64998698136026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#VALUE!</v>
      </c>
      <c r="AV175" s="21" t="e">
        <f>EXP(-LN(2)/25)*AV174+(1-EXP(-LN(2)/25))/(LN(2)/25)*Calculateur!AQ175*Calculateur!AS175*VLOOKUP('Données projet'!$B$10,Paramètres!$A$1:$I$89,3,0)*0.475*44/12</f>
        <v>#VALUE!</v>
      </c>
      <c r="AW175" s="21" t="e">
        <f>EXP(-LN(2)/2)*AW174+(1-EXP(-LN(2)/2))/(LN(2)/2)*AQ175*AT175*VLOOKUP('Données projet'!$B$10,Paramètres!$A$1:$I$89,3,0)*0.475*44/12</f>
        <v>#VALUE!</v>
      </c>
      <c r="AX175" s="21" t="e">
        <f t="shared" si="166"/>
        <v>#VALUE!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215.55381529099924</v>
      </c>
      <c r="T176" s="59">
        <f t="shared" si="142"/>
        <v>158.77848520346532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 t="e">
        <f>EXP(-LN(2)/35)*Z175+(1-EXP(-LN(2)/35))/(LN(2)/35)*V176*W176*VLOOKUP('Données projet'!$B$9,Paramètres!$A$1:$I$89,3,0)*0.475*44/12</f>
        <v>#VALUE!</v>
      </c>
      <c r="AA176" s="21" t="e">
        <f>EXP(-LN(2)/25)*AA175+(1-EXP(-LN(2)/25))/(LN(2)/25)*Calculateur!V176*Calculateur!X176*VLOOKUP('Données projet'!$B$9,Paramètres!$A$1:$I$89,3,0)*0.475*44/12</f>
        <v>#VALUE!</v>
      </c>
      <c r="AB176" s="21" t="e">
        <f>EXP(-LN(2)/2)*AB175+(1-EXP(-LN(2)/2))/(LN(2)/2)*V176*Y176*VLOOKUP('Données projet'!$B$9,Paramètres!$A$1:$I$89,3,0)*0.475*44/12</f>
        <v>#VALUE!</v>
      </c>
      <c r="AC176" s="22" t="e">
        <f t="shared" si="163"/>
        <v>#VALUE!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1.064108801074326E-13</v>
      </c>
      <c r="AK176" s="13">
        <f t="shared" si="164"/>
        <v>1.5870730813698654E-12</v>
      </c>
      <c r="AL176" s="20">
        <f t="shared" si="165"/>
        <v>2.9494845662396269E-12</v>
      </c>
      <c r="AM176" s="59">
        <f t="shared" si="113"/>
        <v>293.33333333333627</v>
      </c>
      <c r="AN176" s="59">
        <f ca="1">AVERAGE(OFFSET($AM$3,0,0,'Données projet'!$E$10+1,1))-AVERAGE(OFFSET($H$3,0,0,'Données projet'!$E$10+1,1))</f>
        <v>205.31676282910638</v>
      </c>
      <c r="AO176" s="59">
        <f t="shared" si="144"/>
        <v>190.64998698136026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#VALUE!</v>
      </c>
      <c r="AV176" s="21" t="e">
        <f>EXP(-LN(2)/25)*AV175+(1-EXP(-LN(2)/25))/(LN(2)/25)*Calculateur!AQ176*Calculateur!AS176*VLOOKUP('Données projet'!$B$10,Paramètres!$A$1:$I$89,3,0)*0.475*44/12</f>
        <v>#VALUE!</v>
      </c>
      <c r="AW176" s="21" t="e">
        <f>EXP(-LN(2)/2)*AW175+(1-EXP(-LN(2)/2))/(LN(2)/2)*AQ176*AT176*VLOOKUP('Données projet'!$B$10,Paramètres!$A$1:$I$89,3,0)*0.475*44/12</f>
        <v>#VALUE!</v>
      </c>
      <c r="AX176" s="21" t="e">
        <f t="shared" si="166"/>
        <v>#VALUE!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215.55381529099924</v>
      </c>
      <c r="T177" s="59">
        <f t="shared" si="142"/>
        <v>158.77848520346532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 t="e">
        <f>EXP(-LN(2)/35)*Z176+(1-EXP(-LN(2)/35))/(LN(2)/35)*V177*W177*VLOOKUP('Données projet'!$B$9,Paramètres!$A$1:$I$89,3,0)*0.475*44/12</f>
        <v>#VALUE!</v>
      </c>
      <c r="AA177" s="21" t="e">
        <f>EXP(-LN(2)/25)*AA176+(1-EXP(-LN(2)/25))/(LN(2)/25)*Calculateur!V177*Calculateur!X177*VLOOKUP('Données projet'!$B$9,Paramètres!$A$1:$I$89,3,0)*0.475*44/12</f>
        <v>#VALUE!</v>
      </c>
      <c r="AB177" s="21" t="e">
        <f>EXP(-LN(2)/2)*AB176+(1-EXP(-LN(2)/2))/(LN(2)/2)*V177*Y177*VLOOKUP('Données projet'!$B$9,Paramètres!$A$1:$I$89,3,0)*0.475*44/12</f>
        <v>#VALUE!</v>
      </c>
      <c r="AC177" s="22" t="e">
        <f t="shared" si="163"/>
        <v>#VALUE!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1.064108801074326E-13</v>
      </c>
      <c r="AK177" s="13">
        <f t="shared" si="164"/>
        <v>1.5870730813698654E-12</v>
      </c>
      <c r="AL177" s="20">
        <f t="shared" si="165"/>
        <v>2.9494845662396269E-12</v>
      </c>
      <c r="AM177" s="59">
        <f t="shared" si="113"/>
        <v>293.33333333333627</v>
      </c>
      <c r="AN177" s="59">
        <f ca="1">AVERAGE(OFFSET($AM$3,0,0,'Données projet'!$E$10+1,1))-AVERAGE(OFFSET($H$3,0,0,'Données projet'!$E$10+1,1))</f>
        <v>205.31676282910638</v>
      </c>
      <c r="AO177" s="59">
        <f t="shared" si="144"/>
        <v>190.64998698136026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#VALUE!</v>
      </c>
      <c r="AV177" s="21" t="e">
        <f>EXP(-LN(2)/25)*AV176+(1-EXP(-LN(2)/25))/(LN(2)/25)*Calculateur!AQ177*Calculateur!AS177*VLOOKUP('Données projet'!$B$10,Paramètres!$A$1:$I$89,3,0)*0.475*44/12</f>
        <v>#VALUE!</v>
      </c>
      <c r="AW177" s="21" t="e">
        <f>EXP(-LN(2)/2)*AW176+(1-EXP(-LN(2)/2))/(LN(2)/2)*AQ177*AT177*VLOOKUP('Données projet'!$B$10,Paramètres!$A$1:$I$89,3,0)*0.475*44/12</f>
        <v>#VALUE!</v>
      </c>
      <c r="AX177" s="21" t="e">
        <f t="shared" si="166"/>
        <v>#VALUE!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215.55381529099924</v>
      </c>
      <c r="T178" s="59">
        <f t="shared" si="142"/>
        <v>158.77848520346532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 t="e">
        <f>EXP(-LN(2)/35)*Z177+(1-EXP(-LN(2)/35))/(LN(2)/35)*V178*W178*VLOOKUP('Données projet'!$B$9,Paramètres!$A$1:$I$89,3,0)*0.475*44/12</f>
        <v>#VALUE!</v>
      </c>
      <c r="AA178" s="21" t="e">
        <f>EXP(-LN(2)/25)*AA177+(1-EXP(-LN(2)/25))/(LN(2)/25)*Calculateur!V178*Calculateur!X178*VLOOKUP('Données projet'!$B$9,Paramètres!$A$1:$I$89,3,0)*0.475*44/12</f>
        <v>#VALUE!</v>
      </c>
      <c r="AB178" s="21" t="e">
        <f>EXP(-LN(2)/2)*AB177+(1-EXP(-LN(2)/2))/(LN(2)/2)*V178*Y178*VLOOKUP('Données projet'!$B$9,Paramètres!$A$1:$I$89,3,0)*0.475*44/12</f>
        <v>#VALUE!</v>
      </c>
      <c r="AC178" s="22" t="e">
        <f t="shared" si="163"/>
        <v>#VALUE!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1.064108801074326E-13</v>
      </c>
      <c r="AK178" s="13">
        <f t="shared" si="164"/>
        <v>1.5870730813698654E-12</v>
      </c>
      <c r="AL178" s="20">
        <f t="shared" si="165"/>
        <v>2.9494845662396269E-12</v>
      </c>
      <c r="AM178" s="59">
        <f t="shared" si="113"/>
        <v>293.33333333333627</v>
      </c>
      <c r="AN178" s="59">
        <f ca="1">AVERAGE(OFFSET($AM$3,0,0,'Données projet'!$E$10+1,1))-AVERAGE(OFFSET($H$3,0,0,'Données projet'!$E$10+1,1))</f>
        <v>205.31676282910638</v>
      </c>
      <c r="AO178" s="59">
        <f t="shared" si="144"/>
        <v>190.64998698136026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#VALUE!</v>
      </c>
      <c r="AV178" s="21" t="e">
        <f>EXP(-LN(2)/25)*AV177+(1-EXP(-LN(2)/25))/(LN(2)/25)*Calculateur!AQ178*Calculateur!AS178*VLOOKUP('Données projet'!$B$10,Paramètres!$A$1:$I$89,3,0)*0.475*44/12</f>
        <v>#VALUE!</v>
      </c>
      <c r="AW178" s="21" t="e">
        <f>EXP(-LN(2)/2)*AW177+(1-EXP(-LN(2)/2))/(LN(2)/2)*AQ178*AT178*VLOOKUP('Données projet'!$B$10,Paramètres!$A$1:$I$89,3,0)*0.475*44/12</f>
        <v>#VALUE!</v>
      </c>
      <c r="AX178" s="21" t="e">
        <f t="shared" si="166"/>
        <v>#VALUE!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215.55381529099924</v>
      </c>
      <c r="T179" s="59">
        <f t="shared" si="142"/>
        <v>158.77848520346532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 t="e">
        <f>EXP(-LN(2)/35)*Z178+(1-EXP(-LN(2)/35))/(LN(2)/35)*V179*W179*VLOOKUP('Données projet'!$B$9,Paramètres!$A$1:$I$89,3,0)*0.475*44/12</f>
        <v>#VALUE!</v>
      </c>
      <c r="AA179" s="21" t="e">
        <f>EXP(-LN(2)/25)*AA178+(1-EXP(-LN(2)/25))/(LN(2)/25)*Calculateur!V179*Calculateur!X179*VLOOKUP('Données projet'!$B$9,Paramètres!$A$1:$I$89,3,0)*0.475*44/12</f>
        <v>#VALUE!</v>
      </c>
      <c r="AB179" s="21" t="e">
        <f>EXP(-LN(2)/2)*AB178+(1-EXP(-LN(2)/2))/(LN(2)/2)*V179*Y179*VLOOKUP('Données projet'!$B$9,Paramètres!$A$1:$I$89,3,0)*0.475*44/12</f>
        <v>#VALUE!</v>
      </c>
      <c r="AC179" s="22" t="e">
        <f t="shared" si="163"/>
        <v>#VALUE!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1.064108801074326E-13</v>
      </c>
      <c r="AK179" s="13">
        <f t="shared" si="164"/>
        <v>1.5870730813698654E-12</v>
      </c>
      <c r="AL179" s="20">
        <f t="shared" si="165"/>
        <v>2.9494845662396269E-12</v>
      </c>
      <c r="AM179" s="59">
        <f t="shared" si="113"/>
        <v>293.33333333333627</v>
      </c>
      <c r="AN179" s="59">
        <f ca="1">AVERAGE(OFFSET($AM$3,0,0,'Données projet'!$E$10+1,1))-AVERAGE(OFFSET($H$3,0,0,'Données projet'!$E$10+1,1))</f>
        <v>205.31676282910638</v>
      </c>
      <c r="AO179" s="59">
        <f t="shared" si="144"/>
        <v>190.64998698136026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#VALUE!</v>
      </c>
      <c r="AV179" s="21" t="e">
        <f>EXP(-LN(2)/25)*AV178+(1-EXP(-LN(2)/25))/(LN(2)/25)*Calculateur!AQ179*Calculateur!AS179*VLOOKUP('Données projet'!$B$10,Paramètres!$A$1:$I$89,3,0)*0.475*44/12</f>
        <v>#VALUE!</v>
      </c>
      <c r="AW179" s="21" t="e">
        <f>EXP(-LN(2)/2)*AW178+(1-EXP(-LN(2)/2))/(LN(2)/2)*AQ179*AT179*VLOOKUP('Données projet'!$B$10,Paramètres!$A$1:$I$89,3,0)*0.475*44/12</f>
        <v>#VALUE!</v>
      </c>
      <c r="AX179" s="21" t="e">
        <f t="shared" si="166"/>
        <v>#VALUE!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215.55381529099924</v>
      </c>
      <c r="T180" s="59">
        <f t="shared" si="142"/>
        <v>158.77848520346532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 t="e">
        <f>EXP(-LN(2)/35)*Z179+(1-EXP(-LN(2)/35))/(LN(2)/35)*V180*W180*VLOOKUP('Données projet'!$B$9,Paramètres!$A$1:$I$89,3,0)*0.475*44/12</f>
        <v>#VALUE!</v>
      </c>
      <c r="AA180" s="21" t="e">
        <f>EXP(-LN(2)/25)*AA179+(1-EXP(-LN(2)/25))/(LN(2)/25)*Calculateur!V180*Calculateur!X180*VLOOKUP('Données projet'!$B$9,Paramètres!$A$1:$I$89,3,0)*0.475*44/12</f>
        <v>#VALUE!</v>
      </c>
      <c r="AB180" s="21" t="e">
        <f>EXP(-LN(2)/2)*AB179+(1-EXP(-LN(2)/2))/(LN(2)/2)*V180*Y180*VLOOKUP('Données projet'!$B$9,Paramètres!$A$1:$I$89,3,0)*0.475*44/12</f>
        <v>#VALUE!</v>
      </c>
      <c r="AC180" s="22" t="e">
        <f t="shared" si="163"/>
        <v>#VALUE!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1.064108801074326E-13</v>
      </c>
      <c r="AK180" s="13">
        <f t="shared" si="164"/>
        <v>1.5870730813698654E-12</v>
      </c>
      <c r="AL180" s="20">
        <f t="shared" si="165"/>
        <v>2.9494845662396269E-12</v>
      </c>
      <c r="AM180" s="59">
        <f t="shared" si="113"/>
        <v>293.33333333333627</v>
      </c>
      <c r="AN180" s="59">
        <f ca="1">AVERAGE(OFFSET($AM$3,0,0,'Données projet'!$E$10+1,1))-AVERAGE(OFFSET($H$3,0,0,'Données projet'!$E$10+1,1))</f>
        <v>205.31676282910638</v>
      </c>
      <c r="AO180" s="59">
        <f t="shared" si="144"/>
        <v>190.64998698136026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#VALUE!</v>
      </c>
      <c r="AV180" s="21" t="e">
        <f>EXP(-LN(2)/25)*AV179+(1-EXP(-LN(2)/25))/(LN(2)/25)*Calculateur!AQ180*Calculateur!AS180*VLOOKUP('Données projet'!$B$10,Paramètres!$A$1:$I$89,3,0)*0.475*44/12</f>
        <v>#VALUE!</v>
      </c>
      <c r="AW180" s="21" t="e">
        <f>EXP(-LN(2)/2)*AW179+(1-EXP(-LN(2)/2))/(LN(2)/2)*AQ180*AT180*VLOOKUP('Données projet'!$B$10,Paramètres!$A$1:$I$89,3,0)*0.475*44/12</f>
        <v>#VALUE!</v>
      </c>
      <c r="AX180" s="21" t="e">
        <f t="shared" si="166"/>
        <v>#VALUE!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215.55381529099924</v>
      </c>
      <c r="T181" s="59">
        <f t="shared" si="142"/>
        <v>158.77848520346532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 t="e">
        <f>EXP(-LN(2)/35)*Z180+(1-EXP(-LN(2)/35))/(LN(2)/35)*V181*W181*VLOOKUP('Données projet'!$B$9,Paramètres!$A$1:$I$89,3,0)*0.475*44/12</f>
        <v>#VALUE!</v>
      </c>
      <c r="AA181" s="21" t="e">
        <f>EXP(-LN(2)/25)*AA180+(1-EXP(-LN(2)/25))/(LN(2)/25)*Calculateur!V181*Calculateur!X181*VLOOKUP('Données projet'!$B$9,Paramètres!$A$1:$I$89,3,0)*0.475*44/12</f>
        <v>#VALUE!</v>
      </c>
      <c r="AB181" s="21" t="e">
        <f>EXP(-LN(2)/2)*AB180+(1-EXP(-LN(2)/2))/(LN(2)/2)*V181*Y181*VLOOKUP('Données projet'!$B$9,Paramètres!$A$1:$I$89,3,0)*0.475*44/12</f>
        <v>#VALUE!</v>
      </c>
      <c r="AC181" s="22" t="e">
        <f t="shared" si="163"/>
        <v>#VALUE!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1.064108801074326E-13</v>
      </c>
      <c r="AK181" s="13">
        <f t="shared" si="164"/>
        <v>1.5870730813698654E-12</v>
      </c>
      <c r="AL181" s="20">
        <f t="shared" si="165"/>
        <v>2.9494845662396269E-12</v>
      </c>
      <c r="AM181" s="59">
        <f t="shared" si="113"/>
        <v>293.33333333333627</v>
      </c>
      <c r="AN181" s="59">
        <f ca="1">AVERAGE(OFFSET($AM$3,0,0,'Données projet'!$E$10+1,1))-AVERAGE(OFFSET($H$3,0,0,'Données projet'!$E$10+1,1))</f>
        <v>205.31676282910638</v>
      </c>
      <c r="AO181" s="59">
        <f t="shared" si="144"/>
        <v>190.64998698136026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#VALUE!</v>
      </c>
      <c r="AV181" s="21" t="e">
        <f>EXP(-LN(2)/25)*AV180+(1-EXP(-LN(2)/25))/(LN(2)/25)*Calculateur!AQ181*Calculateur!AS181*VLOOKUP('Données projet'!$B$10,Paramètres!$A$1:$I$89,3,0)*0.475*44/12</f>
        <v>#VALUE!</v>
      </c>
      <c r="AW181" s="21" t="e">
        <f>EXP(-LN(2)/2)*AW180+(1-EXP(-LN(2)/2))/(LN(2)/2)*AQ181*AT181*VLOOKUP('Données projet'!$B$10,Paramètres!$A$1:$I$89,3,0)*0.475*44/12</f>
        <v>#VALUE!</v>
      </c>
      <c r="AX181" s="21" t="e">
        <f t="shared" si="166"/>
        <v>#VALUE!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215.55381529099924</v>
      </c>
      <c r="T182" s="59">
        <f t="shared" si="142"/>
        <v>158.77848520346532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 t="e">
        <f>EXP(-LN(2)/35)*Z181+(1-EXP(-LN(2)/35))/(LN(2)/35)*V182*W182*VLOOKUP('Données projet'!$B$9,Paramètres!$A$1:$I$89,3,0)*0.475*44/12</f>
        <v>#VALUE!</v>
      </c>
      <c r="AA182" s="21" t="e">
        <f>EXP(-LN(2)/25)*AA181+(1-EXP(-LN(2)/25))/(LN(2)/25)*Calculateur!V182*Calculateur!X182*VLOOKUP('Données projet'!$B$9,Paramètres!$A$1:$I$89,3,0)*0.475*44/12</f>
        <v>#VALUE!</v>
      </c>
      <c r="AB182" s="21" t="e">
        <f>EXP(-LN(2)/2)*AB181+(1-EXP(-LN(2)/2))/(LN(2)/2)*V182*Y182*VLOOKUP('Données projet'!$B$9,Paramètres!$A$1:$I$89,3,0)*0.475*44/12</f>
        <v>#VALUE!</v>
      </c>
      <c r="AC182" s="22" t="e">
        <f t="shared" si="163"/>
        <v>#VALUE!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1.064108801074326E-13</v>
      </c>
      <c r="AK182" s="13">
        <f t="shared" si="164"/>
        <v>1.5870730813698654E-12</v>
      </c>
      <c r="AL182" s="20">
        <f t="shared" si="165"/>
        <v>2.9494845662396269E-12</v>
      </c>
      <c r="AM182" s="59">
        <f t="shared" si="113"/>
        <v>293.33333333333627</v>
      </c>
      <c r="AN182" s="59">
        <f ca="1">AVERAGE(OFFSET($AM$3,0,0,'Données projet'!$E$10+1,1))-AVERAGE(OFFSET($H$3,0,0,'Données projet'!$E$10+1,1))</f>
        <v>205.31676282910638</v>
      </c>
      <c r="AO182" s="59">
        <f t="shared" si="144"/>
        <v>190.64998698136026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#VALUE!</v>
      </c>
      <c r="AV182" s="21" t="e">
        <f>EXP(-LN(2)/25)*AV181+(1-EXP(-LN(2)/25))/(LN(2)/25)*Calculateur!AQ182*Calculateur!AS182*VLOOKUP('Données projet'!$B$10,Paramètres!$A$1:$I$89,3,0)*0.475*44/12</f>
        <v>#VALUE!</v>
      </c>
      <c r="AW182" s="21" t="e">
        <f>EXP(-LN(2)/2)*AW181+(1-EXP(-LN(2)/2))/(LN(2)/2)*AQ182*AT182*VLOOKUP('Données projet'!$B$10,Paramètres!$A$1:$I$89,3,0)*0.475*44/12</f>
        <v>#VALUE!</v>
      </c>
      <c r="AX182" s="21" t="e">
        <f t="shared" si="166"/>
        <v>#VALUE!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215.55381529099924</v>
      </c>
      <c r="T183" s="59">
        <f t="shared" si="142"/>
        <v>158.77848520346532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 t="e">
        <f>EXP(-LN(2)/35)*Z182+(1-EXP(-LN(2)/35))/(LN(2)/35)*V183*W183*VLOOKUP('Données projet'!$B$9,Paramètres!$A$1:$I$89,3,0)*0.475*44/12</f>
        <v>#VALUE!</v>
      </c>
      <c r="AA183" s="21" t="e">
        <f>EXP(-LN(2)/25)*AA182+(1-EXP(-LN(2)/25))/(LN(2)/25)*Calculateur!V183*Calculateur!X183*VLOOKUP('Données projet'!$B$9,Paramètres!$A$1:$I$89,3,0)*0.475*44/12</f>
        <v>#VALUE!</v>
      </c>
      <c r="AB183" s="21" t="e">
        <f>EXP(-LN(2)/2)*AB182+(1-EXP(-LN(2)/2))/(LN(2)/2)*V183*Y183*VLOOKUP('Données projet'!$B$9,Paramètres!$A$1:$I$89,3,0)*0.475*44/12</f>
        <v>#VALUE!</v>
      </c>
      <c r="AC183" s="22" t="e">
        <f t="shared" si="163"/>
        <v>#VALUE!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1.064108801074326E-13</v>
      </c>
      <c r="AK183" s="13">
        <f t="shared" si="164"/>
        <v>1.5870730813698654E-12</v>
      </c>
      <c r="AL183" s="20">
        <f t="shared" si="165"/>
        <v>2.9494845662396269E-12</v>
      </c>
      <c r="AM183" s="59">
        <f t="shared" si="113"/>
        <v>293.33333333333627</v>
      </c>
      <c r="AN183" s="59">
        <f ca="1">AVERAGE(OFFSET($AM$3,0,0,'Données projet'!$E$10+1,1))-AVERAGE(OFFSET($H$3,0,0,'Données projet'!$E$10+1,1))</f>
        <v>205.31676282910638</v>
      </c>
      <c r="AO183" s="59">
        <f t="shared" si="144"/>
        <v>190.64998698136026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#VALUE!</v>
      </c>
      <c r="AV183" s="21" t="e">
        <f>EXP(-LN(2)/25)*AV182+(1-EXP(-LN(2)/25))/(LN(2)/25)*Calculateur!AQ183*Calculateur!AS183*VLOOKUP('Données projet'!$B$10,Paramètres!$A$1:$I$89,3,0)*0.475*44/12</f>
        <v>#VALUE!</v>
      </c>
      <c r="AW183" s="21" t="e">
        <f>EXP(-LN(2)/2)*AW182+(1-EXP(-LN(2)/2))/(LN(2)/2)*AQ183*AT183*VLOOKUP('Données projet'!$B$10,Paramètres!$A$1:$I$89,3,0)*0.475*44/12</f>
        <v>#VALUE!</v>
      </c>
      <c r="AX183" s="21" t="e">
        <f t="shared" si="166"/>
        <v>#VALUE!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215.55381529099924</v>
      </c>
      <c r="T184" s="59">
        <f t="shared" si="142"/>
        <v>158.77848520346532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 t="e">
        <f>EXP(-LN(2)/35)*Z183+(1-EXP(-LN(2)/35))/(LN(2)/35)*V184*W184*VLOOKUP('Données projet'!$B$9,Paramètres!$A$1:$I$89,3,0)*0.475*44/12</f>
        <v>#VALUE!</v>
      </c>
      <c r="AA184" s="21" t="e">
        <f>EXP(-LN(2)/25)*AA183+(1-EXP(-LN(2)/25))/(LN(2)/25)*Calculateur!V184*Calculateur!X184*VLOOKUP('Données projet'!$B$9,Paramètres!$A$1:$I$89,3,0)*0.475*44/12</f>
        <v>#VALUE!</v>
      </c>
      <c r="AB184" s="21" t="e">
        <f>EXP(-LN(2)/2)*AB183+(1-EXP(-LN(2)/2))/(LN(2)/2)*V184*Y184*VLOOKUP('Données projet'!$B$9,Paramètres!$A$1:$I$89,3,0)*0.475*44/12</f>
        <v>#VALUE!</v>
      </c>
      <c r="AC184" s="22" t="e">
        <f t="shared" si="163"/>
        <v>#VALUE!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1.064108801074326E-13</v>
      </c>
      <c r="AK184" s="13">
        <f t="shared" si="164"/>
        <v>1.5870730813698654E-12</v>
      </c>
      <c r="AL184" s="20">
        <f t="shared" si="165"/>
        <v>2.9494845662396269E-12</v>
      </c>
      <c r="AM184" s="59">
        <f t="shared" si="113"/>
        <v>293.33333333333627</v>
      </c>
      <c r="AN184" s="59">
        <f ca="1">AVERAGE(OFFSET($AM$3,0,0,'Données projet'!$E$10+1,1))-AVERAGE(OFFSET($H$3,0,0,'Données projet'!$E$10+1,1))</f>
        <v>205.31676282910638</v>
      </c>
      <c r="AO184" s="59">
        <f t="shared" si="144"/>
        <v>190.64998698136026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#VALUE!</v>
      </c>
      <c r="AV184" s="21" t="e">
        <f>EXP(-LN(2)/25)*AV183+(1-EXP(-LN(2)/25))/(LN(2)/25)*Calculateur!AQ184*Calculateur!AS184*VLOOKUP('Données projet'!$B$10,Paramètres!$A$1:$I$89,3,0)*0.475*44/12</f>
        <v>#VALUE!</v>
      </c>
      <c r="AW184" s="21" t="e">
        <f>EXP(-LN(2)/2)*AW183+(1-EXP(-LN(2)/2))/(LN(2)/2)*AQ184*AT184*VLOOKUP('Données projet'!$B$10,Paramètres!$A$1:$I$89,3,0)*0.475*44/12</f>
        <v>#VALUE!</v>
      </c>
      <c r="AX184" s="21" t="e">
        <f t="shared" si="166"/>
        <v>#VALUE!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215.55381529099924</v>
      </c>
      <c r="T185" s="59">
        <f t="shared" si="142"/>
        <v>158.77848520346532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 t="e">
        <f>EXP(-LN(2)/35)*Z184+(1-EXP(-LN(2)/35))/(LN(2)/35)*V185*W185*VLOOKUP('Données projet'!$B$9,Paramètres!$A$1:$I$89,3,0)*0.475*44/12</f>
        <v>#VALUE!</v>
      </c>
      <c r="AA185" s="21" t="e">
        <f>EXP(-LN(2)/25)*AA184+(1-EXP(-LN(2)/25))/(LN(2)/25)*Calculateur!V185*Calculateur!X185*VLOOKUP('Données projet'!$B$9,Paramètres!$A$1:$I$89,3,0)*0.475*44/12</f>
        <v>#VALUE!</v>
      </c>
      <c r="AB185" s="21" t="e">
        <f>EXP(-LN(2)/2)*AB184+(1-EXP(-LN(2)/2))/(LN(2)/2)*V185*Y185*VLOOKUP('Données projet'!$B$9,Paramètres!$A$1:$I$89,3,0)*0.475*44/12</f>
        <v>#VALUE!</v>
      </c>
      <c r="AC185" s="22" t="e">
        <f t="shared" si="163"/>
        <v>#VALUE!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1.064108801074326E-13</v>
      </c>
      <c r="AK185" s="13">
        <f t="shared" si="164"/>
        <v>1.5870730813698654E-12</v>
      </c>
      <c r="AL185" s="20">
        <f t="shared" si="165"/>
        <v>2.9494845662396269E-12</v>
      </c>
      <c r="AM185" s="59">
        <f t="shared" si="113"/>
        <v>293.33333333333627</v>
      </c>
      <c r="AN185" s="59">
        <f ca="1">AVERAGE(OFFSET($AM$3,0,0,'Données projet'!$E$10+1,1))-AVERAGE(OFFSET($H$3,0,0,'Données projet'!$E$10+1,1))</f>
        <v>205.31676282910638</v>
      </c>
      <c r="AO185" s="59">
        <f t="shared" si="144"/>
        <v>190.64998698136026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#VALUE!</v>
      </c>
      <c r="AV185" s="21" t="e">
        <f>EXP(-LN(2)/25)*AV184+(1-EXP(-LN(2)/25))/(LN(2)/25)*Calculateur!AQ185*Calculateur!AS185*VLOOKUP('Données projet'!$B$10,Paramètres!$A$1:$I$89,3,0)*0.475*44/12</f>
        <v>#VALUE!</v>
      </c>
      <c r="AW185" s="21" t="e">
        <f>EXP(-LN(2)/2)*AW184+(1-EXP(-LN(2)/2))/(LN(2)/2)*AQ185*AT185*VLOOKUP('Données projet'!$B$10,Paramètres!$A$1:$I$89,3,0)*0.475*44/12</f>
        <v>#VALUE!</v>
      </c>
      <c r="AX185" s="21" t="e">
        <f t="shared" si="166"/>
        <v>#VALUE!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215.55381529099924</v>
      </c>
      <c r="T186" s="59">
        <f t="shared" si="142"/>
        <v>158.77848520346532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 t="e">
        <f>EXP(-LN(2)/35)*Z185+(1-EXP(-LN(2)/35))/(LN(2)/35)*V186*W186*VLOOKUP('Données projet'!$B$9,Paramètres!$A$1:$I$89,3,0)*0.475*44/12</f>
        <v>#VALUE!</v>
      </c>
      <c r="AA186" s="21" t="e">
        <f>EXP(-LN(2)/25)*AA185+(1-EXP(-LN(2)/25))/(LN(2)/25)*Calculateur!V186*Calculateur!X186*VLOOKUP('Données projet'!$B$9,Paramètres!$A$1:$I$89,3,0)*0.475*44/12</f>
        <v>#VALUE!</v>
      </c>
      <c r="AB186" s="21" t="e">
        <f>EXP(-LN(2)/2)*AB185+(1-EXP(-LN(2)/2))/(LN(2)/2)*V186*Y186*VLOOKUP('Données projet'!$B$9,Paramètres!$A$1:$I$89,3,0)*0.475*44/12</f>
        <v>#VALUE!</v>
      </c>
      <c r="AC186" s="22" t="e">
        <f t="shared" si="163"/>
        <v>#VALUE!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1.064108801074326E-13</v>
      </c>
      <c r="AK186" s="13">
        <f t="shared" si="164"/>
        <v>1.5870730813698654E-12</v>
      </c>
      <c r="AL186" s="20">
        <f t="shared" si="165"/>
        <v>2.9494845662396269E-12</v>
      </c>
      <c r="AM186" s="59">
        <f t="shared" si="113"/>
        <v>293.33333333333627</v>
      </c>
      <c r="AN186" s="59">
        <f ca="1">AVERAGE(OFFSET($AM$3,0,0,'Données projet'!$E$10+1,1))-AVERAGE(OFFSET($H$3,0,0,'Données projet'!$E$10+1,1))</f>
        <v>205.31676282910638</v>
      </c>
      <c r="AO186" s="59">
        <f t="shared" si="144"/>
        <v>190.64998698136026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#VALUE!</v>
      </c>
      <c r="AV186" s="21" t="e">
        <f>EXP(-LN(2)/25)*AV185+(1-EXP(-LN(2)/25))/(LN(2)/25)*Calculateur!AQ186*Calculateur!AS186*VLOOKUP('Données projet'!$B$10,Paramètres!$A$1:$I$89,3,0)*0.475*44/12</f>
        <v>#VALUE!</v>
      </c>
      <c r="AW186" s="21" t="e">
        <f>EXP(-LN(2)/2)*AW185+(1-EXP(-LN(2)/2))/(LN(2)/2)*AQ186*AT186*VLOOKUP('Données projet'!$B$10,Paramètres!$A$1:$I$89,3,0)*0.475*44/12</f>
        <v>#VALUE!</v>
      </c>
      <c r="AX186" s="21" t="e">
        <f t="shared" si="166"/>
        <v>#VALUE!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215.55381529099924</v>
      </c>
      <c r="T187" s="59">
        <f t="shared" si="142"/>
        <v>158.77848520346532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 t="e">
        <f>EXP(-LN(2)/35)*Z186+(1-EXP(-LN(2)/35))/(LN(2)/35)*V187*W187*VLOOKUP('Données projet'!$B$9,Paramètres!$A$1:$I$89,3,0)*0.475*44/12</f>
        <v>#VALUE!</v>
      </c>
      <c r="AA187" s="21" t="e">
        <f>EXP(-LN(2)/25)*AA186+(1-EXP(-LN(2)/25))/(LN(2)/25)*Calculateur!V187*Calculateur!X187*VLOOKUP('Données projet'!$B$9,Paramètres!$A$1:$I$89,3,0)*0.475*44/12</f>
        <v>#VALUE!</v>
      </c>
      <c r="AB187" s="21" t="e">
        <f>EXP(-LN(2)/2)*AB186+(1-EXP(-LN(2)/2))/(LN(2)/2)*V187*Y187*VLOOKUP('Données projet'!$B$9,Paramètres!$A$1:$I$89,3,0)*0.475*44/12</f>
        <v>#VALUE!</v>
      </c>
      <c r="AC187" s="22" t="e">
        <f t="shared" si="163"/>
        <v>#VALUE!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1.064108801074326E-13</v>
      </c>
      <c r="AK187" s="13">
        <f t="shared" si="164"/>
        <v>1.5870730813698654E-12</v>
      </c>
      <c r="AL187" s="20">
        <f t="shared" si="165"/>
        <v>2.9494845662396269E-12</v>
      </c>
      <c r="AM187" s="59">
        <f t="shared" si="113"/>
        <v>293.33333333333627</v>
      </c>
      <c r="AN187" s="59">
        <f ca="1">AVERAGE(OFFSET($AM$3,0,0,'Données projet'!$E$10+1,1))-AVERAGE(OFFSET($H$3,0,0,'Données projet'!$E$10+1,1))</f>
        <v>205.31676282910638</v>
      </c>
      <c r="AO187" s="59">
        <f t="shared" si="144"/>
        <v>190.64998698136026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#VALUE!</v>
      </c>
      <c r="AV187" s="21" t="e">
        <f>EXP(-LN(2)/25)*AV186+(1-EXP(-LN(2)/25))/(LN(2)/25)*Calculateur!AQ187*Calculateur!AS187*VLOOKUP('Données projet'!$B$10,Paramètres!$A$1:$I$89,3,0)*0.475*44/12</f>
        <v>#VALUE!</v>
      </c>
      <c r="AW187" s="21" t="e">
        <f>EXP(-LN(2)/2)*AW186+(1-EXP(-LN(2)/2))/(LN(2)/2)*AQ187*AT187*VLOOKUP('Données projet'!$B$10,Paramètres!$A$1:$I$89,3,0)*0.475*44/12</f>
        <v>#VALUE!</v>
      </c>
      <c r="AX187" s="21" t="e">
        <f t="shared" si="166"/>
        <v>#VALUE!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215.55381529099924</v>
      </c>
      <c r="T188" s="59">
        <f t="shared" si="142"/>
        <v>158.77848520346532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 t="e">
        <f>EXP(-LN(2)/35)*Z187+(1-EXP(-LN(2)/35))/(LN(2)/35)*V188*W188*VLOOKUP('Données projet'!$B$9,Paramètres!$A$1:$I$89,3,0)*0.475*44/12</f>
        <v>#VALUE!</v>
      </c>
      <c r="AA188" s="21" t="e">
        <f>EXP(-LN(2)/25)*AA187+(1-EXP(-LN(2)/25))/(LN(2)/25)*Calculateur!V188*Calculateur!X188*VLOOKUP('Données projet'!$B$9,Paramètres!$A$1:$I$89,3,0)*0.475*44/12</f>
        <v>#VALUE!</v>
      </c>
      <c r="AB188" s="21" t="e">
        <f>EXP(-LN(2)/2)*AB187+(1-EXP(-LN(2)/2))/(LN(2)/2)*V188*Y188*VLOOKUP('Données projet'!$B$9,Paramètres!$A$1:$I$89,3,0)*0.475*44/12</f>
        <v>#VALUE!</v>
      </c>
      <c r="AC188" s="22" t="e">
        <f t="shared" si="163"/>
        <v>#VALUE!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1.064108801074326E-13</v>
      </c>
      <c r="AK188" s="13">
        <f t="shared" si="164"/>
        <v>1.5870730813698654E-12</v>
      </c>
      <c r="AL188" s="20">
        <f t="shared" si="165"/>
        <v>2.9494845662396269E-12</v>
      </c>
      <c r="AM188" s="59">
        <f t="shared" si="113"/>
        <v>293.33333333333627</v>
      </c>
      <c r="AN188" s="59">
        <f ca="1">AVERAGE(OFFSET($AM$3,0,0,'Données projet'!$E$10+1,1))-AVERAGE(OFFSET($H$3,0,0,'Données projet'!$E$10+1,1))</f>
        <v>205.31676282910638</v>
      </c>
      <c r="AO188" s="59">
        <f t="shared" si="144"/>
        <v>190.64998698136026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#VALUE!</v>
      </c>
      <c r="AV188" s="21" t="e">
        <f>EXP(-LN(2)/25)*AV187+(1-EXP(-LN(2)/25))/(LN(2)/25)*Calculateur!AQ188*Calculateur!AS188*VLOOKUP('Données projet'!$B$10,Paramètres!$A$1:$I$89,3,0)*0.475*44/12</f>
        <v>#VALUE!</v>
      </c>
      <c r="AW188" s="21" t="e">
        <f>EXP(-LN(2)/2)*AW187+(1-EXP(-LN(2)/2))/(LN(2)/2)*AQ188*AT188*VLOOKUP('Données projet'!$B$10,Paramètres!$A$1:$I$89,3,0)*0.475*44/12</f>
        <v>#VALUE!</v>
      </c>
      <c r="AX188" s="21" t="e">
        <f t="shared" si="166"/>
        <v>#VALUE!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215.55381529099924</v>
      </c>
      <c r="T189" s="59">
        <f t="shared" si="142"/>
        <v>158.77848520346532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 t="e">
        <f>EXP(-LN(2)/35)*Z188+(1-EXP(-LN(2)/35))/(LN(2)/35)*V189*W189*VLOOKUP('Données projet'!$B$9,Paramètres!$A$1:$I$89,3,0)*0.475*44/12</f>
        <v>#VALUE!</v>
      </c>
      <c r="AA189" s="21" t="e">
        <f>EXP(-LN(2)/25)*AA188+(1-EXP(-LN(2)/25))/(LN(2)/25)*Calculateur!V189*Calculateur!X189*VLOOKUP('Données projet'!$B$9,Paramètres!$A$1:$I$89,3,0)*0.475*44/12</f>
        <v>#VALUE!</v>
      </c>
      <c r="AB189" s="21" t="e">
        <f>EXP(-LN(2)/2)*AB188+(1-EXP(-LN(2)/2))/(LN(2)/2)*V189*Y189*VLOOKUP('Données projet'!$B$9,Paramètres!$A$1:$I$89,3,0)*0.475*44/12</f>
        <v>#VALUE!</v>
      </c>
      <c r="AC189" s="22" t="e">
        <f t="shared" si="163"/>
        <v>#VALUE!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1.064108801074326E-13</v>
      </c>
      <c r="AK189" s="13">
        <f t="shared" si="164"/>
        <v>1.5870730813698654E-12</v>
      </c>
      <c r="AL189" s="20">
        <f t="shared" si="165"/>
        <v>2.9494845662396269E-12</v>
      </c>
      <c r="AM189" s="59">
        <f t="shared" si="113"/>
        <v>293.33333333333627</v>
      </c>
      <c r="AN189" s="59">
        <f ca="1">AVERAGE(OFFSET($AM$3,0,0,'Données projet'!$E$10+1,1))-AVERAGE(OFFSET($H$3,0,0,'Données projet'!$E$10+1,1))</f>
        <v>205.31676282910638</v>
      </c>
      <c r="AO189" s="59">
        <f t="shared" si="144"/>
        <v>190.64998698136026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#VALUE!</v>
      </c>
      <c r="AV189" s="21" t="e">
        <f>EXP(-LN(2)/25)*AV188+(1-EXP(-LN(2)/25))/(LN(2)/25)*Calculateur!AQ189*Calculateur!AS189*VLOOKUP('Données projet'!$B$10,Paramètres!$A$1:$I$89,3,0)*0.475*44/12</f>
        <v>#VALUE!</v>
      </c>
      <c r="AW189" s="21" t="e">
        <f>EXP(-LN(2)/2)*AW188+(1-EXP(-LN(2)/2))/(LN(2)/2)*AQ189*AT189*VLOOKUP('Données projet'!$B$10,Paramètres!$A$1:$I$89,3,0)*0.475*44/12</f>
        <v>#VALUE!</v>
      </c>
      <c r="AX189" s="21" t="e">
        <f t="shared" si="166"/>
        <v>#VALUE!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215.55381529099924</v>
      </c>
      <c r="T190" s="59">
        <f t="shared" si="142"/>
        <v>158.77848520346532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 t="e">
        <f>EXP(-LN(2)/35)*Z189+(1-EXP(-LN(2)/35))/(LN(2)/35)*V190*W190*VLOOKUP('Données projet'!$B$9,Paramètres!$A$1:$I$89,3,0)*0.475*44/12</f>
        <v>#VALUE!</v>
      </c>
      <c r="AA190" s="21" t="e">
        <f>EXP(-LN(2)/25)*AA189+(1-EXP(-LN(2)/25))/(LN(2)/25)*Calculateur!V190*Calculateur!X190*VLOOKUP('Données projet'!$B$9,Paramètres!$A$1:$I$89,3,0)*0.475*44/12</f>
        <v>#VALUE!</v>
      </c>
      <c r="AB190" s="21" t="e">
        <f>EXP(-LN(2)/2)*AB189+(1-EXP(-LN(2)/2))/(LN(2)/2)*V190*Y190*VLOOKUP('Données projet'!$B$9,Paramètres!$A$1:$I$89,3,0)*0.475*44/12</f>
        <v>#VALUE!</v>
      </c>
      <c r="AC190" s="22" t="e">
        <f t="shared" si="163"/>
        <v>#VALUE!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1.064108801074326E-13</v>
      </c>
      <c r="AK190" s="13">
        <f t="shared" si="164"/>
        <v>1.5870730813698654E-12</v>
      </c>
      <c r="AL190" s="20">
        <f t="shared" si="165"/>
        <v>2.9494845662396269E-12</v>
      </c>
      <c r="AM190" s="59">
        <f t="shared" si="113"/>
        <v>293.33333333333627</v>
      </c>
      <c r="AN190" s="59">
        <f ca="1">AVERAGE(OFFSET($AM$3,0,0,'Données projet'!$E$10+1,1))-AVERAGE(OFFSET($H$3,0,0,'Données projet'!$E$10+1,1))</f>
        <v>205.31676282910638</v>
      </c>
      <c r="AO190" s="59">
        <f t="shared" si="144"/>
        <v>190.64998698136026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#VALUE!</v>
      </c>
      <c r="AV190" s="21" t="e">
        <f>EXP(-LN(2)/25)*AV189+(1-EXP(-LN(2)/25))/(LN(2)/25)*Calculateur!AQ190*Calculateur!AS190*VLOOKUP('Données projet'!$B$10,Paramètres!$A$1:$I$89,3,0)*0.475*44/12</f>
        <v>#VALUE!</v>
      </c>
      <c r="AW190" s="21" t="e">
        <f>EXP(-LN(2)/2)*AW189+(1-EXP(-LN(2)/2))/(LN(2)/2)*AQ190*AT190*VLOOKUP('Données projet'!$B$10,Paramètres!$A$1:$I$89,3,0)*0.475*44/12</f>
        <v>#VALUE!</v>
      </c>
      <c r="AX190" s="21" t="e">
        <f t="shared" si="166"/>
        <v>#VALUE!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215.55381529099924</v>
      </c>
      <c r="T191" s="59">
        <f t="shared" si="142"/>
        <v>158.77848520346532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 t="e">
        <f>EXP(-LN(2)/35)*Z190+(1-EXP(-LN(2)/35))/(LN(2)/35)*V191*W191*VLOOKUP('Données projet'!$B$9,Paramètres!$A$1:$I$89,3,0)*0.475*44/12</f>
        <v>#VALUE!</v>
      </c>
      <c r="AA191" s="21" t="e">
        <f>EXP(-LN(2)/25)*AA190+(1-EXP(-LN(2)/25))/(LN(2)/25)*Calculateur!V191*Calculateur!X191*VLOOKUP('Données projet'!$B$9,Paramètres!$A$1:$I$89,3,0)*0.475*44/12</f>
        <v>#VALUE!</v>
      </c>
      <c r="AB191" s="21" t="e">
        <f>EXP(-LN(2)/2)*AB190+(1-EXP(-LN(2)/2))/(LN(2)/2)*V191*Y191*VLOOKUP('Données projet'!$B$9,Paramètres!$A$1:$I$89,3,0)*0.475*44/12</f>
        <v>#VALUE!</v>
      </c>
      <c r="AC191" s="22" t="e">
        <f t="shared" si="163"/>
        <v>#VALUE!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1.064108801074326E-13</v>
      </c>
      <c r="AK191" s="13">
        <f t="shared" si="164"/>
        <v>1.5870730813698654E-12</v>
      </c>
      <c r="AL191" s="20">
        <f t="shared" si="165"/>
        <v>2.9494845662396269E-12</v>
      </c>
      <c r="AM191" s="59">
        <f t="shared" si="113"/>
        <v>293.33333333333627</v>
      </c>
      <c r="AN191" s="59">
        <f ca="1">AVERAGE(OFFSET($AM$3,0,0,'Données projet'!$E$10+1,1))-AVERAGE(OFFSET($H$3,0,0,'Données projet'!$E$10+1,1))</f>
        <v>205.31676282910638</v>
      </c>
      <c r="AO191" s="59">
        <f t="shared" si="144"/>
        <v>190.64998698136026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#VALUE!</v>
      </c>
      <c r="AV191" s="21" t="e">
        <f>EXP(-LN(2)/25)*AV190+(1-EXP(-LN(2)/25))/(LN(2)/25)*Calculateur!AQ191*Calculateur!AS191*VLOOKUP('Données projet'!$B$10,Paramètres!$A$1:$I$89,3,0)*0.475*44/12</f>
        <v>#VALUE!</v>
      </c>
      <c r="AW191" s="21" t="e">
        <f>EXP(-LN(2)/2)*AW190+(1-EXP(-LN(2)/2))/(LN(2)/2)*AQ191*AT191*VLOOKUP('Données projet'!$B$10,Paramètres!$A$1:$I$89,3,0)*0.475*44/12</f>
        <v>#VALUE!</v>
      </c>
      <c r="AX191" s="21" t="e">
        <f t="shared" si="166"/>
        <v>#VALUE!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215.55381529099924</v>
      </c>
      <c r="T192" s="59">
        <f t="shared" si="142"/>
        <v>158.77848520346532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 t="e">
        <f>EXP(-LN(2)/35)*Z191+(1-EXP(-LN(2)/35))/(LN(2)/35)*V192*W192*VLOOKUP('Données projet'!$B$9,Paramètres!$A$1:$I$89,3,0)*0.475*44/12</f>
        <v>#VALUE!</v>
      </c>
      <c r="AA192" s="21" t="e">
        <f>EXP(-LN(2)/25)*AA191+(1-EXP(-LN(2)/25))/(LN(2)/25)*Calculateur!V192*Calculateur!X192*VLOOKUP('Données projet'!$B$9,Paramètres!$A$1:$I$89,3,0)*0.475*44/12</f>
        <v>#VALUE!</v>
      </c>
      <c r="AB192" s="21" t="e">
        <f>EXP(-LN(2)/2)*AB191+(1-EXP(-LN(2)/2))/(LN(2)/2)*V192*Y192*VLOOKUP('Données projet'!$B$9,Paramètres!$A$1:$I$89,3,0)*0.475*44/12</f>
        <v>#VALUE!</v>
      </c>
      <c r="AC192" s="22" t="e">
        <f t="shared" si="163"/>
        <v>#VALUE!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1.064108801074326E-13</v>
      </c>
      <c r="AK192" s="13">
        <f t="shared" si="164"/>
        <v>1.5870730813698654E-12</v>
      </c>
      <c r="AL192" s="20">
        <f t="shared" si="165"/>
        <v>2.9494845662396269E-12</v>
      </c>
      <c r="AM192" s="59">
        <f t="shared" si="113"/>
        <v>293.33333333333627</v>
      </c>
      <c r="AN192" s="59">
        <f ca="1">AVERAGE(OFFSET($AM$3,0,0,'Données projet'!$E$10+1,1))-AVERAGE(OFFSET($H$3,0,0,'Données projet'!$E$10+1,1))</f>
        <v>205.31676282910638</v>
      </c>
      <c r="AO192" s="59">
        <f t="shared" si="144"/>
        <v>190.64998698136026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#VALUE!</v>
      </c>
      <c r="AV192" s="21" t="e">
        <f>EXP(-LN(2)/25)*AV191+(1-EXP(-LN(2)/25))/(LN(2)/25)*Calculateur!AQ192*Calculateur!AS192*VLOOKUP('Données projet'!$B$10,Paramètres!$A$1:$I$89,3,0)*0.475*44/12</f>
        <v>#VALUE!</v>
      </c>
      <c r="AW192" s="21" t="e">
        <f>EXP(-LN(2)/2)*AW191+(1-EXP(-LN(2)/2))/(LN(2)/2)*AQ192*AT192*VLOOKUP('Données projet'!$B$10,Paramètres!$A$1:$I$89,3,0)*0.475*44/12</f>
        <v>#VALUE!</v>
      </c>
      <c r="AX192" s="21" t="e">
        <f t="shared" si="166"/>
        <v>#VALUE!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215.55381529099924</v>
      </c>
      <c r="T193" s="59">
        <f t="shared" si="142"/>
        <v>158.77848520346532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 t="e">
        <f>EXP(-LN(2)/35)*Z192+(1-EXP(-LN(2)/35))/(LN(2)/35)*V193*W193*VLOOKUP('Données projet'!$B$9,Paramètres!$A$1:$I$89,3,0)*0.475*44/12</f>
        <v>#VALUE!</v>
      </c>
      <c r="AA193" s="21" t="e">
        <f>EXP(-LN(2)/25)*AA192+(1-EXP(-LN(2)/25))/(LN(2)/25)*Calculateur!V193*Calculateur!X193*VLOOKUP('Données projet'!$B$9,Paramètres!$A$1:$I$89,3,0)*0.475*44/12</f>
        <v>#VALUE!</v>
      </c>
      <c r="AB193" s="21" t="e">
        <f>EXP(-LN(2)/2)*AB192+(1-EXP(-LN(2)/2))/(LN(2)/2)*V193*Y193*VLOOKUP('Données projet'!$B$9,Paramètres!$A$1:$I$89,3,0)*0.475*44/12</f>
        <v>#VALUE!</v>
      </c>
      <c r="AC193" s="22" t="e">
        <f t="shared" si="163"/>
        <v>#VALUE!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1.064108801074326E-13</v>
      </c>
      <c r="AK193" s="13">
        <f t="shared" si="164"/>
        <v>1.5870730813698654E-12</v>
      </c>
      <c r="AL193" s="20">
        <f t="shared" si="165"/>
        <v>2.9494845662396269E-12</v>
      </c>
      <c r="AM193" s="59">
        <f t="shared" si="113"/>
        <v>293.33333333333627</v>
      </c>
      <c r="AN193" s="59">
        <f ca="1">AVERAGE(OFFSET($AM$3,0,0,'Données projet'!$E$10+1,1))-AVERAGE(OFFSET($H$3,0,0,'Données projet'!$E$10+1,1))</f>
        <v>205.31676282910638</v>
      </c>
      <c r="AO193" s="59">
        <f t="shared" si="144"/>
        <v>190.64998698136026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#VALUE!</v>
      </c>
      <c r="AV193" s="21" t="e">
        <f>EXP(-LN(2)/25)*AV192+(1-EXP(-LN(2)/25))/(LN(2)/25)*Calculateur!AQ193*Calculateur!AS193*VLOOKUP('Données projet'!$B$10,Paramètres!$A$1:$I$89,3,0)*0.475*44/12</f>
        <v>#VALUE!</v>
      </c>
      <c r="AW193" s="21" t="e">
        <f>EXP(-LN(2)/2)*AW192+(1-EXP(-LN(2)/2))/(LN(2)/2)*AQ193*AT193*VLOOKUP('Données projet'!$B$10,Paramètres!$A$1:$I$89,3,0)*0.475*44/12</f>
        <v>#VALUE!</v>
      </c>
      <c r="AX193" s="21" t="e">
        <f t="shared" si="166"/>
        <v>#VALUE!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215.55381529099924</v>
      </c>
      <c r="T194" s="59">
        <f t="shared" si="142"/>
        <v>158.77848520346532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 t="e">
        <f>EXP(-LN(2)/35)*Z193+(1-EXP(-LN(2)/35))/(LN(2)/35)*V194*W194*VLOOKUP('Données projet'!$B$9,Paramètres!$A$1:$I$89,3,0)*0.475*44/12</f>
        <v>#VALUE!</v>
      </c>
      <c r="AA194" s="21" t="e">
        <f>EXP(-LN(2)/25)*AA193+(1-EXP(-LN(2)/25))/(LN(2)/25)*Calculateur!V194*Calculateur!X194*VLOOKUP('Données projet'!$B$9,Paramètres!$A$1:$I$89,3,0)*0.475*44/12</f>
        <v>#VALUE!</v>
      </c>
      <c r="AB194" s="21" t="e">
        <f>EXP(-LN(2)/2)*AB193+(1-EXP(-LN(2)/2))/(LN(2)/2)*V194*Y194*VLOOKUP('Données projet'!$B$9,Paramètres!$A$1:$I$89,3,0)*0.475*44/12</f>
        <v>#VALUE!</v>
      </c>
      <c r="AC194" s="22" t="e">
        <f t="shared" si="163"/>
        <v>#VALUE!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1.064108801074326E-13</v>
      </c>
      <c r="AK194" s="13">
        <f t="shared" si="164"/>
        <v>1.5870730813698654E-12</v>
      </c>
      <c r="AL194" s="20">
        <f t="shared" si="165"/>
        <v>2.9494845662396269E-12</v>
      </c>
      <c r="AM194" s="59">
        <f t="shared" si="113"/>
        <v>293.33333333333627</v>
      </c>
      <c r="AN194" s="59">
        <f ca="1">AVERAGE(OFFSET($AM$3,0,0,'Données projet'!$E$10+1,1))-AVERAGE(OFFSET($H$3,0,0,'Données projet'!$E$10+1,1))</f>
        <v>205.31676282910638</v>
      </c>
      <c r="AO194" s="59">
        <f t="shared" si="144"/>
        <v>190.64998698136026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#VALUE!</v>
      </c>
      <c r="AV194" s="21" t="e">
        <f>EXP(-LN(2)/25)*AV193+(1-EXP(-LN(2)/25))/(LN(2)/25)*Calculateur!AQ194*Calculateur!AS194*VLOOKUP('Données projet'!$B$10,Paramètres!$A$1:$I$89,3,0)*0.475*44/12</f>
        <v>#VALUE!</v>
      </c>
      <c r="AW194" s="21" t="e">
        <f>EXP(-LN(2)/2)*AW193+(1-EXP(-LN(2)/2))/(LN(2)/2)*AQ194*AT194*VLOOKUP('Données projet'!$B$10,Paramètres!$A$1:$I$89,3,0)*0.475*44/12</f>
        <v>#VALUE!</v>
      </c>
      <c r="AX194" s="21" t="e">
        <f t="shared" si="166"/>
        <v>#VALUE!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215.55381529099924</v>
      </c>
      <c r="T195" s="59">
        <f t="shared" si="142"/>
        <v>158.77848520346532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 t="e">
        <f>EXP(-LN(2)/35)*Z194+(1-EXP(-LN(2)/35))/(LN(2)/35)*V195*W195*VLOOKUP('Données projet'!$B$9,Paramètres!$A$1:$I$89,3,0)*0.475*44/12</f>
        <v>#VALUE!</v>
      </c>
      <c r="AA195" s="21" t="e">
        <f>EXP(-LN(2)/25)*AA194+(1-EXP(-LN(2)/25))/(LN(2)/25)*Calculateur!V195*Calculateur!X195*VLOOKUP('Données projet'!$B$9,Paramètres!$A$1:$I$89,3,0)*0.475*44/12</f>
        <v>#VALUE!</v>
      </c>
      <c r="AB195" s="21" t="e">
        <f>EXP(-LN(2)/2)*AB194+(1-EXP(-LN(2)/2))/(LN(2)/2)*V195*Y195*VLOOKUP('Données projet'!$B$9,Paramètres!$A$1:$I$89,3,0)*0.475*44/12</f>
        <v>#VALUE!</v>
      </c>
      <c r="AC195" s="22" t="e">
        <f t="shared" si="163"/>
        <v>#VALUE!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1.064108801074326E-13</v>
      </c>
      <c r="AK195" s="13">
        <f t="shared" si="164"/>
        <v>1.5870730813698654E-12</v>
      </c>
      <c r="AL195" s="20">
        <f t="shared" si="165"/>
        <v>2.9494845662396269E-12</v>
      </c>
      <c r="AM195" s="59">
        <f t="shared" si="113"/>
        <v>293.33333333333627</v>
      </c>
      <c r="AN195" s="59">
        <f ca="1">AVERAGE(OFFSET($AM$3,0,0,'Données projet'!$E$10+1,1))-AVERAGE(OFFSET($H$3,0,0,'Données projet'!$E$10+1,1))</f>
        <v>205.31676282910638</v>
      </c>
      <c r="AO195" s="59">
        <f t="shared" si="144"/>
        <v>190.64998698136026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#VALUE!</v>
      </c>
      <c r="AV195" s="21" t="e">
        <f>EXP(-LN(2)/25)*AV194+(1-EXP(-LN(2)/25))/(LN(2)/25)*Calculateur!AQ195*Calculateur!AS195*VLOOKUP('Données projet'!$B$10,Paramètres!$A$1:$I$89,3,0)*0.475*44/12</f>
        <v>#VALUE!</v>
      </c>
      <c r="AW195" s="21" t="e">
        <f>EXP(-LN(2)/2)*AW194+(1-EXP(-LN(2)/2))/(LN(2)/2)*AQ195*AT195*VLOOKUP('Données projet'!$B$10,Paramètres!$A$1:$I$89,3,0)*0.475*44/12</f>
        <v>#VALUE!</v>
      </c>
      <c r="AX195" s="21" t="e">
        <f t="shared" si="166"/>
        <v>#VALUE!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215.55381529099924</v>
      </c>
      <c r="T196" s="59">
        <f t="shared" si="142"/>
        <v>158.77848520346532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 t="e">
        <f>EXP(-LN(2)/35)*Z195+(1-EXP(-LN(2)/35))/(LN(2)/35)*V196*W196*VLOOKUP('Données projet'!$B$9,Paramètres!$A$1:$I$89,3,0)*0.475*44/12</f>
        <v>#VALUE!</v>
      </c>
      <c r="AA196" s="21" t="e">
        <f>EXP(-LN(2)/25)*AA195+(1-EXP(-LN(2)/25))/(LN(2)/25)*Calculateur!V196*Calculateur!X196*VLOOKUP('Données projet'!$B$9,Paramètres!$A$1:$I$89,3,0)*0.475*44/12</f>
        <v>#VALUE!</v>
      </c>
      <c r="AB196" s="21" t="e">
        <f>EXP(-LN(2)/2)*AB195+(1-EXP(-LN(2)/2))/(LN(2)/2)*V196*Y196*VLOOKUP('Données projet'!$B$9,Paramètres!$A$1:$I$89,3,0)*0.475*44/12</f>
        <v>#VALUE!</v>
      </c>
      <c r="AC196" s="22" t="e">
        <f t="shared" si="163"/>
        <v>#VALUE!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1.064108801074326E-13</v>
      </c>
      <c r="AK196" s="13">
        <f t="shared" si="164"/>
        <v>1.5870730813698654E-12</v>
      </c>
      <c r="AL196" s="20">
        <f t="shared" si="165"/>
        <v>2.9494845662396269E-12</v>
      </c>
      <c r="AM196" s="59">
        <f t="shared" ref="AM196:AM203" si="193">AL196+(AD196+AE196)*44/12</f>
        <v>293.33333333333627</v>
      </c>
      <c r="AN196" s="59">
        <f ca="1">AVERAGE(OFFSET($AM$3,0,0,'Données projet'!$E$10+1,1))-AVERAGE(OFFSET($H$3,0,0,'Données projet'!$E$10+1,1))</f>
        <v>205.31676282910638</v>
      </c>
      <c r="AO196" s="59">
        <f t="shared" si="144"/>
        <v>190.64998698136026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#VALUE!</v>
      </c>
      <c r="AV196" s="21" t="e">
        <f>EXP(-LN(2)/25)*AV195+(1-EXP(-LN(2)/25))/(LN(2)/25)*Calculateur!AQ196*Calculateur!AS196*VLOOKUP('Données projet'!$B$10,Paramètres!$A$1:$I$89,3,0)*0.475*44/12</f>
        <v>#VALUE!</v>
      </c>
      <c r="AW196" s="21" t="e">
        <f>EXP(-LN(2)/2)*AW195+(1-EXP(-LN(2)/2))/(LN(2)/2)*AQ196*AT196*VLOOKUP('Données projet'!$B$10,Paramètres!$A$1:$I$89,3,0)*0.475*44/12</f>
        <v>#VALUE!</v>
      </c>
      <c r="AX196" s="21" t="e">
        <f t="shared" si="166"/>
        <v>#VALUE!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215.55381529099924</v>
      </c>
      <c r="T197" s="59">
        <f t="shared" ref="T197:T203" si="204">$T$3</f>
        <v>158.77848520346532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 t="e">
        <f>EXP(-LN(2)/35)*Z196+(1-EXP(-LN(2)/35))/(LN(2)/35)*V197*W197*VLOOKUP('Données projet'!$B$9,Paramètres!$A$1:$I$89,3,0)*0.475*44/12</f>
        <v>#VALUE!</v>
      </c>
      <c r="AA197" s="21" t="e">
        <f>EXP(-LN(2)/25)*AA196+(1-EXP(-LN(2)/25))/(LN(2)/25)*Calculateur!V197*Calculateur!X197*VLOOKUP('Données projet'!$B$9,Paramètres!$A$1:$I$89,3,0)*0.475*44/12</f>
        <v>#VALUE!</v>
      </c>
      <c r="AB197" s="21" t="e">
        <f>EXP(-LN(2)/2)*AB196+(1-EXP(-LN(2)/2))/(LN(2)/2)*V197*Y197*VLOOKUP('Données projet'!$B$9,Paramètres!$A$1:$I$89,3,0)*0.475*44/12</f>
        <v>#VALUE!</v>
      </c>
      <c r="AC197" s="22" t="e">
        <f t="shared" si="163"/>
        <v>#VALUE!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1.064108801074326E-13</v>
      </c>
      <c r="AK197" s="13">
        <f t="shared" si="164"/>
        <v>1.5870730813698654E-12</v>
      </c>
      <c r="AL197" s="20">
        <f t="shared" si="165"/>
        <v>2.9494845662396269E-12</v>
      </c>
      <c r="AM197" s="59">
        <f t="shared" si="193"/>
        <v>293.33333333333627</v>
      </c>
      <c r="AN197" s="59">
        <f ca="1">AVERAGE(OFFSET($AM$3,0,0,'Données projet'!$E$10+1,1))-AVERAGE(OFFSET($H$3,0,0,'Données projet'!$E$10+1,1))</f>
        <v>205.31676282910638</v>
      </c>
      <c r="AO197" s="59">
        <f t="shared" ref="AO197:AO203" si="205">$AO$3</f>
        <v>190.64998698136026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#VALUE!</v>
      </c>
      <c r="AV197" s="21" t="e">
        <f>EXP(-LN(2)/25)*AV196+(1-EXP(-LN(2)/25))/(LN(2)/25)*Calculateur!AQ197*Calculateur!AS197*VLOOKUP('Données projet'!$B$10,Paramètres!$A$1:$I$89,3,0)*0.475*44/12</f>
        <v>#VALUE!</v>
      </c>
      <c r="AW197" s="21" t="e">
        <f>EXP(-LN(2)/2)*AW196+(1-EXP(-LN(2)/2))/(LN(2)/2)*AQ197*AT197*VLOOKUP('Données projet'!$B$10,Paramètres!$A$1:$I$89,3,0)*0.475*44/12</f>
        <v>#VALUE!</v>
      </c>
      <c r="AX197" s="21" t="e">
        <f t="shared" si="166"/>
        <v>#VALUE!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215.55381529099924</v>
      </c>
      <c r="T198" s="59">
        <f t="shared" si="204"/>
        <v>158.77848520346532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 t="e">
        <f>EXP(-LN(2)/35)*Z197+(1-EXP(-LN(2)/35))/(LN(2)/35)*V198*W198*VLOOKUP('Données projet'!$B$9,Paramètres!$A$1:$I$89,3,0)*0.475*44/12</f>
        <v>#VALUE!</v>
      </c>
      <c r="AA198" s="21" t="e">
        <f>EXP(-LN(2)/25)*AA197+(1-EXP(-LN(2)/25))/(LN(2)/25)*Calculateur!V198*Calculateur!X198*VLOOKUP('Données projet'!$B$9,Paramètres!$A$1:$I$89,3,0)*0.475*44/12</f>
        <v>#VALUE!</v>
      </c>
      <c r="AB198" s="21" t="e">
        <f>EXP(-LN(2)/2)*AB197+(1-EXP(-LN(2)/2))/(LN(2)/2)*V198*Y198*VLOOKUP('Données projet'!$B$9,Paramètres!$A$1:$I$89,3,0)*0.475*44/12</f>
        <v>#VALUE!</v>
      </c>
      <c r="AC198" s="22" t="e">
        <f t="shared" si="163"/>
        <v>#VALUE!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1.064108801074326E-13</v>
      </c>
      <c r="AK198" s="13">
        <f t="shared" si="164"/>
        <v>1.5870730813698654E-12</v>
      </c>
      <c r="AL198" s="20">
        <f t="shared" si="165"/>
        <v>2.9494845662396269E-12</v>
      </c>
      <c r="AM198" s="59">
        <f t="shared" si="193"/>
        <v>293.33333333333627</v>
      </c>
      <c r="AN198" s="59">
        <f ca="1">AVERAGE(OFFSET($AM$3,0,0,'Données projet'!$E$10+1,1))-AVERAGE(OFFSET($H$3,0,0,'Données projet'!$E$10+1,1))</f>
        <v>205.31676282910638</v>
      </c>
      <c r="AO198" s="59">
        <f t="shared" si="205"/>
        <v>190.64998698136026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#VALUE!</v>
      </c>
      <c r="AV198" s="21" t="e">
        <f>EXP(-LN(2)/25)*AV197+(1-EXP(-LN(2)/25))/(LN(2)/25)*Calculateur!AQ198*Calculateur!AS198*VLOOKUP('Données projet'!$B$10,Paramètres!$A$1:$I$89,3,0)*0.475*44/12</f>
        <v>#VALUE!</v>
      </c>
      <c r="AW198" s="21" t="e">
        <f>EXP(-LN(2)/2)*AW197+(1-EXP(-LN(2)/2))/(LN(2)/2)*AQ198*AT198*VLOOKUP('Données projet'!$B$10,Paramètres!$A$1:$I$89,3,0)*0.475*44/12</f>
        <v>#VALUE!</v>
      </c>
      <c r="AX198" s="21" t="e">
        <f t="shared" si="166"/>
        <v>#VALUE!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215.55381529099924</v>
      </c>
      <c r="T199" s="59">
        <f t="shared" si="204"/>
        <v>158.77848520346532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 t="e">
        <f>EXP(-LN(2)/35)*Z198+(1-EXP(-LN(2)/35))/(LN(2)/35)*V199*W199*VLOOKUP('Données projet'!$B$9,Paramètres!$A$1:$I$89,3,0)*0.475*44/12</f>
        <v>#VALUE!</v>
      </c>
      <c r="AA199" s="21" t="e">
        <f>EXP(-LN(2)/25)*AA198+(1-EXP(-LN(2)/25))/(LN(2)/25)*Calculateur!V199*Calculateur!X199*VLOOKUP('Données projet'!$B$9,Paramètres!$A$1:$I$89,3,0)*0.475*44/12</f>
        <v>#VALUE!</v>
      </c>
      <c r="AB199" s="21" t="e">
        <f>EXP(-LN(2)/2)*AB198+(1-EXP(-LN(2)/2))/(LN(2)/2)*V199*Y199*VLOOKUP('Données projet'!$B$9,Paramètres!$A$1:$I$89,3,0)*0.475*44/12</f>
        <v>#VALUE!</v>
      </c>
      <c r="AC199" s="22" t="e">
        <f t="shared" si="163"/>
        <v>#VALUE!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1.064108801074326E-13</v>
      </c>
      <c r="AK199" s="13">
        <f t="shared" si="164"/>
        <v>1.5870730813698654E-12</v>
      </c>
      <c r="AL199" s="20">
        <f t="shared" si="165"/>
        <v>2.9494845662396269E-12</v>
      </c>
      <c r="AM199" s="59">
        <f t="shared" si="193"/>
        <v>293.33333333333627</v>
      </c>
      <c r="AN199" s="59">
        <f ca="1">AVERAGE(OFFSET($AM$3,0,0,'Données projet'!$E$10+1,1))-AVERAGE(OFFSET($H$3,0,0,'Données projet'!$E$10+1,1))</f>
        <v>205.31676282910638</v>
      </c>
      <c r="AO199" s="59">
        <f t="shared" si="205"/>
        <v>190.64998698136026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#VALUE!</v>
      </c>
      <c r="AV199" s="21" t="e">
        <f>EXP(-LN(2)/25)*AV198+(1-EXP(-LN(2)/25))/(LN(2)/25)*Calculateur!AQ199*Calculateur!AS199*VLOOKUP('Données projet'!$B$10,Paramètres!$A$1:$I$89,3,0)*0.475*44/12</f>
        <v>#VALUE!</v>
      </c>
      <c r="AW199" s="21" t="e">
        <f>EXP(-LN(2)/2)*AW198+(1-EXP(-LN(2)/2))/(LN(2)/2)*AQ199*AT199*VLOOKUP('Données projet'!$B$10,Paramètres!$A$1:$I$89,3,0)*0.475*44/12</f>
        <v>#VALUE!</v>
      </c>
      <c r="AX199" s="21" t="e">
        <f t="shared" si="166"/>
        <v>#VALUE!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215.55381529099924</v>
      </c>
      <c r="T200" s="59">
        <f t="shared" si="204"/>
        <v>158.77848520346532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 t="e">
        <f>EXP(-LN(2)/35)*Z199+(1-EXP(-LN(2)/35))/(LN(2)/35)*V200*W200*VLOOKUP('Données projet'!$B$9,Paramètres!$A$1:$I$89,3,0)*0.475*44/12</f>
        <v>#VALUE!</v>
      </c>
      <c r="AA200" s="21" t="e">
        <f>EXP(-LN(2)/25)*AA199+(1-EXP(-LN(2)/25))/(LN(2)/25)*Calculateur!V200*Calculateur!X200*VLOOKUP('Données projet'!$B$9,Paramètres!$A$1:$I$89,3,0)*0.475*44/12</f>
        <v>#VALUE!</v>
      </c>
      <c r="AB200" s="21" t="e">
        <f>EXP(-LN(2)/2)*AB199+(1-EXP(-LN(2)/2))/(LN(2)/2)*V200*Y200*VLOOKUP('Données projet'!$B$9,Paramètres!$A$1:$I$89,3,0)*0.475*44/12</f>
        <v>#VALUE!</v>
      </c>
      <c r="AC200" s="22" t="e">
        <f t="shared" si="163"/>
        <v>#VALUE!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1.064108801074326E-13</v>
      </c>
      <c r="AK200" s="13">
        <f t="shared" si="164"/>
        <v>1.5870730813698654E-12</v>
      </c>
      <c r="AL200" s="20">
        <f t="shared" si="165"/>
        <v>2.9494845662396269E-12</v>
      </c>
      <c r="AM200" s="59">
        <f t="shared" si="193"/>
        <v>293.33333333333627</v>
      </c>
      <c r="AN200" s="59">
        <f ca="1">AVERAGE(OFFSET($AM$3,0,0,'Données projet'!$E$10+1,1))-AVERAGE(OFFSET($H$3,0,0,'Données projet'!$E$10+1,1))</f>
        <v>205.31676282910638</v>
      </c>
      <c r="AO200" s="59">
        <f t="shared" si="205"/>
        <v>190.64998698136026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#VALUE!</v>
      </c>
      <c r="AV200" s="21" t="e">
        <f>EXP(-LN(2)/25)*AV199+(1-EXP(-LN(2)/25))/(LN(2)/25)*Calculateur!AQ200*Calculateur!AS200*VLOOKUP('Données projet'!$B$10,Paramètres!$A$1:$I$89,3,0)*0.475*44/12</f>
        <v>#VALUE!</v>
      </c>
      <c r="AW200" s="21" t="e">
        <f>EXP(-LN(2)/2)*AW199+(1-EXP(-LN(2)/2))/(LN(2)/2)*AQ200*AT200*VLOOKUP('Données projet'!$B$10,Paramètres!$A$1:$I$89,3,0)*0.475*44/12</f>
        <v>#VALUE!</v>
      </c>
      <c r="AX200" s="21" t="e">
        <f t="shared" si="166"/>
        <v>#VALUE!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215.55381529099924</v>
      </c>
      <c r="T201" s="59">
        <f t="shared" si="204"/>
        <v>158.77848520346532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 t="e">
        <f>EXP(-LN(2)/35)*Z200+(1-EXP(-LN(2)/35))/(LN(2)/35)*V201*W201*VLOOKUP('Données projet'!$B$9,Paramètres!$A$1:$I$89,3,0)*0.475*44/12</f>
        <v>#VALUE!</v>
      </c>
      <c r="AA201" s="21" t="e">
        <f>EXP(-LN(2)/25)*AA200+(1-EXP(-LN(2)/25))/(LN(2)/25)*Calculateur!V201*Calculateur!X201*VLOOKUP('Données projet'!$B$9,Paramètres!$A$1:$I$89,3,0)*0.475*44/12</f>
        <v>#VALUE!</v>
      </c>
      <c r="AB201" s="21" t="e">
        <f>EXP(-LN(2)/2)*AB200+(1-EXP(-LN(2)/2))/(LN(2)/2)*V201*Y201*VLOOKUP('Données projet'!$B$9,Paramètres!$A$1:$I$89,3,0)*0.475*44/12</f>
        <v>#VALUE!</v>
      </c>
      <c r="AC201" s="22" t="e">
        <f t="shared" si="163"/>
        <v>#VALUE!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1.064108801074326E-13</v>
      </c>
      <c r="AK201" s="13">
        <f t="shared" si="164"/>
        <v>1.5870730813698654E-12</v>
      </c>
      <c r="AL201" s="20">
        <f t="shared" si="165"/>
        <v>2.9494845662396269E-12</v>
      </c>
      <c r="AM201" s="59">
        <f t="shared" si="193"/>
        <v>293.33333333333627</v>
      </c>
      <c r="AN201" s="59">
        <f ca="1">AVERAGE(OFFSET($AM$3,0,0,'Données projet'!$E$10+1,1))-AVERAGE(OFFSET($H$3,0,0,'Données projet'!$E$10+1,1))</f>
        <v>205.31676282910638</v>
      </c>
      <c r="AO201" s="59">
        <f t="shared" si="205"/>
        <v>190.64998698136026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#VALUE!</v>
      </c>
      <c r="AV201" s="21" t="e">
        <f>EXP(-LN(2)/25)*AV200+(1-EXP(-LN(2)/25))/(LN(2)/25)*Calculateur!AQ201*Calculateur!AS201*VLOOKUP('Données projet'!$B$10,Paramètres!$A$1:$I$89,3,0)*0.475*44/12</f>
        <v>#VALUE!</v>
      </c>
      <c r="AW201" s="21" t="e">
        <f>EXP(-LN(2)/2)*AW200+(1-EXP(-LN(2)/2))/(LN(2)/2)*AQ201*AT201*VLOOKUP('Données projet'!$B$10,Paramètres!$A$1:$I$89,3,0)*0.475*44/12</f>
        <v>#VALUE!</v>
      </c>
      <c r="AX201" s="21" t="e">
        <f t="shared" si="166"/>
        <v>#VALUE!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215.55381529099924</v>
      </c>
      <c r="T202" s="59">
        <f t="shared" si="204"/>
        <v>158.77848520346532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 t="e">
        <f>EXP(-LN(2)/35)*Z201+(1-EXP(-LN(2)/35))/(LN(2)/35)*V202*W202*VLOOKUP('Données projet'!$B$9,Paramètres!$A$1:$I$89,3,0)*0.475*44/12</f>
        <v>#VALUE!</v>
      </c>
      <c r="AA202" s="21" t="e">
        <f>EXP(-LN(2)/25)*AA201+(1-EXP(-LN(2)/25))/(LN(2)/25)*Calculateur!V202*Calculateur!X202*VLOOKUP('Données projet'!$B$9,Paramètres!$A$1:$I$89,3,0)*0.475*44/12</f>
        <v>#VALUE!</v>
      </c>
      <c r="AB202" s="21" t="e">
        <f>EXP(-LN(2)/2)*AB201+(1-EXP(-LN(2)/2))/(LN(2)/2)*V202*Y202*VLOOKUP('Données projet'!$B$9,Paramètres!$A$1:$I$89,3,0)*0.475*44/12</f>
        <v>#VALUE!</v>
      </c>
      <c r="AC202" s="22" t="e">
        <f t="shared" si="163"/>
        <v>#VALUE!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1.064108801074326E-13</v>
      </c>
      <c r="AK202" s="13">
        <f t="shared" si="164"/>
        <v>1.5870730813698654E-12</v>
      </c>
      <c r="AL202" s="20">
        <f t="shared" si="165"/>
        <v>2.9494845662396269E-12</v>
      </c>
      <c r="AM202" s="59">
        <f t="shared" si="193"/>
        <v>293.33333333333627</v>
      </c>
      <c r="AN202" s="59">
        <f ca="1">AVERAGE(OFFSET($AM$3,0,0,'Données projet'!$E$10+1,1))-AVERAGE(OFFSET($H$3,0,0,'Données projet'!$E$10+1,1))</f>
        <v>205.31676282910638</v>
      </c>
      <c r="AO202" s="59">
        <f t="shared" si="205"/>
        <v>190.64998698136026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#VALUE!</v>
      </c>
      <c r="AV202" s="21" t="e">
        <f>EXP(-LN(2)/25)*AV201+(1-EXP(-LN(2)/25))/(LN(2)/25)*Calculateur!AQ202*Calculateur!AS202*VLOOKUP('Données projet'!$B$10,Paramètres!$A$1:$I$89,3,0)*0.475*44/12</f>
        <v>#VALUE!</v>
      </c>
      <c r="AW202" s="21" t="e">
        <f>EXP(-LN(2)/2)*AW201+(1-EXP(-LN(2)/2))/(LN(2)/2)*AQ202*AT202*VLOOKUP('Données projet'!$B$10,Paramètres!$A$1:$I$89,3,0)*0.475*44/12</f>
        <v>#VALUE!</v>
      </c>
      <c r="AX202" s="21" t="e">
        <f t="shared" si="166"/>
        <v>#VALUE!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215.55381529099924</v>
      </c>
      <c r="T203" s="59">
        <f t="shared" si="204"/>
        <v>158.77848520346532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 t="e">
        <f>EXP(-LN(2)/35)*Z202+(1-EXP(-LN(2)/35))/(LN(2)/35)*V203*W203*VLOOKUP('Données projet'!$B$9,Paramètres!$A$1:$I$89,3,0)*0.475*44/12</f>
        <v>#VALUE!</v>
      </c>
      <c r="AA203" s="21" t="e">
        <f>EXP(-LN(2)/25)*AA202+(1-EXP(-LN(2)/25))/(LN(2)/25)*Calculateur!V203*Calculateur!X203*VLOOKUP('Données projet'!$B$9,Paramètres!$A$1:$I$89,3,0)*0.475*44/12</f>
        <v>#VALUE!</v>
      </c>
      <c r="AB203" s="21" t="e">
        <f>EXP(-LN(2)/2)*AB202+(1-EXP(-LN(2)/2))/(LN(2)/2)*V203*Y203*VLOOKUP('Données projet'!$B$9,Paramètres!$A$1:$I$89,3,0)*0.475*44/12</f>
        <v>#VALUE!</v>
      </c>
      <c r="AC203" s="22" t="e">
        <f t="shared" si="163"/>
        <v>#VALUE!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1.064108801074326E-13</v>
      </c>
      <c r="AK203" s="13">
        <f t="shared" si="164"/>
        <v>1.5870730813698654E-12</v>
      </c>
      <c r="AL203" s="20">
        <f t="shared" si="165"/>
        <v>2.9494845662396269E-12</v>
      </c>
      <c r="AM203" s="59">
        <f t="shared" si="193"/>
        <v>293.33333333333627</v>
      </c>
      <c r="AN203" s="59">
        <f ca="1">AVERAGE(OFFSET($AM$3,0,0,'Données projet'!$E$10+1,1))-AVERAGE(OFFSET($H$3,0,0,'Données projet'!$E$10+1,1))</f>
        <v>205.31676282910638</v>
      </c>
      <c r="AO203" s="59">
        <f t="shared" si="205"/>
        <v>190.64998698136026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#VALUE!</v>
      </c>
      <c r="AV203" s="21" t="e">
        <f>EXP(-LN(2)/25)*AV202+(1-EXP(-LN(2)/25))/(LN(2)/25)*Calculateur!AQ203*Calculateur!AS203*VLOOKUP('Données projet'!$B$10,Paramètres!$A$1:$I$89,3,0)*0.475*44/12</f>
        <v>#VALUE!</v>
      </c>
      <c r="AW203" s="21" t="e">
        <f>EXP(-LN(2)/2)*AW202+(1-EXP(-LN(2)/2))/(LN(2)/2)*AQ203*AT203*VLOOKUP('Données projet'!$B$10,Paramètres!$A$1:$I$89,3,0)*0.475*44/12</f>
        <v>#VALUE!</v>
      </c>
      <c r="AX203" s="21" t="e">
        <f t="shared" si="166"/>
        <v>#VALUE!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1.2691631451226497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1.1963772029987372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laricio</v>
      </c>
      <c r="B6" s="146">
        <f>'Données projet'!D9</f>
        <v>3.7379999999999995</v>
      </c>
      <c r="C6" s="147">
        <f ca="1">IF(OR('Données projet'!B9="",'Données projet'!C9="",'Données projet'!C9=0%),0,Calculateur!S3)</f>
        <v>215.55381529099924</v>
      </c>
      <c r="D6" s="147">
        <f>IF(OR('Données projet'!B9="",'Données projet'!C9="",'Données projet'!C9=0%),0,Calculateur!T3)</f>
        <v>158.77848520346532</v>
      </c>
      <c r="E6" s="147">
        <f ca="1">MIN(C6,D6)</f>
        <v>158.77848520346532</v>
      </c>
      <c r="F6" s="147">
        <f ca="1">E6*B6</f>
        <v>593.51397769055325</v>
      </c>
      <c r="G6" s="147">
        <f ca="1">F6*(100%-'Données projet'!$C$24)*(100%-'Données projet'!$C$25)*(100%-'Données projet'!$C$26)*(100%-'Données projet'!$C$27)</f>
        <v>534.16257992149792</v>
      </c>
      <c r="H6" s="148">
        <f>IF(OR('Données projet'!B9="",'Données projet'!C9="",'Données projet'!C9=0%),0,AVERAGE(Calculateur!$AC$3:$AC$33)*B6)</f>
        <v>11.064168614282336</v>
      </c>
      <c r="I6" s="149">
        <f>H6*(100%-'Données projet'!$C$24)*(100%-'Données projet'!$C$25)*(100%-'Données projet'!$C$26)*(100%-'Données projet'!$C$27)</f>
        <v>9.9577517528541026</v>
      </c>
      <c r="J6" s="150">
        <f>IF(OR('Données projet'!B9="",'Données projet'!C9="",'Données projet'!C9=0%),0,SUM(Calculateur!$V$3:$V$33)*VLOOKUP('Données projet'!$B$9,Paramètres!$A$1:$I$89,9,0)*B6)</f>
        <v>140.46915184615381</v>
      </c>
      <c r="K6" s="151">
        <f>J6*(100%-'Données projet'!$C$24)*(100%-'Données projet'!$C$25)*(100%-'Données projet'!$C$26)*(100%-'Données projet'!$C$27)</f>
        <v>126.42223666153843</v>
      </c>
      <c r="L6" s="152">
        <f ca="1">G6+I6+K6</f>
        <v>670.54256833589045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Cèdre de l'Atlas</v>
      </c>
      <c r="B7" s="154">
        <f>'Données projet'!D10</f>
        <v>1.6019999999999999</v>
      </c>
      <c r="C7" s="147">
        <f ca="1">IF(OR('Données projet'!B10="",'Données projet'!C10="",'Données projet'!C10=0%),0,Calculateur!AN3)</f>
        <v>205.31676282910638</v>
      </c>
      <c r="D7" s="147">
        <f>IF(OR('Données projet'!B10="",'Données projet'!C10="",'Données projet'!C10=0%),0,Calculateur!AO3)</f>
        <v>190.64998698136026</v>
      </c>
      <c r="E7" s="147">
        <f t="shared" ref="E7:E15" ca="1" si="0">MIN(C7,D7)</f>
        <v>190.64998698136026</v>
      </c>
      <c r="F7" s="147">
        <f t="shared" ref="F7:F15" ca="1" si="1">E7*B7</f>
        <v>305.42127914413913</v>
      </c>
      <c r="G7" s="147">
        <f ca="1">F7*(100%-'Données projet'!$C$24)*(100%-'Données projet'!$C$25)*(100%-'Données projet'!$C$26)*(100%-'Données projet'!$C$27)</f>
        <v>274.87915122972521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274.87915122972521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898.93525683469238</v>
      </c>
      <c r="G16" s="166">
        <f t="shared" ca="1" si="3"/>
        <v>809.04173115122308</v>
      </c>
      <c r="H16" s="167">
        <f t="shared" si="3"/>
        <v>11.064168614282336</v>
      </c>
      <c r="I16" s="167">
        <f t="shared" si="3"/>
        <v>9.9577517528541026</v>
      </c>
      <c r="J16" s="168">
        <f t="shared" si="3"/>
        <v>140.46915184615381</v>
      </c>
      <c r="K16" s="168">
        <f t="shared" si="3"/>
        <v>126.42223666153843</v>
      </c>
      <c r="L16" s="169">
        <f t="shared" ca="1" si="3"/>
        <v>945.4217195656156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" zoomScale="80" zoomScaleNormal="80" workbookViewId="0">
      <selection activeCell="J24" sqref="J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-20980.819244641225</v>
      </c>
      <c r="U10" s="178">
        <f>'Données projet'!D9</f>
        <v>3.7379999999999995</v>
      </c>
      <c r="V10" s="177">
        <f>U10*T10</f>
        <v>-78426.302336468885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-23660.503041981341</v>
      </c>
      <c r="U11" s="178">
        <f>'Données projet'!D10</f>
        <v>1.6019999999999999</v>
      </c>
      <c r="V11" s="177">
        <f t="shared" ref="V11" si="0">U11*T11</f>
        <v>-37904.125873254103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7843.3160749063672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80.000000000000156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>
        <v>2355.2606741573036</v>
      </c>
      <c r="F18" s="230"/>
      <c r="G18" s="289"/>
      <c r="J18" s="202"/>
      <c r="K18" s="208"/>
      <c r="L18" s="259" t="s">
        <v>255</v>
      </c>
      <c r="M18" s="261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>
        <v>3257.3348314606746</v>
      </c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800.00000000000159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>
        <v>3436.9664794007494</v>
      </c>
      <c r="F20" s="230"/>
      <c r="G20" s="289"/>
      <c r="H20" s="190">
        <v>2026</v>
      </c>
      <c r="I20" s="191">
        <v>4867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>
        <v>3601.9355805243454</v>
      </c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>
        <v>2328.5908239700375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15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-116330.42820972299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22</v>
      </c>
      <c r="B24" s="181">
        <f>'Données projet'!D37</f>
        <v>52.746153846153838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126.27809111648456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27</v>
      </c>
      <c r="B25" s="181">
        <f>'Données projet'!D38</f>
        <v>34.646153846153844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-116456.70630083948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33</v>
      </c>
      <c r="B27" s="181">
        <f>'Données projet'!D40</f>
        <v>43.007692307692302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41</v>
      </c>
      <c r="B28" s="181">
        <f>'Données projet'!D41</f>
        <v>58.484615384615381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55.292307692307688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60</v>
      </c>
      <c r="B30" s="181">
        <f>'Données projet'!D43</f>
        <v>54.261538461538464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70</v>
      </c>
      <c r="B31" s="181">
        <f>'Données projet'!D44</f>
        <v>52.669230769230765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78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80</v>
      </c>
      <c r="B33" s="181">
        <f>'Données projet'!D46</f>
        <v>402.90769230769229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10523.223093774292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>
        <v>2355.2606741573036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>
        <v>3257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>
        <v>3437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>
        <v>3602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>
        <v>2328.5908239700375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36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42</v>
      </c>
      <c r="B56" s="181">
        <f>'Données projet'!D64</f>
        <v>179.84615384615384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46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49</v>
      </c>
      <c r="B58" s="181">
        <f>'Données projet'!D66</f>
        <v>94.476923076923072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53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56</v>
      </c>
      <c r="B60" s="181">
        <f>'Données projet'!D68</f>
        <v>72.769230769230759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60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63</v>
      </c>
      <c r="B62" s="181">
        <f>'Données projet'!D70</f>
        <v>71.123076923076923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67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71</v>
      </c>
      <c r="B64" s="181">
        <f>'Données projet'!D72</f>
        <v>80.399999999999991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75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79</v>
      </c>
      <c r="B66" s="181">
        <f>'Données projet'!D74</f>
        <v>77.338461538461544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83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87</v>
      </c>
      <c r="B68" s="181">
        <f>'Données projet'!D76</f>
        <v>77.330769230769235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91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95</v>
      </c>
      <c r="B70" s="181">
        <f>'Données projet'!D78</f>
        <v>234.42307692307691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100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105</v>
      </c>
      <c r="B72" s="181">
        <f>'Données projet'!D80</f>
        <v>309.71538461538461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FOUCAUD Lilian</cp:lastModifiedBy>
  <dcterms:created xsi:type="dcterms:W3CDTF">2021-02-01T08:22:39Z</dcterms:created>
  <dcterms:modified xsi:type="dcterms:W3CDTF">2025-09-26T10:29:59Z</dcterms:modified>
</cp:coreProperties>
</file>