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vogroup.sharepoint.com/sites/Carbon_Co_Arbo_hors_CDA/Documents partages/General/Dossier_labellisation_2023/Carbon&amp;Co Occitanie n°1/Genevieve DAVID/2022/"/>
    </mc:Choice>
  </mc:AlternateContent>
  <xr:revisionPtr revIDLastSave="9" documentId="13_ncr:1_{2152CD95-3883-4380-B7BB-C2D269D957B5}" xr6:coauthVersionLast="47" xr6:coauthVersionMax="47" xr10:uidLastSave="{4BF22203-CFB3-457C-BE4E-34A3BB7AD96F}"/>
  <bookViews>
    <workbookView xWindow="-108" yWindow="-108" windowWidth="23256" windowHeight="1257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G137" i="5"/>
  <c r="F137" i="5"/>
  <c r="G136" i="5"/>
  <c r="F136" i="5"/>
  <c r="G135" i="5"/>
  <c r="F135" i="5"/>
  <c r="G126" i="5"/>
  <c r="F126" i="5"/>
  <c r="G125" i="5"/>
  <c r="F125" i="5"/>
  <c r="G124" i="5"/>
  <c r="F124" i="5"/>
  <c r="G123" i="5"/>
  <c r="F123" i="5"/>
  <c r="G121" i="5"/>
  <c r="F121" i="5"/>
  <c r="G117" i="5"/>
  <c r="F117" i="5"/>
  <c r="G115" i="5"/>
  <c r="F115" i="5"/>
  <c r="G109" i="5"/>
  <c r="F109" i="5"/>
  <c r="G108" i="5"/>
  <c r="F108" i="5"/>
  <c r="G99" i="5"/>
  <c r="F99" i="5"/>
  <c r="G98" i="5"/>
  <c r="F98" i="5"/>
  <c r="G97" i="5"/>
  <c r="F97" i="5"/>
  <c r="G96" i="5"/>
  <c r="F96" i="5"/>
  <c r="G94" i="5"/>
  <c r="F94" i="5"/>
  <c r="G90" i="5"/>
  <c r="F90" i="5"/>
  <c r="G88" i="5"/>
  <c r="F88" i="5"/>
  <c r="G83" i="5"/>
  <c r="F83" i="5"/>
  <c r="G82" i="5"/>
  <c r="F82" i="5"/>
  <c r="G81" i="5"/>
  <c r="F81" i="5"/>
  <c r="G72" i="5"/>
  <c r="F72" i="5"/>
  <c r="G71" i="5"/>
  <c r="F71" i="5"/>
  <c r="G70" i="5"/>
  <c r="F70" i="5"/>
  <c r="G69" i="5"/>
  <c r="F69" i="5"/>
  <c r="G67" i="5"/>
  <c r="F67" i="5"/>
  <c r="G63" i="5"/>
  <c r="F63" i="5"/>
  <c r="G61" i="5"/>
  <c r="F61" i="5"/>
  <c r="G56" i="5"/>
  <c r="F56" i="5"/>
  <c r="G55" i="5"/>
  <c r="F55" i="5"/>
  <c r="G54" i="5"/>
  <c r="F54" i="5"/>
  <c r="G45" i="5"/>
  <c r="F45" i="5"/>
  <c r="G44" i="5"/>
  <c r="F44" i="5"/>
  <c r="G43" i="5"/>
  <c r="F43" i="5"/>
  <c r="G42" i="5"/>
  <c r="F42" i="5"/>
  <c r="G40" i="5"/>
  <c r="F40" i="5"/>
  <c r="G11" i="2"/>
  <c r="F11" i="2"/>
  <c r="E11" i="2"/>
  <c r="D11" i="2"/>
  <c r="C11" i="2"/>
  <c r="B11" i="2"/>
  <c r="L22" i="2" l="1"/>
  <c r="B172" i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M22" i="2" s="1"/>
  <c r="I25" i="9" l="1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J86" i="5"/>
  <c r="G59" i="5"/>
  <c r="F86" i="5"/>
  <c r="K140" i="5"/>
  <c r="K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G25" i="9" l="1"/>
  <c r="F25" i="9"/>
  <c r="H25" i="9"/>
  <c r="D25" i="9"/>
  <c r="E25" i="9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73" i="5" l="1"/>
  <c r="D76" i="5" s="1"/>
  <c r="D87" i="5" s="1"/>
  <c r="E73" i="5"/>
  <c r="E76" i="5" s="1"/>
  <c r="E87" i="5" s="1"/>
  <c r="D100" i="5"/>
  <c r="D103" i="5" s="1"/>
  <c r="D114" i="5" s="1"/>
  <c r="F73" i="5"/>
  <c r="F76" i="5" s="1"/>
  <c r="F87" i="5" s="1"/>
  <c r="D127" i="5"/>
  <c r="D130" i="5" s="1"/>
  <c r="D141" i="5" s="1"/>
  <c r="E100" i="5"/>
  <c r="E103" i="5" s="1"/>
  <c r="E114" i="5" s="1"/>
  <c r="G73" i="5"/>
  <c r="G76" i="5" s="1"/>
  <c r="G87" i="5" s="1"/>
  <c r="E127" i="5"/>
  <c r="E130" i="5" s="1"/>
  <c r="E141" i="5" s="1"/>
  <c r="F100" i="5"/>
  <c r="F103" i="5" s="1"/>
  <c r="F114" i="5" s="1"/>
  <c r="H73" i="5"/>
  <c r="H76" i="5" s="1"/>
  <c r="H87" i="5" s="1"/>
  <c r="C73" i="5"/>
  <c r="C76" i="5" s="1"/>
  <c r="C87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J46" i="5"/>
  <c r="J49" i="5" s="1"/>
  <c r="J60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J127" i="5"/>
  <c r="J130" i="5" s="1"/>
  <c r="J141" i="5" s="1"/>
  <c r="K100" i="5"/>
  <c r="K103" i="5" s="1"/>
  <c r="K114" i="5" s="1"/>
  <c r="D46" i="5"/>
  <c r="D49" i="5" s="1"/>
  <c r="D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L46" i="5"/>
  <c r="L49" i="5" s="1"/>
  <c r="L60" i="5" s="1"/>
  <c r="K127" i="5"/>
  <c r="K130" i="5" s="1"/>
  <c r="K141" i="5" s="1"/>
  <c r="L100" i="5"/>
  <c r="L103" i="5" s="1"/>
  <c r="L114" i="5" s="1"/>
  <c r="E46" i="5"/>
  <c r="E49" i="5" s="1"/>
  <c r="E60" i="5" s="1"/>
  <c r="F46" i="5"/>
  <c r="F49" i="5" s="1"/>
  <c r="F60" i="5" s="1"/>
  <c r="I127" i="5"/>
  <c r="I130" i="5" s="1"/>
  <c r="I141" i="5" s="1"/>
  <c r="J100" i="5"/>
  <c r="J103" i="5" s="1"/>
  <c r="J114" i="5" s="1"/>
  <c r="L73" i="5"/>
  <c r="L76" i="5" s="1"/>
  <c r="L87" i="5" s="1"/>
  <c r="C46" i="5"/>
  <c r="C49" i="5" s="1"/>
  <c r="C60" i="5" s="1"/>
  <c r="H46" i="5"/>
  <c r="H49" i="5" s="1"/>
  <c r="H60" i="5" s="1"/>
  <c r="I46" i="5"/>
  <c r="I49" i="5" s="1"/>
  <c r="I60" i="5" s="1"/>
  <c r="L127" i="5"/>
  <c r="L130" i="5" s="1"/>
  <c r="L141" i="5" s="1"/>
  <c r="G46" i="5"/>
  <c r="G49" i="5" s="1"/>
  <c r="G60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L19" i="5"/>
  <c r="L22" i="5" s="1"/>
  <c r="L33" i="5" s="1"/>
  <c r="E19" i="5"/>
  <c r="E22" i="5" s="1"/>
  <c r="E33" i="5" s="1"/>
  <c r="D19" i="5"/>
  <c r="D22" i="5" s="1"/>
  <c r="D33" i="5" s="1"/>
  <c r="G19" i="5"/>
  <c r="G22" i="5" s="1"/>
  <c r="G33" i="5" s="1"/>
  <c r="F19" i="5"/>
  <c r="F22" i="5" s="1"/>
  <c r="F33" i="5" s="1"/>
  <c r="C19" i="5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G27" i="2" s="1"/>
  <c r="G28" i="2" s="1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<sst xmlns="http://schemas.openxmlformats.org/spreadsheetml/2006/main" count="926" uniqueCount="353">
  <si>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</si>
  <si>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</si>
  <si>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</si>
  <si>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</si>
  <si>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</si>
  <si>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</si>
  <si>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</si>
  <si>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</si>
  <si>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</si>
  <si>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</si>
  <si>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</si>
  <si>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</si>
  <si>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</si>
  <si>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</si>
  <si>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</si>
  <si>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</si>
  <si>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</si>
  <si>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</si>
  <si>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</si>
  <si>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</si>
  <si>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</si>
  <si>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</si>
  <si>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</si>
  <si>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</si>
  <si>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</si>
  <si>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</si>
  <si>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</si>
  <si>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</si>
  <si>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</si>
  <si>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</si>
  <si>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</si>
  <si>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</si>
  <si>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</si>
  <si>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</si>
  <si>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</si>
  <si>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</si>
  <si>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</si>
  <si>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</si>
  <si>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</si>
  <si>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</si>
  <si>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</si>
  <si>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</si>
  <si>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</si>
  <si>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</si>
  <si>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</si>
  <si>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</si>
  <si>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</si>
  <si>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</si>
  <si>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</si>
  <si>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</si>
  <si>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</si>
  <si>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</si>
  <si>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</si>
  <si>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</si>
  <si>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</si>
  <si>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</si>
  <si>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</si>
  <si>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</si>
  <si>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</si>
  <si>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</si>
  <si>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</si>
  <si>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</si>
  <si>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</si>
  <si>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</si>
  <si>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</si>
  <si>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</si>
  <si>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</si>
  <si>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</si>
  <si>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</si>
  <si>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</si>
  <si>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</si>
  <si>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</si>
  <si>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</si>
  <si>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</si>
  <si>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</si>
  <si>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</si>
  <si>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</si>
  <si>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</si>
  <si>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</si>
  <si>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</si>
  <si>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</si>
  <si>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</si>
  <si>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</si>
  <si>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</si>
  <si>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</si>
  <si>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</si>
  <si>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</si>
  <si>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</si>
  <si>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</si>
  <si>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</si>
  <si>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</si>
  <si>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</si>
  <si>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</si>
  <si>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</si>
  <si>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</si>
  <si>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</si>
  <si>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</si>
  <si>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</si>
  <si>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</si>
  <si>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</si>
  <si>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</si>
  <si>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</si>
  <si>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</si>
  <si>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</si>
  <si>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</si>
  <si>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</si>
  <si>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</si>
  <si>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</si>
  <si>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</si>
  <si>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</si>
  <si>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</si>
  <si>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</si>
  <si>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</si>
  <si>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</si>
  <si>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</si>
  <si>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</si>
  <si>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</si>
  <si>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</si>
  <si>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</si>
  <si>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</si>
  <si>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</si>
  <si>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</si>
  <si>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</si>
  <si>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</si>
  <si>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</si>
  <si>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</si>
  <si>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</si>
  <si>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</si>
  <si>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</si>
  <si>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</si>
  <si>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</si>
  <si>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</si>
  <si>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</si>
  <si>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</si>
  <si>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</si>
  <si>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</si>
  <si>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</si>
  <si>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</si>
  <si>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</si>
  <si>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</si>
  <si>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</si>
  <si>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</si>
  <si>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</si>
  <si>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</si>
  <si>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</si>
  <si>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</si>
  <si>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</si>
  <si>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</si>
  <si>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</si>
  <si>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</si>
  <si>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</si>
  <si>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</si>
  <si>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</si>
  <si>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</si>
  <si>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</si>
  <si>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</si>
  <si>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</si>
  <si>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</si>
  <si>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</si>
  <si>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</si>
  <si>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</si>
  <si>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</si>
  <si>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</si>
  <si>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</si>
  <si>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</si>
  <si>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</si>
  <si>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</si>
  <si>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</si>
  <si>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</si>
  <si>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</si>
  <si>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</si>
  <si>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</si>
  <si>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</si>
  <si>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</si>
  <si>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</si>
  <si>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</si>
  <si>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</si>
  <si>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</si>
  <si>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</si>
  <si>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</si>
  <si>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</si>
  <si>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</si>
  <si>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</si>
  <si>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</si>
  <si>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</si>
  <si>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</si>
  <si>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</si>
  <si>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</si>
  <si>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</si>
  <si>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</si>
  <si>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</si>
  <si>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</si>
  <si>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</si>
  <si>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</si>
  <si>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</si>
  <si>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</si>
  <si>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</si>
  <si>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</si>
  <si>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</si>
  <si>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</si>
  <si>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</si>
  <si>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</si>
  <si>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</si>
  <si>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</si>
  <si>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</si>
  <si>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</si>
  <si>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</si>
  <si>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</si>
  <si>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</si>
  <si>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</si>
  <si>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</si>
  <si>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</si>
  <si>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</si>
  <si>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</si>
  <si>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</si>
  <si>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</si>
  <si>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</si>
  <si>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</si>
  <si>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</si>
  <si>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</si>
  <si>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</si>
  <si>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</si>
  <si>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</si>
  <si>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</si>
  <si>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</si>
  <si>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</si>
  <si>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</si>
  <si>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</si>
  <si>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</si>
  <si>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</si>
  <si>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</si>
  <si>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</si>
  <si>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</si>
  <si>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</si>
  <si>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</si>
  <si>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</si>
  <si>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</si>
  <si>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</si>
  <si>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</si>
  <si>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</si>
  <si>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</si>
  <si>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</si>
  <si>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</si>
  <si>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</si>
  <si>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</si>
  <si>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</si>
  <si>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</si>
  <si>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</si>
  <si>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</si>
  <si>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</si>
  <si>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</si>
  <si>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</si>
  <si>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</si>
  <si>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</si>
  <si>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</si>
  <si>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</si>
  <si>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</si>
  <si>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</si>
  <si>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</si>
  <si>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</si>
  <si>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</si>
  <si>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</si>
  <si>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</si>
  <si>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</si>
  <si>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</si>
  <si>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</si>
  <si>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</si>
  <si>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</si>
  <si>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</si>
  <si>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</si>
  <si>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</si>
  <si>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</si>
  <si>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</si>
  <si>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</si>
  <si>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</si>
  <si>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</si>
  <si>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</si>
  <si>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</si>
  <si>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</si>
  <si>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</si>
  <si>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</si>
  <si>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</si>
  <si>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</si>
  <si>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</si>
  <si>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</si>
  <si>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</si>
  <si>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</si>
  <si>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</si>
  <si>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</si>
  <si>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</si>
  <si>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</si>
  <si>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</si>
  <si>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</si>
  <si>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</si>
  <si>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</si>
  <si>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</si>
  <si>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</si>
  <si>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</si>
  <si>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</si>
  <si>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</si>
  <si>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</si>
  <si>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</si>
  <si>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</si>
  <si>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</si>
  <si>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</si>
  <si>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</si>
  <si>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</si>
  <si>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</si>
  <si>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</si>
  <si>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</si>
  <si>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</si>
  <si>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</si>
  <si>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</si>
  <si>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</si>
  <si>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</si>
  <si>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</si>
  <si>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</si>
  <si>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</si>
  <si>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</si>
  <si>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</si>
  <si>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</si>
  <si>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</si>
  <si>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</si>
  <si>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</si>
  <si>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</si>
  <si>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</si>
  <si>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</si>
  <si>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</si>
  <si>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</si>
  <si>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</si>
  <si>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</si>
  <si>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</si>
  <si>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</si>
  <si>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</si>
  <si>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</si>
  <si>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</si>
  <si>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</si>
  <si>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</si>
  <si>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</si>
  <si>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</si>
  <si>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</si>
  <si>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</si>
  <si>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</si>
  <si>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</si>
  <si>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</si>
  <si>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</si>
  <si>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</si>
  <si>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</si>
  <si>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</si>
  <si>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</si>
  <si>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</si>
  <si>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LAUTREC</t>
  </si>
  <si>
    <t>BROUSSE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</si>
</sst>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Document_0_Ter_Guideline_Methode_LBC_Verger_Arbo_BOUVRAIN.xlsx?2A2EE2DC" TargetMode="External"/><Relationship Id="rId1" Type="http://schemas.openxmlformats.org/officeDocument/2006/relationships/externalLinkPath" Target="file:///\\2A2EE2DC\Document_0_Ter_Guideline_Methode_LBC_Verger_Arbo_BOUVRA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ice document"/>
      <sheetName val="Onglet 1"/>
      <sheetName val="Onglet 2"/>
      <sheetName val="Onglet 3"/>
      <sheetName val="Onglet 4"/>
      <sheetName val="Onglet 4 bis "/>
      <sheetName val="Onglet 5"/>
      <sheetName val="Onglet 6"/>
      <sheetName val="Listes"/>
    </sheetNames>
    <sheetDataSet>
      <sheetData sheetId="0" refreshError="1"/>
      <sheetData sheetId="1" refreshError="1"/>
      <sheetData sheetId="2" refreshError="1">
        <row r="7">
          <cell r="B7">
            <v>16.5</v>
          </cell>
        </row>
        <row r="15">
          <cell r="B15" t="str">
            <v>Gobelet</v>
          </cell>
          <cell r="C15" t="str">
            <v>Gobelet</v>
          </cell>
          <cell r="D15" t="str">
            <v>Gobelet</v>
          </cell>
        </row>
      </sheetData>
      <sheetData sheetId="3" refreshError="1"/>
      <sheetData sheetId="4" refreshError="1">
        <row r="7">
          <cell r="C7">
            <v>9</v>
          </cell>
        </row>
        <row r="32">
          <cell r="F32"/>
          <cell r="G32"/>
        </row>
        <row r="34">
          <cell r="F34"/>
          <cell r="G34"/>
        </row>
        <row r="35">
          <cell r="F35"/>
          <cell r="G35"/>
        </row>
        <row r="36">
          <cell r="F36"/>
          <cell r="G36"/>
        </row>
        <row r="37">
          <cell r="F37"/>
          <cell r="G37"/>
        </row>
        <row r="44">
          <cell r="F44"/>
          <cell r="G44"/>
        </row>
        <row r="45">
          <cell r="F45"/>
          <cell r="G45"/>
        </row>
        <row r="46">
          <cell r="F46"/>
          <cell r="G46"/>
        </row>
        <row r="49">
          <cell r="F49"/>
          <cell r="G49"/>
        </row>
        <row r="51">
          <cell r="F51"/>
          <cell r="G51"/>
        </row>
        <row r="53">
          <cell r="F53"/>
          <cell r="G53"/>
        </row>
        <row r="55">
          <cell r="F55"/>
          <cell r="G55"/>
        </row>
        <row r="56">
          <cell r="F56"/>
          <cell r="G56"/>
        </row>
        <row r="57">
          <cell r="F57"/>
          <cell r="G57"/>
        </row>
        <row r="58">
          <cell r="F58"/>
          <cell r="G58"/>
        </row>
        <row r="65">
          <cell r="F65"/>
          <cell r="G65"/>
        </row>
        <row r="66">
          <cell r="F66"/>
          <cell r="G66"/>
        </row>
        <row r="67">
          <cell r="F67"/>
          <cell r="G67"/>
        </row>
        <row r="70">
          <cell r="F70"/>
          <cell r="G70"/>
        </row>
        <row r="72">
          <cell r="F72"/>
          <cell r="G72"/>
        </row>
        <row r="74">
          <cell r="F74"/>
          <cell r="G74"/>
        </row>
        <row r="76">
          <cell r="F76"/>
          <cell r="G76"/>
        </row>
        <row r="77">
          <cell r="F77"/>
          <cell r="G77"/>
        </row>
        <row r="78">
          <cell r="F78"/>
          <cell r="G78"/>
        </row>
        <row r="79">
          <cell r="F79"/>
          <cell r="G79"/>
        </row>
        <row r="86">
          <cell r="F86"/>
          <cell r="G86"/>
        </row>
        <row r="87">
          <cell r="F87"/>
          <cell r="G87"/>
        </row>
        <row r="91">
          <cell r="F91"/>
          <cell r="G91"/>
        </row>
        <row r="93">
          <cell r="F93"/>
          <cell r="G93"/>
        </row>
        <row r="95">
          <cell r="F95"/>
          <cell r="G95"/>
        </row>
        <row r="97">
          <cell r="F97"/>
          <cell r="G97"/>
        </row>
        <row r="98">
          <cell r="F98"/>
          <cell r="G98"/>
        </row>
        <row r="99">
          <cell r="F99"/>
          <cell r="G99"/>
        </row>
        <row r="100">
          <cell r="F100"/>
          <cell r="G100"/>
        </row>
        <row r="107">
          <cell r="F107"/>
          <cell r="G107"/>
        </row>
        <row r="108">
          <cell r="F108"/>
          <cell r="G108"/>
        </row>
        <row r="109">
          <cell r="F109"/>
          <cell r="G109"/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109" t="s">
        <v>311</v>
      </c>
      <c r="L3" s="109"/>
      <c r="M3" s="109"/>
      <c r="N3" s="109"/>
      <c r="O3" s="109"/>
      <c r="P3" s="109"/>
    </row>
    <row r="4" spans="2:16" x14ac:dyDescent="0.3">
      <c r="K4" s="109"/>
      <c r="L4" s="109"/>
      <c r="M4" s="109"/>
      <c r="N4" s="109"/>
      <c r="O4" s="109"/>
      <c r="P4" s="109"/>
    </row>
    <row r="5" spans="2:16" x14ac:dyDescent="0.3">
      <c r="K5" s="109"/>
      <c r="L5" s="109"/>
      <c r="M5" s="109"/>
      <c r="N5" s="109"/>
      <c r="O5" s="109"/>
      <c r="P5" s="109"/>
    </row>
    <row r="7" spans="2:16" ht="15" customHeight="1" x14ac:dyDescent="0.3">
      <c r="B7" s="110" t="s">
        <v>310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2:16" ht="15" customHeight="1" x14ac:dyDescent="0.3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2:16" ht="15" customHeight="1" x14ac:dyDescent="0.3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</row>
    <row r="11" spans="2:16" ht="15" customHeight="1" x14ac:dyDescent="0.3">
      <c r="B11" s="111" t="s">
        <v>335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3"/>
    </row>
    <row r="12" spans="2:16" ht="15" customHeight="1" x14ac:dyDescent="0.3">
      <c r="B12" s="114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6"/>
    </row>
    <row r="13" spans="2:16" ht="15" customHeight="1" x14ac:dyDescent="0.3">
      <c r="B13" s="114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6"/>
    </row>
    <row r="14" spans="2:16" ht="15" customHeight="1" x14ac:dyDescent="0.3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</row>
    <row r="15" spans="2:16" ht="15" customHeight="1" x14ac:dyDescent="0.3">
      <c r="B15" s="114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6"/>
    </row>
    <row r="16" spans="2:16" ht="15" customHeight="1" x14ac:dyDescent="0.3"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6"/>
    </row>
    <row r="17" spans="2:16" ht="15" customHeight="1" x14ac:dyDescent="0.3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6"/>
    </row>
    <row r="18" spans="2:16" ht="15" customHeight="1" x14ac:dyDescent="0.3"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2:16" ht="15" customHeight="1" x14ac:dyDescent="0.3"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6"/>
    </row>
    <row r="20" spans="2:16" ht="15" customHeight="1" x14ac:dyDescent="0.3">
      <c r="B20" s="114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6"/>
    </row>
    <row r="21" spans="2:16" ht="15" customHeight="1" x14ac:dyDescent="0.3"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6"/>
    </row>
    <row r="22" spans="2:16" ht="15" customHeight="1" x14ac:dyDescent="0.3"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6"/>
    </row>
    <row r="23" spans="2:16" ht="15" customHeight="1" x14ac:dyDescent="0.3"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</row>
    <row r="24" spans="2:16" ht="15" customHeight="1" x14ac:dyDescent="0.3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6"/>
    </row>
    <row r="25" spans="2:16" ht="15.75" customHeight="1" x14ac:dyDescent="0.3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6"/>
    </row>
    <row r="26" spans="2:16" ht="15.75" customHeight="1" x14ac:dyDescent="0.3">
      <c r="B26" s="114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6"/>
    </row>
    <row r="27" spans="2:16" ht="15.75" customHeight="1" x14ac:dyDescent="0.3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6"/>
    </row>
    <row r="28" spans="2:16" ht="15.75" customHeight="1" x14ac:dyDescent="0.3">
      <c r="B28" s="114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  <row r="29" spans="2:16" ht="15.75" customHeight="1" x14ac:dyDescent="0.3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6"/>
    </row>
    <row r="30" spans="2:16" ht="15.75" customHeight="1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2" spans="2:16" ht="22.5" customHeight="1" x14ac:dyDescent="0.3">
      <c r="B32" s="110" t="s">
        <v>340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2:16" x14ac:dyDescent="0.3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2:16" x14ac:dyDescent="0.3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347</v>
      </c>
    </row>
    <row r="38" spans="6:6" x14ac:dyDescent="0.3">
      <c r="F38" s="8" t="s">
        <v>107</v>
      </c>
    </row>
    <row r="39" spans="6:6" x14ac:dyDescent="0.3">
      <c r="F39" s="8" t="s">
        <v>108</v>
      </c>
    </row>
    <row r="40" spans="6:6" x14ac:dyDescent="0.3">
      <c r="F40" s="8" t="s">
        <v>109</v>
      </c>
    </row>
    <row r="41" spans="6:6" x14ac:dyDescent="0.3">
      <c r="F41" s="8" t="s">
        <v>110</v>
      </c>
    </row>
    <row r="42" spans="6:6" x14ac:dyDescent="0.3">
      <c r="F42" s="8" t="s">
        <v>111</v>
      </c>
    </row>
    <row r="43" spans="6:6" x14ac:dyDescent="0.3">
      <c r="F43" s="8" t="s">
        <v>112</v>
      </c>
    </row>
    <row r="44" spans="6:6" x14ac:dyDescent="0.3">
      <c r="F44" s="8" t="s">
        <v>113</v>
      </c>
    </row>
    <row r="45" spans="6:6" x14ac:dyDescent="0.3">
      <c r="F45" s="8" t="s">
        <v>114</v>
      </c>
    </row>
    <row r="46" spans="6:6" x14ac:dyDescent="0.3">
      <c r="F46" s="8" t="s">
        <v>115</v>
      </c>
    </row>
    <row r="47" spans="6:6" x14ac:dyDescent="0.3">
      <c r="F47" s="8" t="s">
        <v>116</v>
      </c>
    </row>
    <row r="48" spans="6:6" x14ac:dyDescent="0.3">
      <c r="F48" s="8" t="s">
        <v>117</v>
      </c>
    </row>
    <row r="49" spans="6:6" x14ac:dyDescent="0.3">
      <c r="F49" s="8" t="s">
        <v>118</v>
      </c>
    </row>
    <row r="50" spans="6:6" x14ac:dyDescent="0.3">
      <c r="F50" s="8" t="s">
        <v>119</v>
      </c>
    </row>
    <row r="51" spans="6:6" x14ac:dyDescent="0.3">
      <c r="F51" s="8" t="s">
        <v>120</v>
      </c>
    </row>
    <row r="52" spans="6:6" x14ac:dyDescent="0.3">
      <c r="F52" s="8" t="s">
        <v>121</v>
      </c>
    </row>
    <row r="53" spans="6:6" x14ac:dyDescent="0.3">
      <c r="F53" s="8" t="s">
        <v>122</v>
      </c>
    </row>
    <row r="54" spans="6:6" x14ac:dyDescent="0.3">
      <c r="F54" s="8" t="s">
        <v>123</v>
      </c>
    </row>
    <row r="55" spans="6:6" x14ac:dyDescent="0.3">
      <c r="F55" s="8" t="s">
        <v>124</v>
      </c>
    </row>
    <row r="56" spans="6:6" x14ac:dyDescent="0.3">
      <c r="F56" s="8" t="s">
        <v>125</v>
      </c>
    </row>
    <row r="57" spans="6:6" x14ac:dyDescent="0.3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B21" sqref="B21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23" t="s">
        <v>339</v>
      </c>
      <c r="B2" s="124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3">
      <c r="A3" s="2"/>
      <c r="AG3" s="2" t="s">
        <v>337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20" t="s">
        <v>331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288</v>
      </c>
      <c r="B7" s="1" t="s">
        <v>351</v>
      </c>
      <c r="C7" s="1" t="s">
        <v>351</v>
      </c>
      <c r="D7" s="1" t="s">
        <v>351</v>
      </c>
      <c r="E7" s="1" t="s">
        <v>351</v>
      </c>
      <c r="F7" s="1" t="s">
        <v>351</v>
      </c>
      <c r="G7" s="1" t="s">
        <v>352</v>
      </c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1.89</v>
      </c>
      <c r="C8" s="26">
        <v>0.03</v>
      </c>
      <c r="D8" s="26">
        <v>0.39</v>
      </c>
      <c r="E8" s="26">
        <v>0.13</v>
      </c>
      <c r="F8" s="26">
        <v>0.64</v>
      </c>
      <c r="G8" s="26">
        <v>0.43</v>
      </c>
      <c r="H8" s="26"/>
      <c r="I8" s="26"/>
      <c r="J8" s="26"/>
      <c r="K8" s="26"/>
      <c r="L8" s="103">
        <f>SUM(B8:K8)</f>
        <v>3.5100000000000002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309</v>
      </c>
      <c r="B9" s="1" t="s">
        <v>33</v>
      </c>
      <c r="C9" s="1" t="s">
        <v>33</v>
      </c>
      <c r="D9" s="1" t="s">
        <v>33</v>
      </c>
      <c r="E9" s="1" t="s">
        <v>33</v>
      </c>
      <c r="F9" s="1" t="s">
        <v>33</v>
      </c>
      <c r="G9" s="1" t="s">
        <v>33</v>
      </c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tr">
        <f>'[1]Onglet 2'!$B$15</f>
        <v>Gobelet</v>
      </c>
      <c r="C11" s="1" t="str">
        <f>'[1]Onglet 2'!$C$15</f>
        <v>Gobelet</v>
      </c>
      <c r="D11" s="1" t="str">
        <f>'[1]Onglet 2'!$D$15</f>
        <v>Gobelet</v>
      </c>
      <c r="E11" s="1" t="str">
        <f>'[1]Onglet 2'!$B$15</f>
        <v>Gobelet</v>
      </c>
      <c r="F11" s="1" t="str">
        <f>'[1]Onglet 2'!$C$15</f>
        <v>Gobelet</v>
      </c>
      <c r="G11" s="1" t="str">
        <f>'[1]Onglet 2'!$D$15</f>
        <v>Gobelet</v>
      </c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290</v>
      </c>
      <c r="B12" s="1">
        <v>210</v>
      </c>
      <c r="C12" s="1">
        <v>210</v>
      </c>
      <c r="D12" s="1">
        <v>210</v>
      </c>
      <c r="E12" s="1">
        <v>210</v>
      </c>
      <c r="F12" s="1">
        <v>210</v>
      </c>
      <c r="G12" s="1">
        <v>210</v>
      </c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5</v>
      </c>
      <c r="C13" s="27" t="s">
        <v>5</v>
      </c>
      <c r="D13" s="27" t="s">
        <v>5</v>
      </c>
      <c r="E13" s="27" t="s">
        <v>5</v>
      </c>
      <c r="F13" s="27" t="s">
        <v>5</v>
      </c>
      <c r="G13" s="27" t="s">
        <v>5</v>
      </c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>
        <v>20</v>
      </c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1</v>
      </c>
      <c r="C15" s="29">
        <v>1</v>
      </c>
      <c r="D15" s="29">
        <v>1</v>
      </c>
      <c r="E15" s="29">
        <v>1</v>
      </c>
      <c r="F15" s="29">
        <v>1</v>
      </c>
      <c r="G15" s="29">
        <v>1</v>
      </c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/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343</v>
      </c>
      <c r="B17" s="1" t="s">
        <v>80</v>
      </c>
      <c r="C17" s="1" t="s">
        <v>80</v>
      </c>
      <c r="D17" s="1" t="s">
        <v>80</v>
      </c>
      <c r="E17" s="1" t="s">
        <v>80</v>
      </c>
      <c r="F17" s="1" t="s">
        <v>80</v>
      </c>
      <c r="G17" s="1" t="s">
        <v>80</v>
      </c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344</v>
      </c>
      <c r="B18" s="1" t="s">
        <v>80</v>
      </c>
      <c r="C18" s="1" t="s">
        <v>80</v>
      </c>
      <c r="D18" s="1" t="s">
        <v>80</v>
      </c>
      <c r="E18" s="1" t="s">
        <v>80</v>
      </c>
      <c r="F18" s="1" t="s">
        <v>80</v>
      </c>
      <c r="G18" s="1" t="s">
        <v>80</v>
      </c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345</v>
      </c>
      <c r="B19" s="1" t="s">
        <v>97</v>
      </c>
      <c r="C19" s="1" t="s">
        <v>97</v>
      </c>
      <c r="D19" s="1" t="s">
        <v>97</v>
      </c>
      <c r="E19" s="1" t="s">
        <v>97</v>
      </c>
      <c r="F19" s="1" t="s">
        <v>97</v>
      </c>
      <c r="G19" s="1" t="s">
        <v>97</v>
      </c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9.52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f>B20+L8</f>
        <v>13.03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/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20" t="s">
        <v>308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2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Amandier - Gobelet</v>
      </c>
      <c r="C26" s="11" t="str">
        <f t="shared" si="0"/>
        <v>Amandier - Gobelet</v>
      </c>
      <c r="D26" s="11" t="str">
        <f t="shared" si="0"/>
        <v>Amandier - Gobelet</v>
      </c>
      <c r="E26" s="11" t="str">
        <f t="shared" si="0"/>
        <v>Amandier - Gobelet</v>
      </c>
      <c r="F26" s="11" t="str">
        <f t="shared" si="0"/>
        <v>Amandier - Gobelet</v>
      </c>
      <c r="G26" s="11" t="str">
        <f t="shared" si="0"/>
        <v>Amandier - Gobelet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150</v>
      </c>
      <c r="C27" s="12">
        <f>IF(C12="","",VLOOKUP(C26,'(ne pas modifier) BDD_REF'!$C$21:$D$42,2,FALSE))</f>
        <v>150</v>
      </c>
      <c r="D27" s="12">
        <f>IF(D12="","",VLOOKUP(D26,'(ne pas modifier) BDD_REF'!$C$21:$D$42,2,FALSE))</f>
        <v>150</v>
      </c>
      <c r="E27" s="12">
        <f>IF(E12="","",VLOOKUP(E26,'(ne pas modifier) BDD_REF'!$C$21:$D$42,2,FALSE))</f>
        <v>150</v>
      </c>
      <c r="F27" s="12">
        <f>IF(F12="","",VLOOKUP(F26,'(ne pas modifier) BDD_REF'!$C$21:$D$42,2,FALSE))</f>
        <v>150</v>
      </c>
      <c r="G27" s="12">
        <f>IF(G12="","",VLOOKUP(G26,'(ne pas modifier) BDD_REF'!$C$21:$D$42,2,FALSE))</f>
        <v>150</v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>OUI</v>
      </c>
      <c r="F28" s="13" t="str">
        <f t="shared" si="1"/>
        <v>OUI</v>
      </c>
      <c r="G28" s="13" t="str">
        <f t="shared" si="1"/>
        <v>OUI</v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t="43.2" hidden="1" x14ac:dyDescent="0.3">
      <c r="A34" s="7" t="s">
        <v>27</v>
      </c>
      <c r="B34" s="46" t="str">
        <f>CONCATENATE(Eligibilité_projet!B13," - ",Eligibilité_projet!B16)</f>
        <v>Climat Sec Mediterranéen - Grandes cultures</v>
      </c>
      <c r="C34" s="46" t="str">
        <f>CONCATENATE(Eligibilité_projet!C13," - ",Eligibilité_projet!C16)</f>
        <v>Climat Sec Mediterranéen - Grandes cultures</v>
      </c>
      <c r="D34" s="46" t="str">
        <f>CONCATENATE(Eligibilité_projet!D13," - ",Eligibilité_projet!D16)</f>
        <v>Climat Sec Mediterranéen - Grandes cultures</v>
      </c>
      <c r="E34" s="46" t="str">
        <f>CONCATENATE(Eligibilité_projet!E13," - ",Eligibilité_projet!E16)</f>
        <v>Climat Sec Mediterranéen - Grandes cultures</v>
      </c>
      <c r="F34" s="46" t="str">
        <f>CONCATENATE(Eligibilité_projet!F13," - ",Eligibilité_projet!F16)</f>
        <v>Climat Sec Mediterranéen - Grandes cultures</v>
      </c>
      <c r="G34" s="46" t="str">
        <f>CONCATENATE(Eligibilité_projet!G13," - ",Eligibilité_projet!G16)</f>
        <v>Climat Sec Mediterranéen - Grandes cultures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t="57.6" hidden="1" x14ac:dyDescent="0.3">
      <c r="A35" s="7" t="s">
        <v>64</v>
      </c>
      <c r="B35" s="46" t="str">
        <f>CONCATENATE(Eligibilité_projet!B14," - ",Eligibilité_projet!B16,"-",Eligibilité_projet!B13)</f>
        <v>20 - Grandes cultures-Climat Sec Mediterranéen</v>
      </c>
      <c r="C35" s="46" t="str">
        <f>CONCATENATE(Eligibilité_projet!C14," - ",Eligibilité_projet!C16,"-",Eligibilité_projet!C13)</f>
        <v>20 - Grandes cultures-Climat Sec Mediterranéen</v>
      </c>
      <c r="D35" s="46" t="str">
        <f>CONCATENATE(Eligibilité_projet!D14," - ",Eligibilité_projet!D16,"-",Eligibilité_projet!D13)</f>
        <v>20 - Grandes cultures-Climat Sec Mediterranéen</v>
      </c>
      <c r="E35" s="46" t="str">
        <f>CONCATENATE(Eligibilité_projet!E14," - ",Eligibilité_projet!E16,"-",Eligibilité_projet!E13)</f>
        <v>20 - Grandes cultures-Climat Sec Mediterranéen</v>
      </c>
      <c r="F35" s="46" t="str">
        <f>CONCATENATE(Eligibilité_projet!F14," - ",Eligibilité_projet!F16,"-",Eligibilité_projet!F13)</f>
        <v>20 - Grandes cultures-Climat Sec Mediterranéen</v>
      </c>
      <c r="G35" s="46" t="str">
        <f>CONCATENATE(Eligibilité_projet!G14," - ",Eligibilité_projet!G16,"-",Eligibilité_projet!G13)</f>
        <v>20 - Grandes cultures-Climat Sec Mediterranéen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302</v>
      </c>
      <c r="B36" s="47">
        <f>RECant_sol!C9</f>
        <v>56.825999999999993</v>
      </c>
      <c r="C36" s="47">
        <f>RECant_sol!D9</f>
        <v>0.9019999999999998</v>
      </c>
      <c r="D36" s="47">
        <f>RECant_sol!E9</f>
        <v>11.725999999999999</v>
      </c>
      <c r="E36" s="47">
        <f>RECant_sol!F9</f>
        <v>3.9086666666666665</v>
      </c>
      <c r="F36" s="47">
        <f>RECant_sol!G9</f>
        <v>19.242666666666665</v>
      </c>
      <c r="G36" s="47">
        <f>RECant_sol!H9</f>
        <v>12.928666666666667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105.53399999999999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303</v>
      </c>
      <c r="B37" s="48">
        <f>RECant_biom!C28</f>
        <v>69.372599999999991</v>
      </c>
      <c r="C37" s="48">
        <f>RECant_biom!D28</f>
        <v>1.1011523809523809</v>
      </c>
      <c r="D37" s="47">
        <f>RECant_biom!E28</f>
        <v>14.314980952380951</v>
      </c>
      <c r="E37" s="47">
        <f>RECant_biom!F28</f>
        <v>4.7716603174603174</v>
      </c>
      <c r="F37" s="47">
        <f>RECant_biom!G28</f>
        <v>23.491250793650792</v>
      </c>
      <c r="G37" s="47">
        <f>RECant_biom!H28</f>
        <v>15.783184126984127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128.83482857142857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226</v>
      </c>
      <c r="B38" s="48">
        <f t="shared" ref="B38:K38" si="3">IF(B36="","",B36+B37)</f>
        <v>126.19859999999998</v>
      </c>
      <c r="C38" s="48">
        <f t="shared" si="3"/>
        <v>2.0031523809523808</v>
      </c>
      <c r="D38" s="47">
        <f t="shared" si="3"/>
        <v>26.040980952380949</v>
      </c>
      <c r="E38" s="47">
        <f t="shared" si="3"/>
        <v>8.6803269841269834</v>
      </c>
      <c r="F38" s="47">
        <f t="shared" si="3"/>
        <v>42.733917460317457</v>
      </c>
      <c r="G38" s="47">
        <f t="shared" si="3"/>
        <v>28.711850793650793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234.36882857142857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>OUI</v>
      </c>
      <c r="F39" s="13" t="str">
        <f t="shared" si="4"/>
        <v>OUI</v>
      </c>
      <c r="G39" s="13" t="str">
        <f t="shared" si="4"/>
        <v>OUI</v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>OUI</v>
      </c>
      <c r="F43" s="13" t="str">
        <f t="shared" si="5"/>
        <v>OUI</v>
      </c>
      <c r="G43" s="13" t="str">
        <f t="shared" si="5"/>
        <v>OUI</v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ht="45.75" customHeight="1" x14ac:dyDescent="0.3">
      <c r="A46" s="7" t="s">
        <v>61</v>
      </c>
      <c r="B46" s="108" t="str">
        <f>IF(B13="","",IF(AND(B13="Hors climat Mediterranéen",B16="Prairies "),"Parcelle non éligible", "OUI"))</f>
        <v>OUI</v>
      </c>
      <c r="C46" s="108" t="str">
        <f t="shared" ref="C46:K46" si="6">IF(C13="","",IF(AND(C13="Hors climat Mediterranéen",C16="Prairies "),"Parcelle non éligible", "OUI"))</f>
        <v>OUI</v>
      </c>
      <c r="D46" s="108" t="str">
        <f t="shared" si="6"/>
        <v>OUI</v>
      </c>
      <c r="E46" s="13" t="str">
        <f t="shared" si="6"/>
        <v>OUI</v>
      </c>
      <c r="F46" s="13" t="str">
        <f t="shared" si="6"/>
        <v>OUI</v>
      </c>
      <c r="G46" s="13" t="str">
        <f t="shared" si="6"/>
        <v>OUI</v>
      </c>
      <c r="H46" s="13" t="str">
        <f t="shared" si="6"/>
        <v/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7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3.6348572756607669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3.6348572756607669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3.6348572756607669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3.6348572756607669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3.6348572756607669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3.6348572756607669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21.8091436539646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3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-34.349401254994241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-0.54522859134911494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-7.087971687538495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-2.3626572291794985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-11.631543282114453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-7.8149431426706482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-63.791745187846452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4" zoomScale="70" zoomScaleNormal="70" workbookViewId="0">
      <selection activeCell="C135" sqref="C135:H138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8" t="s">
        <v>336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3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3.6348572756607669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3.6348572756607669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3.6348572756607669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3.6348572756607669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3.6348572756607669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3.6348572756607669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21.8091436539646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146</v>
      </c>
      <c r="B7" s="7" t="s">
        <v>312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3">
      <c r="B8" s="7" t="s">
        <v>313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314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328</v>
      </c>
      <c r="C10" s="42">
        <f>C7*'(ne pas modifier) BDD_REF'!$B$207 + (C8+C9)*'(ne pas modifier) BDD_REF'!$B$208</f>
        <v>0</v>
      </c>
      <c r="D10" s="42">
        <f>D7*'(ne pas modifier) BDD_REF'!$B$207 + (D8+D9)*'(ne pas modifier) BDD_REF'!$B$208</f>
        <v>0</v>
      </c>
      <c r="E10" s="42">
        <f>E7*'(ne pas modifier) BDD_REF'!$B$207 + (E8+E9)*'(ne pas modifier) BDD_REF'!$B$208</f>
        <v>0</v>
      </c>
      <c r="F10" s="42">
        <f>F7*'(ne pas modifier) BDD_REF'!$B$207 + (F8+F9)*'(ne pas modifier) BDD_REF'!$B$208</f>
        <v>0</v>
      </c>
      <c r="G10" s="42">
        <f>G7*'(ne pas modifier) BDD_REF'!$B$207 + (G8+G9)*'(ne pas modifier) BDD_REF'!$B$208</f>
        <v>0</v>
      </c>
      <c r="H10" s="42">
        <f>H7*'(ne pas modifier) BDD_REF'!$B$207 + (H8+H9)*'(ne pas modifier) BDD_REF'!$B$208</f>
        <v>0</v>
      </c>
      <c r="I10" s="42">
        <f>I7*'(ne pas modifier) BDD_REF'!$B$207 + (I8+I9)*'(ne pas modifier) BDD_REF'!$B$208</f>
        <v>0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0</v>
      </c>
    </row>
    <row r="11" spans="1:15" x14ac:dyDescent="0.3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0</v>
      </c>
      <c r="D11" s="42">
        <f>((D7*'(ne pas modifier) BDD_REF'!$B$220)+('RECeff + REIamont (2)'!D8+'RECeff + REIamont (2)'!D9)*'(ne pas modifier) BDD_REF'!$B$221)*'(ne pas modifier) BDD_REF'!$B$209</f>
        <v>0</v>
      </c>
      <c r="E11" s="42">
        <f>((E7*'(ne pas modifier) BDD_REF'!$B$220)+('RECeff + REIamont (2)'!E8+'RECeff + REIamont (2)'!E9)*'(ne pas modifier) BDD_REF'!$B$221)*'(ne pas modifier) BDD_REF'!$B$209</f>
        <v>0</v>
      </c>
      <c r="F11" s="42">
        <f>((F7*'(ne pas modifier) BDD_REF'!$B$220)+('RECeff + REIamont (2)'!F8+'RECeff + REIamont (2)'!F9)*'(ne pas modifier) BDD_REF'!$B$221)*'(ne pas modifier) BDD_REF'!$B$209</f>
        <v>0</v>
      </c>
      <c r="G11" s="42">
        <f>((G7*'(ne pas modifier) BDD_REF'!$B$220)+('RECeff + REIamont (2)'!G8+'RECeff + REIamont (2)'!G9)*'(ne pas modifier) BDD_REF'!$B$221)*'(ne pas modifier) BDD_REF'!$B$209</f>
        <v>0</v>
      </c>
      <c r="H11" s="42">
        <f>((H7*'(ne pas modifier) BDD_REF'!$B$220)+('RECeff + REIamont (2)'!H8+'RECeff + REIamont (2)'!H9)*'(ne pas modifier) BDD_REF'!$B$221)*'(ne pas modifier) BDD_REF'!$B$209</f>
        <v>0</v>
      </c>
      <c r="I11" s="42">
        <f>((I7*'(ne pas modifier) BDD_REF'!$B$220)+('RECeff + REIamont (2)'!I8+'RECeff + REIamont (2)'!I9)*'(ne pas modifier) BDD_REF'!$B$221)*'(ne pas modifier) BDD_REF'!$B$209</f>
        <v>0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0</v>
      </c>
    </row>
    <row r="12" spans="1:15" x14ac:dyDescent="0.3">
      <c r="B12" s="20" t="s">
        <v>330</v>
      </c>
      <c r="C12" s="42">
        <f>(C7+C8+C9)*'(ne pas modifier) BDD_REF'!$B$222*'(ne pas modifier) BDD_REF'!$B$210</f>
        <v>0</v>
      </c>
      <c r="D12" s="42">
        <f>(D7+D8+D9)*'(ne pas modifier) BDD_REF'!$B$222*'(ne pas modifier) BDD_REF'!$B$210</f>
        <v>0</v>
      </c>
      <c r="E12" s="42">
        <f>(E7+E8+E9)*'(ne pas modifier) BDD_REF'!$B$222*'(ne pas modifier) BDD_REF'!$B$210</f>
        <v>0</v>
      </c>
      <c r="F12" s="42">
        <f>(F7+F8+F9)*'(ne pas modifier) BDD_REF'!$B$222*'(ne pas modifier) BDD_REF'!$B$210</f>
        <v>0</v>
      </c>
      <c r="G12" s="42">
        <f>(G7+G8+G9)*'(ne pas modifier) BDD_REF'!$B$222*'(ne pas modifier) BDD_REF'!$B$210</f>
        <v>0</v>
      </c>
      <c r="H12" s="42">
        <f>(H7+H8+H9)*'(ne pas modifier) BDD_REF'!$B$222*'(ne pas modifier) BDD_REF'!$B$210</f>
        <v>0</v>
      </c>
      <c r="I12" s="42">
        <f>(I7+I8+I9)*'(ne pas modifier) BDD_REF'!$B$222*'(ne pas modifier) BDD_REF'!$B$210</f>
        <v>0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0</v>
      </c>
    </row>
    <row r="13" spans="1:15" x14ac:dyDescent="0.3">
      <c r="B13" s="7" t="s">
        <v>315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316</v>
      </c>
      <c r="C14" s="93">
        <v>35</v>
      </c>
      <c r="D14" s="93">
        <v>35</v>
      </c>
      <c r="E14" s="93">
        <v>35</v>
      </c>
      <c r="F14" s="93">
        <v>35</v>
      </c>
      <c r="G14" s="93">
        <v>35</v>
      </c>
      <c r="H14" s="93">
        <v>35</v>
      </c>
      <c r="I14" s="93"/>
      <c r="J14" s="93"/>
      <c r="K14" s="93"/>
      <c r="L14" s="93"/>
      <c r="M14" s="42">
        <f t="shared" si="0"/>
        <v>210</v>
      </c>
    </row>
    <row r="15" spans="1:15" x14ac:dyDescent="0.3">
      <c r="B15" s="7" t="s">
        <v>317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318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319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320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0.10748499999999998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0.10748499999999998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0.10748499999999998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0.10748499999999998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0.10748499999999998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0.10748499999999998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0.64490999999999987</v>
      </c>
    </row>
    <row r="20" spans="1:108" x14ac:dyDescent="0.3">
      <c r="B20" s="7" t="s">
        <v>321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3">
      <c r="B21" s="3" t="s">
        <v>184</v>
      </c>
      <c r="C21" s="42">
        <f>(C20*'(ne pas modifier) BDD_REF'!$B$211)/1000</f>
        <v>0</v>
      </c>
      <c r="D21" s="42">
        <f>(D20*'(ne pas modifier) BDD_REF'!$B$211)/1000</f>
        <v>0</v>
      </c>
      <c r="E21" s="42">
        <f>(E20*'(ne pas modifier) BDD_REF'!$B$211)/1000</f>
        <v>0</v>
      </c>
      <c r="F21" s="42">
        <f>(F20*'(ne pas modifier) BDD_REF'!$B$211)/1000</f>
        <v>0</v>
      </c>
      <c r="G21" s="42">
        <f>(G20*'(ne pas modifier) BDD_REF'!$B$211)/1000</f>
        <v>0</v>
      </c>
      <c r="H21" s="42">
        <f>(H20*'(ne pas modifier) BDD_REF'!$B$211)/1000</f>
        <v>0</v>
      </c>
      <c r="I21" s="42">
        <f>(I20*'(ne pas modifier) BDD_REF'!$B$211)/1000</f>
        <v>0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0</v>
      </c>
    </row>
    <row r="22" spans="1:108" s="17" customFormat="1" x14ac:dyDescent="0.3">
      <c r="A22" s="19"/>
      <c r="B22" s="20" t="s">
        <v>185</v>
      </c>
      <c r="C22" s="94">
        <f>C19+C21</f>
        <v>0.10748499999999998</v>
      </c>
      <c r="D22" s="94">
        <f t="shared" ref="D22:L22" si="1">D19+D21</f>
        <v>0.10748499999999998</v>
      </c>
      <c r="E22" s="94">
        <f t="shared" si="1"/>
        <v>0.10748499999999998</v>
      </c>
      <c r="F22" s="94">
        <f t="shared" si="1"/>
        <v>0.10748499999999998</v>
      </c>
      <c r="G22" s="94">
        <f t="shared" si="1"/>
        <v>0.10748499999999998</v>
      </c>
      <c r="H22" s="94">
        <f t="shared" si="1"/>
        <v>0.10748499999999998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0.64490999999999987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322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0</v>
      </c>
    </row>
    <row r="24" spans="1:108" x14ac:dyDescent="0.3">
      <c r="B24" s="7" t="s">
        <v>323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3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0</v>
      </c>
      <c r="D25" s="42">
        <f>(D7*'(ne pas modifier) BDD_REF'!$B$212+'RECeff + REIamont (2)'!D23*'(ne pas modifier) BDD_REF'!$B$213+'RECeff + REIamont (2)'!D24*'(ne pas modifier) BDD_REF'!$B$214)/1000</f>
        <v>0</v>
      </c>
      <c r="E25" s="42">
        <f>(E7*'(ne pas modifier) BDD_REF'!$B$212+'RECeff + REIamont (2)'!E23*'(ne pas modifier) BDD_REF'!$B$213+'RECeff + REIamont (2)'!E24*'(ne pas modifier) BDD_REF'!$B$214)/1000</f>
        <v>0</v>
      </c>
      <c r="F25" s="42">
        <f>(F7*'(ne pas modifier) BDD_REF'!$B$212+'RECeff + REIamont (2)'!F23*'(ne pas modifier) BDD_REF'!$B$213+'RECeff + REIamont (2)'!F24*'(ne pas modifier) BDD_REF'!$B$214)/1000</f>
        <v>0</v>
      </c>
      <c r="G25" s="42">
        <f>(G7*'(ne pas modifier) BDD_REF'!$B$212+'RECeff + REIamont (2)'!G23*'(ne pas modifier) BDD_REF'!$B$213+'RECeff + REIamont (2)'!G24*'(ne pas modifier) BDD_REF'!$B$214)/1000</f>
        <v>0</v>
      </c>
      <c r="H25" s="42">
        <f>(H7*'(ne pas modifier) BDD_REF'!$B$212+'RECeff + REIamont (2)'!H23*'(ne pas modifier) BDD_REF'!$B$213+'RECeff + REIamont (2)'!H24*'(ne pas modifier) BDD_REF'!$B$214)/1000</f>
        <v>0</v>
      </c>
      <c r="I25" s="42">
        <f>(I7*'(ne pas modifier) BDD_REF'!$B$212+'RECeff + REIamont (2)'!I23*'(ne pas modifier) BDD_REF'!$B$213+'RECeff + REIamont (2)'!I24*'(ne pas modifier) BDD_REF'!$B$214)/1000</f>
        <v>0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0</v>
      </c>
    </row>
    <row r="26" spans="1:108" hidden="1" x14ac:dyDescent="0.3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293</v>
      </c>
      <c r="B27" s="7" t="s">
        <v>324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325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326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327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186</v>
      </c>
      <c r="C32" s="94">
        <f>C25+C26+C31</f>
        <v>0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144</v>
      </c>
      <c r="C33" s="96">
        <f>((C10+C11+C12)/1000*44/28*'(ne pas modifier) BDD_REF'!$B$232)+'RECeff + REIamont (2)'!C22+'RECeff + REIamont (2)'!C32</f>
        <v>0.10748499999999998</v>
      </c>
      <c r="D33" s="96">
        <f>((D10+D11+D12)/1000*44/28*'(ne pas modifier) BDD_REF'!$B$232)+'RECeff + REIamont (2)'!D22+'RECeff + REIamont (2)'!D32</f>
        <v>0.10748499999999998</v>
      </c>
      <c r="E33" s="96">
        <f>((E10+E11+E12)/1000*44/28*'(ne pas modifier) BDD_REF'!$B$232)+'RECeff + REIamont (2)'!E22+'RECeff + REIamont (2)'!E32</f>
        <v>0.10748499999999998</v>
      </c>
      <c r="F33" s="96">
        <f>((F10+F11+F12)/1000*44/28*'(ne pas modifier) BDD_REF'!$B$232)+'RECeff + REIamont (2)'!F22+'RECeff + REIamont (2)'!F32</f>
        <v>0.10748499999999998</v>
      </c>
      <c r="G33" s="96">
        <f>((G10+G11+G12)/1000*44/28*'(ne pas modifier) BDD_REF'!$B$232)+'RECeff + REIamont (2)'!G22+'RECeff + REIamont (2)'!G32</f>
        <v>0.10748499999999998</v>
      </c>
      <c r="H33" s="96">
        <f>((H10+H11+H12)/1000*44/28*'(ne pas modifier) BDD_REF'!$B$232)+'RECeff + REIamont (2)'!H22+'RECeff + REIamont (2)'!H32</f>
        <v>0.10748499999999998</v>
      </c>
      <c r="I33" s="96">
        <f>((I10+I11+I12)/1000*44/28*'(ne pas modifier) BDD_REF'!$B$232)+'RECeff + REIamont (2)'!I22+'RECeff + REIamont (2)'!I32</f>
        <v>0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0.64490999999999987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147</v>
      </c>
      <c r="B34" s="7" t="s">
        <v>312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3">
      <c r="B35" s="7" t="s">
        <v>313</v>
      </c>
      <c r="C35" s="93">
        <v>19</v>
      </c>
      <c r="D35" s="93">
        <v>19</v>
      </c>
      <c r="E35" s="93">
        <v>19</v>
      </c>
      <c r="F35" s="93">
        <v>19</v>
      </c>
      <c r="G35" s="93">
        <v>19</v>
      </c>
      <c r="H35" s="93">
        <v>19</v>
      </c>
      <c r="I35" s="93"/>
      <c r="J35" s="93"/>
      <c r="K35" s="93"/>
      <c r="L35" s="93"/>
      <c r="M35" s="42">
        <f t="shared" si="0"/>
        <v>114</v>
      </c>
    </row>
    <row r="36" spans="1:108" x14ac:dyDescent="0.3">
      <c r="B36" s="7" t="s">
        <v>314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328</v>
      </c>
      <c r="C37" s="42">
        <f>C34*'(ne pas modifier) BDD_REF'!$B$207 + (C35+C36)*'(ne pas modifier) BDD_REF'!$B$208</f>
        <v>0.114</v>
      </c>
      <c r="D37" s="42">
        <f>D34*'(ne pas modifier) BDD_REF'!$B$207 + (D35+D36)*'(ne pas modifier) BDD_REF'!$B$208</f>
        <v>0.114</v>
      </c>
      <c r="E37" s="42">
        <f>E34*'(ne pas modifier) BDD_REF'!$B$207 + (E35+E36)*'(ne pas modifier) BDD_REF'!$B$208</f>
        <v>0.114</v>
      </c>
      <c r="F37" s="42">
        <f>F34*'(ne pas modifier) BDD_REF'!$B$207 + (F35+F36)*'(ne pas modifier) BDD_REF'!$B$208</f>
        <v>0.114</v>
      </c>
      <c r="G37" s="42">
        <f>G34*'(ne pas modifier) BDD_REF'!$B$207 + (G35+G36)*'(ne pas modifier) BDD_REF'!$B$208</f>
        <v>0.114</v>
      </c>
      <c r="H37" s="42">
        <f>H34*'(ne pas modifier) BDD_REF'!$B$207 + (H35+H36)*'(ne pas modifier) BDD_REF'!$B$208</f>
        <v>0.114</v>
      </c>
      <c r="I37" s="42">
        <f>I34*'(ne pas modifier) BDD_REF'!$B$207 + (I35+I36)*'(ne pas modifier) BDD_REF'!$B$208</f>
        <v>0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0.68400000000000005</v>
      </c>
    </row>
    <row r="38" spans="1:108" x14ac:dyDescent="0.3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3.9899999999999998E-2</v>
      </c>
      <c r="D38" s="42">
        <f>((D34*'(ne pas modifier) BDD_REF'!$B$220)+('RECeff + REIamont (2)'!D35+'RECeff + REIamont (2)'!D36)*'(ne pas modifier) BDD_REF'!$B$221)*'(ne pas modifier) BDD_REF'!$B$209</f>
        <v>3.9899999999999998E-2</v>
      </c>
      <c r="E38" s="42">
        <f>((E34*'(ne pas modifier) BDD_REF'!$B$220)+('RECeff + REIamont (2)'!E35+'RECeff + REIamont (2)'!E36)*'(ne pas modifier) BDD_REF'!$B$221)*'(ne pas modifier) BDD_REF'!$B$209</f>
        <v>3.9899999999999998E-2</v>
      </c>
      <c r="F38" s="42">
        <f>((F34*'(ne pas modifier) BDD_REF'!$B$220)+('RECeff + REIamont (2)'!F35+'RECeff + REIamont (2)'!F36)*'(ne pas modifier) BDD_REF'!$B$221)*'(ne pas modifier) BDD_REF'!$B$209</f>
        <v>3.9899999999999998E-2</v>
      </c>
      <c r="G38" s="42">
        <f>((G34*'(ne pas modifier) BDD_REF'!$B$220)+('RECeff + REIamont (2)'!G35+'RECeff + REIamont (2)'!G36)*'(ne pas modifier) BDD_REF'!$B$221)*'(ne pas modifier) BDD_REF'!$B$209</f>
        <v>3.9899999999999998E-2</v>
      </c>
      <c r="H38" s="42">
        <f>((H34*'(ne pas modifier) BDD_REF'!$B$220)+('RECeff + REIamont (2)'!H35+'RECeff + REIamont (2)'!H36)*'(ne pas modifier) BDD_REF'!$B$221)*'(ne pas modifier) BDD_REF'!$B$209</f>
        <v>3.9899999999999998E-2</v>
      </c>
      <c r="I38" s="42">
        <f>((I34*'(ne pas modifier) BDD_REF'!$B$220)+('RECeff + REIamont (2)'!I35+'RECeff + REIamont (2)'!I36)*'(ne pas modifier) BDD_REF'!$B$221)*'(ne pas modifier) BDD_REF'!$B$209</f>
        <v>0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0.23939999999999997</v>
      </c>
    </row>
    <row r="39" spans="1:108" x14ac:dyDescent="0.3">
      <c r="B39" s="20" t="s">
        <v>330</v>
      </c>
      <c r="C39" s="42">
        <f>(C34+C35+C36)*'(ne pas modifier) BDD_REF'!$B$222*'(ne pas modifier) BDD_REF'!$B$210</f>
        <v>5.0159999999999996E-2</v>
      </c>
      <c r="D39" s="42">
        <f>(D34+D35+D36)*'(ne pas modifier) BDD_REF'!$B$222*'(ne pas modifier) BDD_REF'!$B$210</f>
        <v>5.0159999999999996E-2</v>
      </c>
      <c r="E39" s="42">
        <f>(E34+E35+E36)*'(ne pas modifier) BDD_REF'!$B$222*'(ne pas modifier) BDD_REF'!$B$210</f>
        <v>5.0159999999999996E-2</v>
      </c>
      <c r="F39" s="42">
        <f>(F34+F35+F36)*'(ne pas modifier) BDD_REF'!$B$222*'(ne pas modifier) BDD_REF'!$B$210</f>
        <v>5.0159999999999996E-2</v>
      </c>
      <c r="G39" s="42">
        <f>(G34+G35+G36)*'(ne pas modifier) BDD_REF'!$B$222*'(ne pas modifier) BDD_REF'!$B$210</f>
        <v>5.0159999999999996E-2</v>
      </c>
      <c r="H39" s="42">
        <f>(H34+H35+H36)*'(ne pas modifier) BDD_REF'!$B$222*'(ne pas modifier) BDD_REF'!$B$210</f>
        <v>5.0159999999999996E-2</v>
      </c>
      <c r="I39" s="42">
        <f>(I34+I35+I36)*'(ne pas modifier) BDD_REF'!$B$222*'(ne pas modifier) BDD_REF'!$B$210</f>
        <v>0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0.30095999999999995</v>
      </c>
    </row>
    <row r="40" spans="1:108" x14ac:dyDescent="0.3">
      <c r="B40" s="7" t="s">
        <v>315</v>
      </c>
      <c r="C40" s="93"/>
      <c r="D40" s="93"/>
      <c r="E40" s="93"/>
      <c r="F40" s="93">
        <f>'[1]Onglet 4'!F32</f>
        <v>0</v>
      </c>
      <c r="G40" s="93">
        <f>'[1]Onglet 4'!G32</f>
        <v>0</v>
      </c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316</v>
      </c>
      <c r="C41" s="93">
        <v>35</v>
      </c>
      <c r="D41" s="93">
        <v>35</v>
      </c>
      <c r="E41" s="93">
        <v>35</v>
      </c>
      <c r="F41" s="93">
        <v>35</v>
      </c>
      <c r="G41" s="93">
        <v>35</v>
      </c>
      <c r="H41" s="93">
        <v>35</v>
      </c>
      <c r="I41" s="93"/>
      <c r="J41" s="93"/>
      <c r="K41" s="93"/>
      <c r="L41" s="93"/>
      <c r="M41" s="42">
        <f t="shared" si="3"/>
        <v>210</v>
      </c>
    </row>
    <row r="42" spans="1:108" x14ac:dyDescent="0.3">
      <c r="B42" s="7" t="s">
        <v>317</v>
      </c>
      <c r="C42" s="93"/>
      <c r="D42" s="93"/>
      <c r="E42" s="93"/>
      <c r="F42" s="93">
        <f>'[1]Onglet 4'!F34</f>
        <v>0</v>
      </c>
      <c r="G42" s="93">
        <f>'[1]Onglet 4'!G34</f>
        <v>0</v>
      </c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318</v>
      </c>
      <c r="C43" s="93"/>
      <c r="D43" s="93"/>
      <c r="E43" s="93"/>
      <c r="F43" s="93">
        <f>'[1]Onglet 4'!F35</f>
        <v>0</v>
      </c>
      <c r="G43" s="93">
        <f>'[1]Onglet 4'!G35</f>
        <v>0</v>
      </c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319</v>
      </c>
      <c r="C44" s="93"/>
      <c r="D44" s="93"/>
      <c r="E44" s="93"/>
      <c r="F44" s="93">
        <f>'[1]Onglet 4'!F36</f>
        <v>0</v>
      </c>
      <c r="G44" s="93">
        <f>'[1]Onglet 4'!G36</f>
        <v>0</v>
      </c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320</v>
      </c>
      <c r="C45" s="93"/>
      <c r="D45" s="93"/>
      <c r="E45" s="93"/>
      <c r="F45" s="93">
        <f>'[1]Onglet 4'!F37</f>
        <v>0</v>
      </c>
      <c r="G45" s="93">
        <f>'[1]Onglet 4'!G37</f>
        <v>0</v>
      </c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0.10748499999999998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0.10748499999999998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0.10748499999999998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0.10748499999999998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0.10748499999999998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0.10748499999999998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0.64490999999999987</v>
      </c>
    </row>
    <row r="47" spans="1:108" x14ac:dyDescent="0.3">
      <c r="B47" s="7" t="s">
        <v>321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0</v>
      </c>
    </row>
    <row r="48" spans="1:108" x14ac:dyDescent="0.3">
      <c r="B48" s="3" t="s">
        <v>184</v>
      </c>
      <c r="C48" s="42">
        <f>(C47*'(ne pas modifier) BDD_REF'!$B$211)/1000</f>
        <v>0</v>
      </c>
      <c r="D48" s="42">
        <f>(D47*'(ne pas modifier) BDD_REF'!$B$211)/1000</f>
        <v>0</v>
      </c>
      <c r="E48" s="42">
        <f>(E47*'(ne pas modifier) BDD_REF'!$B$211)/1000</f>
        <v>0</v>
      </c>
      <c r="F48" s="42">
        <f>(F47*'(ne pas modifier) BDD_REF'!$B$211)/1000</f>
        <v>0</v>
      </c>
      <c r="G48" s="42">
        <f>(G47*'(ne pas modifier) BDD_REF'!$B$211)/1000</f>
        <v>0</v>
      </c>
      <c r="H48" s="42">
        <f>(H47*'(ne pas modifier) BDD_REF'!$B$211)/1000</f>
        <v>0</v>
      </c>
      <c r="I48" s="42">
        <f>(I47*'(ne pas modifier) BDD_REF'!$B$211)/1000</f>
        <v>0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0</v>
      </c>
    </row>
    <row r="49" spans="1:108" s="17" customFormat="1" x14ac:dyDescent="0.3">
      <c r="A49" s="19"/>
      <c r="B49" s="20" t="s">
        <v>185</v>
      </c>
      <c r="C49" s="94">
        <f>C46+C48</f>
        <v>0.10748499999999998</v>
      </c>
      <c r="D49" s="94">
        <f t="shared" ref="D49:L49" si="4">D46+D48</f>
        <v>0.10748499999999998</v>
      </c>
      <c r="E49" s="94">
        <f t="shared" si="4"/>
        <v>0.10748499999999998</v>
      </c>
      <c r="F49" s="94">
        <f t="shared" si="4"/>
        <v>0.10748499999999998</v>
      </c>
      <c r="G49" s="94">
        <f t="shared" si="4"/>
        <v>0.10748499999999998</v>
      </c>
      <c r="H49" s="94">
        <f t="shared" si="4"/>
        <v>0.10748499999999998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0.64490999999999987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322</v>
      </c>
      <c r="C50" s="93">
        <v>14</v>
      </c>
      <c r="D50" s="93">
        <v>14</v>
      </c>
      <c r="E50" s="93">
        <v>14</v>
      </c>
      <c r="F50" s="93">
        <v>14</v>
      </c>
      <c r="G50" s="93">
        <v>14</v>
      </c>
      <c r="H50" s="93">
        <v>14</v>
      </c>
      <c r="I50" s="93"/>
      <c r="J50" s="93"/>
      <c r="K50" s="93"/>
      <c r="L50" s="93"/>
      <c r="M50" s="42">
        <f t="shared" si="3"/>
        <v>84</v>
      </c>
    </row>
    <row r="51" spans="1:108" x14ac:dyDescent="0.3">
      <c r="B51" s="7" t="s">
        <v>323</v>
      </c>
      <c r="C51" s="93">
        <v>23</v>
      </c>
      <c r="D51" s="93">
        <v>23</v>
      </c>
      <c r="E51" s="93">
        <v>23</v>
      </c>
      <c r="F51" s="93">
        <v>23</v>
      </c>
      <c r="G51" s="93">
        <v>23</v>
      </c>
      <c r="H51" s="93">
        <v>23</v>
      </c>
      <c r="I51" s="93"/>
      <c r="J51" s="93"/>
      <c r="K51" s="93"/>
      <c r="L51" s="93"/>
      <c r="M51" s="42">
        <f t="shared" si="3"/>
        <v>138</v>
      </c>
    </row>
    <row r="52" spans="1:108" x14ac:dyDescent="0.3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3.6629999999999996E-2</v>
      </c>
      <c r="D52" s="42">
        <f>(D34*'(ne pas modifier) BDD_REF'!$B$212+'RECeff + REIamont (2)'!D50*'(ne pas modifier) BDD_REF'!$B$213+'RECeff + REIamont (2)'!D51*'(ne pas modifier) BDD_REF'!$B$214)/1000</f>
        <v>3.6629999999999996E-2</v>
      </c>
      <c r="E52" s="42">
        <f>(E34*'(ne pas modifier) BDD_REF'!$B$212+'RECeff + REIamont (2)'!E50*'(ne pas modifier) BDD_REF'!$B$213+'RECeff + REIamont (2)'!E51*'(ne pas modifier) BDD_REF'!$B$214)/1000</f>
        <v>3.6629999999999996E-2</v>
      </c>
      <c r="F52" s="42">
        <f>(F34*'(ne pas modifier) BDD_REF'!$B$212+'RECeff + REIamont (2)'!F50*'(ne pas modifier) BDD_REF'!$B$213+'RECeff + REIamont (2)'!F51*'(ne pas modifier) BDD_REF'!$B$214)/1000</f>
        <v>3.6629999999999996E-2</v>
      </c>
      <c r="G52" s="42">
        <f>(G34*'(ne pas modifier) BDD_REF'!$B$212+'RECeff + REIamont (2)'!G50*'(ne pas modifier) BDD_REF'!$B$213+'RECeff + REIamont (2)'!G51*'(ne pas modifier) BDD_REF'!$B$214)/1000</f>
        <v>3.6629999999999996E-2</v>
      </c>
      <c r="H52" s="42">
        <f>(H34*'(ne pas modifier) BDD_REF'!$B$212+'RECeff + REIamont (2)'!H50*'(ne pas modifier) BDD_REF'!$B$213+'RECeff + REIamont (2)'!H51*'(ne pas modifier) BDD_REF'!$B$214)/1000</f>
        <v>3.6629999999999996E-2</v>
      </c>
      <c r="I52" s="42">
        <f>(I34*'(ne pas modifier) BDD_REF'!$B$212+'RECeff + REIamont (2)'!I50*'(ne pas modifier) BDD_REF'!$B$213+'RECeff + REIamont (2)'!I51*'(ne pas modifier) BDD_REF'!$B$214)/1000</f>
        <v>0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0.21977999999999998</v>
      </c>
    </row>
    <row r="53" spans="1:108" hidden="1" x14ac:dyDescent="0.3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324</v>
      </c>
      <c r="C54" s="93"/>
      <c r="D54" s="93"/>
      <c r="E54" s="93"/>
      <c r="F54" s="93">
        <f>'[1]Onglet 4'!F44</f>
        <v>0</v>
      </c>
      <c r="G54" s="93">
        <f>'[1]Onglet 4'!G44</f>
        <v>0</v>
      </c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325</v>
      </c>
      <c r="C55" s="93"/>
      <c r="D55" s="93"/>
      <c r="E55" s="93"/>
      <c r="F55" s="93">
        <f>'[1]Onglet 4'!F45</f>
        <v>0</v>
      </c>
      <c r="G55" s="93">
        <f>'[1]Onglet 4'!G45</f>
        <v>0</v>
      </c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326</v>
      </c>
      <c r="C56" s="93"/>
      <c r="D56" s="93"/>
      <c r="E56" s="93"/>
      <c r="F56" s="93">
        <f>'[1]Onglet 4'!F46</f>
        <v>0</v>
      </c>
      <c r="G56" s="93">
        <f>'[1]Onglet 4'!G46</f>
        <v>0</v>
      </c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327</v>
      </c>
      <c r="C57" s="93">
        <v>3</v>
      </c>
      <c r="D57" s="93">
        <v>3</v>
      </c>
      <c r="E57" s="93">
        <v>3</v>
      </c>
      <c r="F57" s="93">
        <v>3</v>
      </c>
      <c r="G57" s="93">
        <v>3</v>
      </c>
      <c r="H57" s="93">
        <v>3</v>
      </c>
      <c r="I57" s="93"/>
      <c r="J57" s="93"/>
      <c r="K57" s="93"/>
      <c r="L57" s="93"/>
      <c r="M57" s="42">
        <f t="shared" si="3"/>
        <v>18</v>
      </c>
    </row>
    <row r="58" spans="1:108" x14ac:dyDescent="0.3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2.5433999999999998E-2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2.5433999999999998E-2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2.5433999999999998E-2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2.5433999999999998E-2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2.5433999999999998E-2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2.5433999999999998E-2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0.15260400000000002</v>
      </c>
    </row>
    <row r="59" spans="1:108" s="17" customFormat="1" x14ac:dyDescent="0.3">
      <c r="A59" s="19"/>
      <c r="B59" s="20" t="s">
        <v>186</v>
      </c>
      <c r="C59" s="94">
        <f>C52+C53+C58</f>
        <v>6.2063999999999994E-2</v>
      </c>
      <c r="D59" s="94">
        <f t="shared" ref="D59:L59" si="5">D52+D53+D58</f>
        <v>6.2063999999999994E-2</v>
      </c>
      <c r="E59" s="94">
        <f t="shared" si="5"/>
        <v>6.2063999999999994E-2</v>
      </c>
      <c r="F59" s="94">
        <f t="shared" si="5"/>
        <v>6.2063999999999994E-2</v>
      </c>
      <c r="G59" s="94">
        <f t="shared" si="5"/>
        <v>6.2063999999999994E-2</v>
      </c>
      <c r="H59" s="94">
        <f t="shared" si="5"/>
        <v>6.2063999999999994E-2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0.37238399999999999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144</v>
      </c>
      <c r="C60" s="96">
        <f>((C37+C38+C39)/1000*44/28*'(ne pas modifier) BDD_REF'!$B$232)+'RECeff + REIamont (2)'!C49+'RECeff + REIamont (2)'!C59</f>
        <v>0.25452541428571429</v>
      </c>
      <c r="D60" s="96">
        <f>((D37+D38+D39)/1000*44/28*'(ne pas modifier) BDD_REF'!$B$232)+'RECeff + REIamont (2)'!D49+'RECeff + REIamont (2)'!D59</f>
        <v>0.25452541428571429</v>
      </c>
      <c r="E60" s="96">
        <f>((E37+E38+E39)/1000*44/28*'(ne pas modifier) BDD_REF'!$B$232)+'RECeff + REIamont (2)'!E49+'RECeff + REIamont (2)'!E59</f>
        <v>0.25452541428571429</v>
      </c>
      <c r="F60" s="96">
        <f>((F37+F38+F39)/1000*44/28*'(ne pas modifier) BDD_REF'!$B$232)+'RECeff + REIamont (2)'!F49+'RECeff + REIamont (2)'!F59</f>
        <v>0.25452541428571429</v>
      </c>
      <c r="G60" s="96">
        <f>((G37+G38+G39)/1000*44/28*'(ne pas modifier) BDD_REF'!$B$232)+'RECeff + REIamont (2)'!G49+'RECeff + REIamont (2)'!G59</f>
        <v>0.25452541428571429</v>
      </c>
      <c r="H60" s="96">
        <f>((H37+H38+H39)/1000*44/28*'(ne pas modifier) BDD_REF'!$B$232)+'RECeff + REIamont (2)'!H49+'RECeff + REIamont (2)'!H59</f>
        <v>0.25452541428571429</v>
      </c>
      <c r="I60" s="96">
        <f>((I37+I38+I39)/1000*44/28*'(ne pas modifier) BDD_REF'!$B$232)+'RECeff + REIamont (2)'!I49+'RECeff + REIamont (2)'!I59</f>
        <v>0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1.5271524857142857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148</v>
      </c>
      <c r="B61" s="7" t="s">
        <v>312</v>
      </c>
      <c r="C61" s="93"/>
      <c r="D61" s="93"/>
      <c r="E61" s="93"/>
      <c r="F61" s="93">
        <f>'[1]Onglet 4'!F49</f>
        <v>0</v>
      </c>
      <c r="G61" s="93">
        <f>'[1]Onglet 4'!G49</f>
        <v>0</v>
      </c>
      <c r="H61" s="93"/>
      <c r="I61" s="93"/>
      <c r="J61" s="93"/>
      <c r="K61" s="93"/>
      <c r="L61" s="93"/>
      <c r="M61" s="42">
        <f t="shared" si="3"/>
        <v>0</v>
      </c>
    </row>
    <row r="62" spans="1:108" x14ac:dyDescent="0.3">
      <c r="B62" s="7" t="s">
        <v>313</v>
      </c>
      <c r="C62" s="93">
        <v>30</v>
      </c>
      <c r="D62" s="93">
        <v>30</v>
      </c>
      <c r="E62" s="93">
        <v>30</v>
      </c>
      <c r="F62" s="93">
        <v>30</v>
      </c>
      <c r="G62" s="93">
        <v>30</v>
      </c>
      <c r="H62" s="93">
        <v>30</v>
      </c>
      <c r="I62" s="93"/>
      <c r="J62" s="93"/>
      <c r="K62" s="93"/>
      <c r="L62" s="93"/>
      <c r="M62" s="42">
        <f t="shared" si="3"/>
        <v>180</v>
      </c>
    </row>
    <row r="63" spans="1:108" x14ac:dyDescent="0.3">
      <c r="B63" s="7" t="s">
        <v>314</v>
      </c>
      <c r="C63" s="93"/>
      <c r="D63" s="93"/>
      <c r="E63" s="93"/>
      <c r="F63" s="93">
        <f>'[1]Onglet 4'!F51</f>
        <v>0</v>
      </c>
      <c r="G63" s="93">
        <f>'[1]Onglet 4'!G51</f>
        <v>0</v>
      </c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328</v>
      </c>
      <c r="C64" s="42">
        <f>C61*'(ne pas modifier) BDD_REF'!$B$207 + (C62+C63)*'(ne pas modifier) BDD_REF'!$B$208</f>
        <v>0.18</v>
      </c>
      <c r="D64" s="42">
        <f>D61*'(ne pas modifier) BDD_REF'!$B$207 + (D62+D63)*'(ne pas modifier) BDD_REF'!$B$208</f>
        <v>0.18</v>
      </c>
      <c r="E64" s="42">
        <f>E61*'(ne pas modifier) BDD_REF'!$B$207 + (E62+E63)*'(ne pas modifier) BDD_REF'!$B$208</f>
        <v>0.18</v>
      </c>
      <c r="F64" s="42">
        <f>F61*'(ne pas modifier) BDD_REF'!$B$207 + (F62+F63)*'(ne pas modifier) BDD_REF'!$B$208</f>
        <v>0.18</v>
      </c>
      <c r="G64" s="42">
        <f>G61*'(ne pas modifier) BDD_REF'!$B$207 + (G62+G63)*'(ne pas modifier) BDD_REF'!$B$208</f>
        <v>0.18</v>
      </c>
      <c r="H64" s="42">
        <f>H61*'(ne pas modifier) BDD_REF'!$B$207 + (H62+H63)*'(ne pas modifier) BDD_REF'!$B$208</f>
        <v>0.18</v>
      </c>
      <c r="I64" s="42">
        <f>I61*'(ne pas modifier) BDD_REF'!$B$207 + (I62+I63)*'(ne pas modifier) BDD_REF'!$B$208</f>
        <v>0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1.0799999999999998</v>
      </c>
    </row>
    <row r="65" spans="1:108" x14ac:dyDescent="0.3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6.3E-2</v>
      </c>
      <c r="D65" s="42">
        <f>((D61*'(ne pas modifier) BDD_REF'!$B$220)+('RECeff + REIamont (2)'!D62+'RECeff + REIamont (2)'!D63)*'(ne pas modifier) BDD_REF'!$B$221)*'(ne pas modifier) BDD_REF'!$B$209</f>
        <v>6.3E-2</v>
      </c>
      <c r="E65" s="42">
        <f>((E61*'(ne pas modifier) BDD_REF'!$B$220)+('RECeff + REIamont (2)'!E62+'RECeff + REIamont (2)'!E63)*'(ne pas modifier) BDD_REF'!$B$221)*'(ne pas modifier) BDD_REF'!$B$209</f>
        <v>6.3E-2</v>
      </c>
      <c r="F65" s="42">
        <f>((F61*'(ne pas modifier) BDD_REF'!$B$220)+('RECeff + REIamont (2)'!F62+'RECeff + REIamont (2)'!F63)*'(ne pas modifier) BDD_REF'!$B$221)*'(ne pas modifier) BDD_REF'!$B$209</f>
        <v>6.3E-2</v>
      </c>
      <c r="G65" s="42">
        <f>((G61*'(ne pas modifier) BDD_REF'!$B$220)+('RECeff + REIamont (2)'!G62+'RECeff + REIamont (2)'!G63)*'(ne pas modifier) BDD_REF'!$B$221)*'(ne pas modifier) BDD_REF'!$B$209</f>
        <v>6.3E-2</v>
      </c>
      <c r="H65" s="42">
        <f>((H61*'(ne pas modifier) BDD_REF'!$B$220)+('RECeff + REIamont (2)'!H62+'RECeff + REIamont (2)'!H63)*'(ne pas modifier) BDD_REF'!$B$221)*'(ne pas modifier) BDD_REF'!$B$209</f>
        <v>6.3E-2</v>
      </c>
      <c r="I65" s="42">
        <f>((I61*'(ne pas modifier) BDD_REF'!$B$220)+('RECeff + REIamont (2)'!I62+'RECeff + REIamont (2)'!I63)*'(ne pas modifier) BDD_REF'!$B$221)*'(ne pas modifier) BDD_REF'!$B$209</f>
        <v>0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0.378</v>
      </c>
    </row>
    <row r="66" spans="1:108" x14ac:dyDescent="0.3">
      <c r="B66" s="20" t="s">
        <v>330</v>
      </c>
      <c r="C66" s="42">
        <f>(C61+C62+C63)*'(ne pas modifier) BDD_REF'!$B$222*'(ne pas modifier) BDD_REF'!$B$210</f>
        <v>7.9199999999999993E-2</v>
      </c>
      <c r="D66" s="42">
        <f>(D61+D62+D63)*'(ne pas modifier) BDD_REF'!$B$222*'(ne pas modifier) BDD_REF'!$B$210</f>
        <v>7.9199999999999993E-2</v>
      </c>
      <c r="E66" s="42">
        <f>(E61+E62+E63)*'(ne pas modifier) BDD_REF'!$B$222*'(ne pas modifier) BDD_REF'!$B$210</f>
        <v>7.9199999999999993E-2</v>
      </c>
      <c r="F66" s="42">
        <f>(F61+F62+F63)*'(ne pas modifier) BDD_REF'!$B$222*'(ne pas modifier) BDD_REF'!$B$210</f>
        <v>7.9199999999999993E-2</v>
      </c>
      <c r="G66" s="42">
        <f>(G61+G62+G63)*'(ne pas modifier) BDD_REF'!$B$222*'(ne pas modifier) BDD_REF'!$B$210</f>
        <v>7.9199999999999993E-2</v>
      </c>
      <c r="H66" s="42">
        <f>(H61+H62+H63)*'(ne pas modifier) BDD_REF'!$B$222*'(ne pas modifier) BDD_REF'!$B$210</f>
        <v>7.9199999999999993E-2</v>
      </c>
      <c r="I66" s="42">
        <f>(I61+I62+I63)*'(ne pas modifier) BDD_REF'!$B$222*'(ne pas modifier) BDD_REF'!$B$210</f>
        <v>0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0.47519999999999996</v>
      </c>
    </row>
    <row r="67" spans="1:108" x14ac:dyDescent="0.3">
      <c r="B67" s="7" t="s">
        <v>315</v>
      </c>
      <c r="C67" s="93"/>
      <c r="D67" s="93"/>
      <c r="E67" s="93"/>
      <c r="F67" s="93">
        <f>'[1]Onglet 4'!F53</f>
        <v>0</v>
      </c>
      <c r="G67" s="93">
        <f>'[1]Onglet 4'!G53</f>
        <v>0</v>
      </c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316</v>
      </c>
      <c r="C68" s="93">
        <v>35</v>
      </c>
      <c r="D68" s="93">
        <v>35</v>
      </c>
      <c r="E68" s="93">
        <v>35</v>
      </c>
      <c r="F68" s="93">
        <v>35</v>
      </c>
      <c r="G68" s="93">
        <v>35</v>
      </c>
      <c r="H68" s="93">
        <v>35</v>
      </c>
      <c r="I68" s="93"/>
      <c r="J68" s="93"/>
      <c r="K68" s="93"/>
      <c r="L68" s="93"/>
      <c r="M68" s="42">
        <f t="shared" si="3"/>
        <v>210</v>
      </c>
    </row>
    <row r="69" spans="1:108" x14ac:dyDescent="0.3">
      <c r="B69" s="7" t="s">
        <v>317</v>
      </c>
      <c r="C69" s="93"/>
      <c r="D69" s="93"/>
      <c r="E69" s="93"/>
      <c r="F69" s="93">
        <f>'[1]Onglet 4'!F55</f>
        <v>0</v>
      </c>
      <c r="G69" s="93">
        <f>'[1]Onglet 4'!G55</f>
        <v>0</v>
      </c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318</v>
      </c>
      <c r="C70" s="93"/>
      <c r="D70" s="93"/>
      <c r="E70" s="93"/>
      <c r="F70" s="93">
        <f>'[1]Onglet 4'!F56</f>
        <v>0</v>
      </c>
      <c r="G70" s="93">
        <f>'[1]Onglet 4'!G56</f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319</v>
      </c>
      <c r="C71" s="93"/>
      <c r="D71" s="93"/>
      <c r="E71" s="93"/>
      <c r="F71" s="93">
        <f>'[1]Onglet 4'!F57</f>
        <v>0</v>
      </c>
      <c r="G71" s="93">
        <f>'[1]Onglet 4'!G57</f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320</v>
      </c>
      <c r="C72" s="93"/>
      <c r="D72" s="93"/>
      <c r="E72" s="93"/>
      <c r="F72" s="93">
        <f>'[1]Onglet 4'!F58</f>
        <v>0</v>
      </c>
      <c r="G72" s="93">
        <f>'[1]Onglet 4'!G58</f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0.10748499999999998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0.10748499999999998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0.10748499999999998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0.10748499999999998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0.10748499999999998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0.10748499999999998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0.64490999999999987</v>
      </c>
    </row>
    <row r="74" spans="1:108" x14ac:dyDescent="0.3">
      <c r="B74" s="7" t="s">
        <v>321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x14ac:dyDescent="0.3">
      <c r="B75" s="3" t="s">
        <v>184</v>
      </c>
      <c r="C75" s="42">
        <f>(C74*'(ne pas modifier) BDD_REF'!$B$211)/1000</f>
        <v>0</v>
      </c>
      <c r="D75" s="42">
        <f>(D74*'(ne pas modifier) BDD_REF'!$B$211)/1000</f>
        <v>0</v>
      </c>
      <c r="E75" s="42">
        <f>(E74*'(ne pas modifier) BDD_REF'!$B$211)/1000</f>
        <v>0</v>
      </c>
      <c r="F75" s="42">
        <f>(F74*'(ne pas modifier) BDD_REF'!$B$211)/1000</f>
        <v>0</v>
      </c>
      <c r="G75" s="42">
        <f>(G74*'(ne pas modifier) BDD_REF'!$B$211)/1000</f>
        <v>0</v>
      </c>
      <c r="H75" s="42">
        <f>(H74*'(ne pas modifier) BDD_REF'!$B$211)/1000</f>
        <v>0</v>
      </c>
      <c r="I75" s="42">
        <f>(I74*'(ne pas modifier) BDD_REF'!$B$211)/1000</f>
        <v>0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0</v>
      </c>
    </row>
    <row r="76" spans="1:108" s="17" customFormat="1" x14ac:dyDescent="0.3">
      <c r="A76" s="19"/>
      <c r="B76" s="20" t="s">
        <v>185</v>
      </c>
      <c r="C76" s="94">
        <f>C73+C75</f>
        <v>0.10748499999999998</v>
      </c>
      <c r="D76" s="94">
        <f t="shared" ref="D76:L76" si="7">D73+D75</f>
        <v>0.10748499999999998</v>
      </c>
      <c r="E76" s="94">
        <f t="shared" si="7"/>
        <v>0.10748499999999998</v>
      </c>
      <c r="F76" s="94">
        <f t="shared" si="7"/>
        <v>0.10748499999999998</v>
      </c>
      <c r="G76" s="94">
        <f t="shared" si="7"/>
        <v>0.10748499999999998</v>
      </c>
      <c r="H76" s="94">
        <f t="shared" si="7"/>
        <v>0.10748499999999998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0.64490999999999987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322</v>
      </c>
      <c r="C77" s="93">
        <v>22.5</v>
      </c>
      <c r="D77" s="93">
        <v>22.5</v>
      </c>
      <c r="E77" s="93">
        <v>22.5</v>
      </c>
      <c r="F77" s="93">
        <v>22.5</v>
      </c>
      <c r="G77" s="93">
        <v>22.5</v>
      </c>
      <c r="H77" s="93">
        <v>22.5</v>
      </c>
      <c r="I77" s="93"/>
      <c r="J77" s="93"/>
      <c r="K77" s="93"/>
      <c r="L77" s="93"/>
      <c r="M77" s="42">
        <f t="shared" si="6"/>
        <v>135</v>
      </c>
    </row>
    <row r="78" spans="1:108" x14ac:dyDescent="0.3">
      <c r="B78" s="7" t="s">
        <v>323</v>
      </c>
      <c r="C78" s="93">
        <v>15</v>
      </c>
      <c r="D78" s="93">
        <v>15</v>
      </c>
      <c r="E78" s="93">
        <v>15</v>
      </c>
      <c r="F78" s="93">
        <v>15</v>
      </c>
      <c r="G78" s="93">
        <v>15</v>
      </c>
      <c r="H78" s="93">
        <v>15</v>
      </c>
      <c r="I78" s="93"/>
      <c r="J78" s="93"/>
      <c r="K78" s="93"/>
      <c r="L78" s="93"/>
      <c r="M78" s="42">
        <f t="shared" si="6"/>
        <v>90</v>
      </c>
    </row>
    <row r="79" spans="1:108" x14ac:dyDescent="0.3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4.3275000000000001E-2</v>
      </c>
      <c r="D79" s="42">
        <f>(D61*'(ne pas modifier) BDD_REF'!$B$212+'RECeff + REIamont (2)'!D77*'(ne pas modifier) BDD_REF'!$B$213+'RECeff + REIamont (2)'!D78*'(ne pas modifier) BDD_REF'!$B$214)/1000</f>
        <v>4.3275000000000001E-2</v>
      </c>
      <c r="E79" s="42">
        <f>(E61*'(ne pas modifier) BDD_REF'!$B$212+'RECeff + REIamont (2)'!E77*'(ne pas modifier) BDD_REF'!$B$213+'RECeff + REIamont (2)'!E78*'(ne pas modifier) BDD_REF'!$B$214)/1000</f>
        <v>4.3275000000000001E-2</v>
      </c>
      <c r="F79" s="42">
        <f>(F61*'(ne pas modifier) BDD_REF'!$B$212+'RECeff + REIamont (2)'!F77*'(ne pas modifier) BDD_REF'!$B$213+'RECeff + REIamont (2)'!F78*'(ne pas modifier) BDD_REF'!$B$214)/1000</f>
        <v>4.3275000000000001E-2</v>
      </c>
      <c r="G79" s="42">
        <f>(G61*'(ne pas modifier) BDD_REF'!$B$212+'RECeff + REIamont (2)'!G77*'(ne pas modifier) BDD_REF'!$B$213+'RECeff + REIamont (2)'!G78*'(ne pas modifier) BDD_REF'!$B$214)/1000</f>
        <v>4.3275000000000001E-2</v>
      </c>
      <c r="H79" s="42">
        <f>(H61*'(ne pas modifier) BDD_REF'!$B$212+'RECeff + REIamont (2)'!H77*'(ne pas modifier) BDD_REF'!$B$213+'RECeff + REIamont (2)'!H78*'(ne pas modifier) BDD_REF'!$B$214)/1000</f>
        <v>4.3275000000000001E-2</v>
      </c>
      <c r="I79" s="42">
        <f>(I61*'(ne pas modifier) BDD_REF'!$B$212+'RECeff + REIamont (2)'!I77*'(ne pas modifier) BDD_REF'!$B$213+'RECeff + REIamont (2)'!I78*'(ne pas modifier) BDD_REF'!$B$214)/1000</f>
        <v>0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0.25964999999999999</v>
      </c>
    </row>
    <row r="80" spans="1:108" hidden="1" x14ac:dyDescent="0.3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324</v>
      </c>
      <c r="C81" s="93"/>
      <c r="D81" s="93"/>
      <c r="E81" s="93"/>
      <c r="F81" s="93">
        <f>'[1]Onglet 4'!F65</f>
        <v>0</v>
      </c>
      <c r="G81" s="93">
        <f>'[1]Onglet 4'!G65</f>
        <v>0</v>
      </c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325</v>
      </c>
      <c r="C82" s="93"/>
      <c r="D82" s="93"/>
      <c r="E82" s="93"/>
      <c r="F82" s="93">
        <f>'[1]Onglet 4'!F66</f>
        <v>0</v>
      </c>
      <c r="G82" s="93">
        <f>'[1]Onglet 4'!G66</f>
        <v>0</v>
      </c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326</v>
      </c>
      <c r="C83" s="93"/>
      <c r="D83" s="93"/>
      <c r="E83" s="93"/>
      <c r="F83" s="93">
        <f>'[1]Onglet 4'!F67</f>
        <v>0</v>
      </c>
      <c r="G83" s="93">
        <f>'[1]Onglet 4'!G67</f>
        <v>0</v>
      </c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327</v>
      </c>
      <c r="C84" s="93">
        <v>6</v>
      </c>
      <c r="D84" s="93">
        <v>6</v>
      </c>
      <c r="E84" s="93">
        <v>6</v>
      </c>
      <c r="F84" s="93">
        <v>6</v>
      </c>
      <c r="G84" s="93">
        <v>6</v>
      </c>
      <c r="H84" s="93">
        <v>6</v>
      </c>
      <c r="I84" s="93"/>
      <c r="J84" s="93"/>
      <c r="K84" s="93"/>
      <c r="L84" s="93"/>
      <c r="M84" s="42">
        <f t="shared" si="6"/>
        <v>36</v>
      </c>
    </row>
    <row r="85" spans="1:108" x14ac:dyDescent="0.3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5.0867999999999997E-2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5.0867999999999997E-2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5.0867999999999997E-2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5.0867999999999997E-2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5.0867999999999997E-2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5.0867999999999997E-2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0.30520800000000003</v>
      </c>
    </row>
    <row r="86" spans="1:108" s="17" customFormat="1" x14ac:dyDescent="0.3">
      <c r="A86" s="19"/>
      <c r="B86" s="20" t="s">
        <v>186</v>
      </c>
      <c r="C86" s="94">
        <f>C79+C80+C85</f>
        <v>9.4143000000000004E-2</v>
      </c>
      <c r="D86" s="94">
        <f t="shared" ref="D86:L86" si="8">D79+D80+D85</f>
        <v>9.4143000000000004E-2</v>
      </c>
      <c r="E86" s="94">
        <f t="shared" si="8"/>
        <v>9.4143000000000004E-2</v>
      </c>
      <c r="F86" s="94">
        <f t="shared" si="8"/>
        <v>9.4143000000000004E-2</v>
      </c>
      <c r="G86" s="94">
        <f t="shared" si="8"/>
        <v>9.4143000000000004E-2</v>
      </c>
      <c r="H86" s="94">
        <f t="shared" si="8"/>
        <v>9.4143000000000004E-2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0.56485799999999997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144</v>
      </c>
      <c r="C87" s="96">
        <f>((C64+C65+C66)/1000*44/28*'(ne pas modifier) BDD_REF'!$B$232)+'RECeff + REIamont (2)'!C76+'RECeff + REIamont (2)'!C86</f>
        <v>0.33580128571428569</v>
      </c>
      <c r="D87" s="96">
        <f>((D64+D65+D66)/1000*44/28*'(ne pas modifier) BDD_REF'!$B$232)+'RECeff + REIamont (2)'!D76+'RECeff + REIamont (2)'!D86</f>
        <v>0.33580128571428569</v>
      </c>
      <c r="E87" s="96">
        <f>((E64+E65+E66)/1000*44/28*'(ne pas modifier) BDD_REF'!$B$232)+'RECeff + REIamont (2)'!E76+'RECeff + REIamont (2)'!E86</f>
        <v>0.33580128571428569</v>
      </c>
      <c r="F87" s="96">
        <f>((F64+F65+F66)/1000*44/28*'(ne pas modifier) BDD_REF'!$B$232)+'RECeff + REIamont (2)'!F76+'RECeff + REIamont (2)'!F86</f>
        <v>0.33580128571428569</v>
      </c>
      <c r="G87" s="96">
        <f>((G64+G65+G66)/1000*44/28*'(ne pas modifier) BDD_REF'!$B$232)+'RECeff + REIamont (2)'!G76+'RECeff + REIamont (2)'!G86</f>
        <v>0.33580128571428569</v>
      </c>
      <c r="H87" s="96">
        <f>((H64+H65+H66)/1000*44/28*'(ne pas modifier) BDD_REF'!$B$232)+'RECeff + REIamont (2)'!H76+'RECeff + REIamont (2)'!H86</f>
        <v>0.33580128571428569</v>
      </c>
      <c r="I87" s="96">
        <f>((I64+I65+I66)/1000*44/28*'(ne pas modifier) BDD_REF'!$B$232)+'RECeff + REIamont (2)'!I76+'RECeff + REIamont (2)'!I86</f>
        <v>0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2.0148077142857139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149</v>
      </c>
      <c r="B88" s="7" t="s">
        <v>312</v>
      </c>
      <c r="C88" s="93"/>
      <c r="D88" s="93"/>
      <c r="E88" s="93"/>
      <c r="F88" s="93">
        <f>'[1]Onglet 4'!F70</f>
        <v>0</v>
      </c>
      <c r="G88" s="93">
        <f>'[1]Onglet 4'!G70</f>
        <v>0</v>
      </c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313</v>
      </c>
      <c r="C89" s="93">
        <v>40</v>
      </c>
      <c r="D89" s="93">
        <v>40</v>
      </c>
      <c r="E89" s="93">
        <v>40</v>
      </c>
      <c r="F89" s="93">
        <v>40</v>
      </c>
      <c r="G89" s="93">
        <v>40</v>
      </c>
      <c r="H89" s="93">
        <v>40</v>
      </c>
      <c r="I89" s="93"/>
      <c r="J89" s="93"/>
      <c r="K89" s="93"/>
      <c r="L89" s="93"/>
      <c r="M89" s="42">
        <f t="shared" si="6"/>
        <v>240</v>
      </c>
    </row>
    <row r="90" spans="1:108" x14ac:dyDescent="0.3">
      <c r="B90" s="7" t="s">
        <v>314</v>
      </c>
      <c r="C90" s="93"/>
      <c r="D90" s="93"/>
      <c r="E90" s="93"/>
      <c r="F90" s="93">
        <f>'[1]Onglet 4'!F72</f>
        <v>0</v>
      </c>
      <c r="G90" s="93">
        <f>'[1]Onglet 4'!G72</f>
        <v>0</v>
      </c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328</v>
      </c>
      <c r="C91" s="42">
        <f>C88*'(ne pas modifier) BDD_REF'!$B$207 + (C89+C90)*'(ne pas modifier) BDD_REF'!$B$208</f>
        <v>0.24</v>
      </c>
      <c r="D91" s="42">
        <f>D88*'(ne pas modifier) BDD_REF'!$B$207 + (D89+D90)*'(ne pas modifier) BDD_REF'!$B$208</f>
        <v>0.24</v>
      </c>
      <c r="E91" s="42">
        <f>E88*'(ne pas modifier) BDD_REF'!$B$207 + (E89+E90)*'(ne pas modifier) BDD_REF'!$B$208</f>
        <v>0.24</v>
      </c>
      <c r="F91" s="42">
        <f>F88*'(ne pas modifier) BDD_REF'!$B$207 + (F89+F90)*'(ne pas modifier) BDD_REF'!$B$208</f>
        <v>0.24</v>
      </c>
      <c r="G91" s="42">
        <f>G88*'(ne pas modifier) BDD_REF'!$B$207 + (G89+G90)*'(ne pas modifier) BDD_REF'!$B$208</f>
        <v>0.24</v>
      </c>
      <c r="H91" s="42">
        <f>H88*'(ne pas modifier) BDD_REF'!$B$207 + (H89+H90)*'(ne pas modifier) BDD_REF'!$B$208</f>
        <v>0.24</v>
      </c>
      <c r="I91" s="42">
        <f>I88*'(ne pas modifier) BDD_REF'!$B$207 + (I89+I90)*'(ne pas modifier) BDD_REF'!$B$208</f>
        <v>0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1.44</v>
      </c>
    </row>
    <row r="92" spans="1:108" x14ac:dyDescent="0.3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8.4000000000000005E-2</v>
      </c>
      <c r="D92" s="42">
        <f>((D88*'(ne pas modifier) BDD_REF'!$B$220)+('RECeff + REIamont (2)'!D89+'RECeff + REIamont (2)'!D90)*'(ne pas modifier) BDD_REF'!$B$221)*'(ne pas modifier) BDD_REF'!$B$209</f>
        <v>8.4000000000000005E-2</v>
      </c>
      <c r="E92" s="42">
        <f>((E88*'(ne pas modifier) BDD_REF'!$B$220)+('RECeff + REIamont (2)'!E89+'RECeff + REIamont (2)'!E90)*'(ne pas modifier) BDD_REF'!$B$221)*'(ne pas modifier) BDD_REF'!$B$209</f>
        <v>8.4000000000000005E-2</v>
      </c>
      <c r="F92" s="42">
        <f>((F88*'(ne pas modifier) BDD_REF'!$B$220)+('RECeff + REIamont (2)'!F89+'RECeff + REIamont (2)'!F90)*'(ne pas modifier) BDD_REF'!$B$221)*'(ne pas modifier) BDD_REF'!$B$209</f>
        <v>8.4000000000000005E-2</v>
      </c>
      <c r="G92" s="42">
        <f>((G88*'(ne pas modifier) BDD_REF'!$B$220)+('RECeff + REIamont (2)'!G89+'RECeff + REIamont (2)'!G90)*'(ne pas modifier) BDD_REF'!$B$221)*'(ne pas modifier) BDD_REF'!$B$209</f>
        <v>8.4000000000000005E-2</v>
      </c>
      <c r="H92" s="42">
        <f>((H88*'(ne pas modifier) BDD_REF'!$B$220)+('RECeff + REIamont (2)'!H89+'RECeff + REIamont (2)'!H90)*'(ne pas modifier) BDD_REF'!$B$221)*'(ne pas modifier) BDD_REF'!$B$209</f>
        <v>8.4000000000000005E-2</v>
      </c>
      <c r="I92" s="42">
        <f>((I88*'(ne pas modifier) BDD_REF'!$B$220)+('RECeff + REIamont (2)'!I89+'RECeff + REIamont (2)'!I90)*'(ne pas modifier) BDD_REF'!$B$221)*'(ne pas modifier) BDD_REF'!$B$209</f>
        <v>0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0.504</v>
      </c>
    </row>
    <row r="93" spans="1:108" x14ac:dyDescent="0.3">
      <c r="B93" s="20" t="s">
        <v>330</v>
      </c>
      <c r="C93" s="42">
        <f>(C88+C89+C90)*'(ne pas modifier) BDD_REF'!$B$222*'(ne pas modifier) BDD_REF'!$B$210</f>
        <v>0.10559999999999999</v>
      </c>
      <c r="D93" s="42">
        <f>(D88+D89+D90)*'(ne pas modifier) BDD_REF'!$B$222*'(ne pas modifier) BDD_REF'!$B$210</f>
        <v>0.10559999999999999</v>
      </c>
      <c r="E93" s="42">
        <f>(E88+E89+E90)*'(ne pas modifier) BDD_REF'!$B$222*'(ne pas modifier) BDD_REF'!$B$210</f>
        <v>0.10559999999999999</v>
      </c>
      <c r="F93" s="42">
        <f>(F88+F89+F90)*'(ne pas modifier) BDD_REF'!$B$222*'(ne pas modifier) BDD_REF'!$B$210</f>
        <v>0.10559999999999999</v>
      </c>
      <c r="G93" s="42">
        <f>(G88+G89+G90)*'(ne pas modifier) BDD_REF'!$B$222*'(ne pas modifier) BDD_REF'!$B$210</f>
        <v>0.10559999999999999</v>
      </c>
      <c r="H93" s="42">
        <f>(H88+H89+H90)*'(ne pas modifier) BDD_REF'!$B$222*'(ne pas modifier) BDD_REF'!$B$210</f>
        <v>0.10559999999999999</v>
      </c>
      <c r="I93" s="42">
        <f>(I88+I89+I90)*'(ne pas modifier) BDD_REF'!$B$222*'(ne pas modifier) BDD_REF'!$B$210</f>
        <v>0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0.63359999999999994</v>
      </c>
    </row>
    <row r="94" spans="1:108" x14ac:dyDescent="0.3">
      <c r="B94" s="7" t="s">
        <v>315</v>
      </c>
      <c r="C94" s="93"/>
      <c r="D94" s="93"/>
      <c r="E94" s="93"/>
      <c r="F94" s="93">
        <f>'[1]Onglet 4'!F74</f>
        <v>0</v>
      </c>
      <c r="G94" s="93">
        <f>'[1]Onglet 4'!G74</f>
        <v>0</v>
      </c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316</v>
      </c>
      <c r="C95" s="93">
        <v>35</v>
      </c>
      <c r="D95" s="93">
        <v>35</v>
      </c>
      <c r="E95" s="93">
        <v>35</v>
      </c>
      <c r="F95" s="93">
        <v>35</v>
      </c>
      <c r="G95" s="93">
        <v>35</v>
      </c>
      <c r="H95" s="93">
        <v>35</v>
      </c>
      <c r="I95" s="93"/>
      <c r="J95" s="93"/>
      <c r="K95" s="93"/>
      <c r="L95" s="93"/>
      <c r="M95" s="42">
        <f t="shared" si="6"/>
        <v>210</v>
      </c>
    </row>
    <row r="96" spans="1:108" x14ac:dyDescent="0.3">
      <c r="B96" s="7" t="s">
        <v>317</v>
      </c>
      <c r="C96" s="93"/>
      <c r="D96" s="93"/>
      <c r="E96" s="93"/>
      <c r="F96" s="93">
        <f>'[1]Onglet 4'!F76</f>
        <v>0</v>
      </c>
      <c r="G96" s="93">
        <f>'[1]Onglet 4'!G76</f>
        <v>0</v>
      </c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318</v>
      </c>
      <c r="C97" s="93"/>
      <c r="D97" s="93"/>
      <c r="E97" s="93"/>
      <c r="F97" s="93">
        <f>'[1]Onglet 4'!F77</f>
        <v>0</v>
      </c>
      <c r="G97" s="93">
        <f>'[1]Onglet 4'!G77</f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319</v>
      </c>
      <c r="C98" s="93"/>
      <c r="D98" s="93"/>
      <c r="E98" s="93"/>
      <c r="F98" s="93">
        <f>'[1]Onglet 4'!F78</f>
        <v>0</v>
      </c>
      <c r="G98" s="93">
        <f>'[1]Onglet 4'!G78</f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320</v>
      </c>
      <c r="C99" s="93"/>
      <c r="D99" s="93"/>
      <c r="E99" s="93"/>
      <c r="F99" s="93">
        <f>'[1]Onglet 4'!F79</f>
        <v>0</v>
      </c>
      <c r="G99" s="93">
        <f>'[1]Onglet 4'!G79</f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0.10748499999999998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0.10748499999999998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0.10748499999999998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0.10748499999999998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0.10748499999999998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0.10748499999999998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0.64490999999999987</v>
      </c>
    </row>
    <row r="101" spans="1:108" x14ac:dyDescent="0.3">
      <c r="B101" s="7" t="s">
        <v>321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x14ac:dyDescent="0.3">
      <c r="B102" s="3" t="s">
        <v>184</v>
      </c>
      <c r="C102" s="42">
        <f>(C101*'(ne pas modifier) BDD_REF'!$B$211)/1000</f>
        <v>0</v>
      </c>
      <c r="D102" s="42">
        <f>(D101*'(ne pas modifier) BDD_REF'!$B$211)/1000</f>
        <v>0</v>
      </c>
      <c r="E102" s="42">
        <f>(E101*'(ne pas modifier) BDD_REF'!$B$211)/1000</f>
        <v>0</v>
      </c>
      <c r="F102" s="42">
        <f>(F101*'(ne pas modifier) BDD_REF'!$B$211)/1000</f>
        <v>0</v>
      </c>
      <c r="G102" s="42">
        <f>(G101*'(ne pas modifier) BDD_REF'!$B$211)/1000</f>
        <v>0</v>
      </c>
      <c r="H102" s="42">
        <f>(H101*'(ne pas modifier) BDD_REF'!$B$211)/1000</f>
        <v>0</v>
      </c>
      <c r="I102" s="42">
        <f>(I101*'(ne pas modifier) BDD_REF'!$B$211)/1000</f>
        <v>0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0</v>
      </c>
    </row>
    <row r="103" spans="1:108" s="17" customFormat="1" x14ac:dyDescent="0.3">
      <c r="A103" s="19"/>
      <c r="B103" s="20" t="s">
        <v>185</v>
      </c>
      <c r="C103" s="94">
        <f>C100+C102</f>
        <v>0.10748499999999998</v>
      </c>
      <c r="D103" s="94">
        <f t="shared" ref="D103:L103" si="9">D100+D102</f>
        <v>0.10748499999999998</v>
      </c>
      <c r="E103" s="94">
        <f t="shared" si="9"/>
        <v>0.10748499999999998</v>
      </c>
      <c r="F103" s="94">
        <f t="shared" si="9"/>
        <v>0.10748499999999998</v>
      </c>
      <c r="G103" s="94">
        <f t="shared" si="9"/>
        <v>0.10748499999999998</v>
      </c>
      <c r="H103" s="94">
        <f t="shared" si="9"/>
        <v>0.10748499999999998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0.64490999999999987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322</v>
      </c>
      <c r="C104" s="93">
        <v>30</v>
      </c>
      <c r="D104" s="93">
        <v>30</v>
      </c>
      <c r="E104" s="93">
        <v>30</v>
      </c>
      <c r="F104" s="93">
        <v>30</v>
      </c>
      <c r="G104" s="93">
        <v>30</v>
      </c>
      <c r="H104" s="93">
        <v>30</v>
      </c>
      <c r="I104" s="93"/>
      <c r="J104" s="93"/>
      <c r="K104" s="93"/>
      <c r="L104" s="93"/>
      <c r="M104" s="42">
        <f t="shared" si="10"/>
        <v>180</v>
      </c>
    </row>
    <row r="105" spans="1:108" x14ac:dyDescent="0.3">
      <c r="B105" s="7" t="s">
        <v>323</v>
      </c>
      <c r="C105" s="93">
        <v>20</v>
      </c>
      <c r="D105" s="93">
        <v>20</v>
      </c>
      <c r="E105" s="93">
        <v>20</v>
      </c>
      <c r="F105" s="93">
        <v>20</v>
      </c>
      <c r="G105" s="93">
        <v>20</v>
      </c>
      <c r="H105" s="93">
        <v>20</v>
      </c>
      <c r="I105" s="93"/>
      <c r="J105" s="93"/>
      <c r="K105" s="93"/>
      <c r="L105" s="93"/>
      <c r="M105" s="42">
        <f t="shared" si="10"/>
        <v>120</v>
      </c>
    </row>
    <row r="106" spans="1:108" x14ac:dyDescent="0.3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5.7700000000000001E-2</v>
      </c>
      <c r="D106" s="42">
        <f>(D88*'(ne pas modifier) BDD_REF'!$B$212+'RECeff + REIamont (2)'!D104*'(ne pas modifier) BDD_REF'!$B$213+'RECeff + REIamont (2)'!D105*'(ne pas modifier) BDD_REF'!$B$214)/1000</f>
        <v>5.7700000000000001E-2</v>
      </c>
      <c r="E106" s="42">
        <f>(E88*'(ne pas modifier) BDD_REF'!$B$212+'RECeff + REIamont (2)'!E104*'(ne pas modifier) BDD_REF'!$B$213+'RECeff + REIamont (2)'!E105*'(ne pas modifier) BDD_REF'!$B$214)/1000</f>
        <v>5.7700000000000001E-2</v>
      </c>
      <c r="F106" s="42">
        <f>(F88*'(ne pas modifier) BDD_REF'!$B$212+'RECeff + REIamont (2)'!F104*'(ne pas modifier) BDD_REF'!$B$213+'RECeff + REIamont (2)'!F105*'(ne pas modifier) BDD_REF'!$B$214)/1000</f>
        <v>5.7700000000000001E-2</v>
      </c>
      <c r="G106" s="42">
        <f>(G88*'(ne pas modifier) BDD_REF'!$B$212+'RECeff + REIamont (2)'!G104*'(ne pas modifier) BDD_REF'!$B$213+'RECeff + REIamont (2)'!G105*'(ne pas modifier) BDD_REF'!$B$214)/1000</f>
        <v>5.7700000000000001E-2</v>
      </c>
      <c r="H106" s="42">
        <f>(H88*'(ne pas modifier) BDD_REF'!$B$212+'RECeff + REIamont (2)'!H104*'(ne pas modifier) BDD_REF'!$B$213+'RECeff + REIamont (2)'!H105*'(ne pas modifier) BDD_REF'!$B$214)/1000</f>
        <v>5.7700000000000001E-2</v>
      </c>
      <c r="I106" s="42">
        <f>(I88*'(ne pas modifier) BDD_REF'!$B$212+'RECeff + REIamont (2)'!I104*'(ne pas modifier) BDD_REF'!$B$213+'RECeff + REIamont (2)'!I105*'(ne pas modifier) BDD_REF'!$B$214)/1000</f>
        <v>0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0.34619999999999995</v>
      </c>
    </row>
    <row r="107" spans="1:108" hidden="1" x14ac:dyDescent="0.3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324</v>
      </c>
      <c r="C108" s="93"/>
      <c r="D108" s="93"/>
      <c r="E108" s="93"/>
      <c r="F108" s="93">
        <f>'[1]Onglet 4'!F86</f>
        <v>0</v>
      </c>
      <c r="G108" s="93">
        <f>'[1]Onglet 4'!G86</f>
        <v>0</v>
      </c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325</v>
      </c>
      <c r="C109" s="93"/>
      <c r="D109" s="93"/>
      <c r="E109" s="93"/>
      <c r="F109" s="93">
        <f>'[1]Onglet 4'!F87</f>
        <v>0</v>
      </c>
      <c r="G109" s="93">
        <f>'[1]Onglet 4'!G87</f>
        <v>0</v>
      </c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326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327</v>
      </c>
      <c r="C111" s="93">
        <v>6</v>
      </c>
      <c r="D111" s="93">
        <v>6</v>
      </c>
      <c r="E111" s="93">
        <v>6</v>
      </c>
      <c r="F111" s="93">
        <v>6</v>
      </c>
      <c r="G111" s="93">
        <v>6</v>
      </c>
      <c r="H111" s="93">
        <v>6</v>
      </c>
      <c r="I111" s="93"/>
      <c r="J111" s="93"/>
      <c r="K111" s="93"/>
      <c r="L111" s="93"/>
      <c r="M111" s="42">
        <f t="shared" si="10"/>
        <v>36</v>
      </c>
    </row>
    <row r="112" spans="1:108" x14ac:dyDescent="0.3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5.0867999999999997E-2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5.0867999999999997E-2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5.0867999999999997E-2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5.0867999999999997E-2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5.0867999999999997E-2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5.0867999999999997E-2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0.30520800000000003</v>
      </c>
    </row>
    <row r="113" spans="1:108" s="17" customFormat="1" x14ac:dyDescent="0.3">
      <c r="A113" s="19"/>
      <c r="B113" s="20" t="s">
        <v>186</v>
      </c>
      <c r="C113" s="94">
        <f>C106+C107+C112</f>
        <v>0.108568</v>
      </c>
      <c r="D113" s="94">
        <f t="shared" ref="D113:L113" si="11">D106+D107+D112</f>
        <v>0.108568</v>
      </c>
      <c r="E113" s="94">
        <f t="shared" si="11"/>
        <v>0.108568</v>
      </c>
      <c r="F113" s="94">
        <f t="shared" si="11"/>
        <v>0.108568</v>
      </c>
      <c r="G113" s="94">
        <f t="shared" si="11"/>
        <v>0.108568</v>
      </c>
      <c r="H113" s="94">
        <f t="shared" si="11"/>
        <v>0.108568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0.65140799999999999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144</v>
      </c>
      <c r="C114" s="96">
        <f>((C91+C92+C93)/1000*44/28*'(ne pas modifier) BDD_REF'!$B$232)+'RECeff + REIamont (2)'!C103+'RECeff + REIamont (2)'!C113</f>
        <v>0.39495071428571427</v>
      </c>
      <c r="D114" s="96">
        <f>((D91+D92+D93)/1000*44/28*'(ne pas modifier) BDD_REF'!$B$232)+'RECeff + REIamont (2)'!D103+'RECeff + REIamont (2)'!D113</f>
        <v>0.39495071428571427</v>
      </c>
      <c r="E114" s="96">
        <f>((E91+E92+E93)/1000*44/28*'(ne pas modifier) BDD_REF'!$B$232)+'RECeff + REIamont (2)'!E103+'RECeff + REIamont (2)'!E113</f>
        <v>0.39495071428571427</v>
      </c>
      <c r="F114" s="96">
        <f>((F91+F92+F93)/1000*44/28*'(ne pas modifier) BDD_REF'!$B$232)+'RECeff + REIamont (2)'!F103+'RECeff + REIamont (2)'!F113</f>
        <v>0.39495071428571427</v>
      </c>
      <c r="G114" s="96">
        <f>((G91+G92+G93)/1000*44/28*'(ne pas modifier) BDD_REF'!$B$232)+'RECeff + REIamont (2)'!G103+'RECeff + REIamont (2)'!G113</f>
        <v>0.39495071428571427</v>
      </c>
      <c r="H114" s="96">
        <f>((H91+H92+H93)/1000*44/28*'(ne pas modifier) BDD_REF'!$B$232)+'RECeff + REIamont (2)'!H103+'RECeff + REIamont (2)'!H113</f>
        <v>0.39495071428571427</v>
      </c>
      <c r="I114" s="96">
        <f>((I91+I92+I93)/1000*44/28*'(ne pas modifier) BDD_REF'!$B$232)+'RECeff + REIamont (2)'!I103+'RECeff + REIamont (2)'!I113</f>
        <v>0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2.3697042857142856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150</v>
      </c>
      <c r="B115" s="7" t="s">
        <v>312</v>
      </c>
      <c r="C115" s="93"/>
      <c r="D115" s="93"/>
      <c r="E115" s="93"/>
      <c r="F115" s="93">
        <f>'[1]Onglet 4'!F91</f>
        <v>0</v>
      </c>
      <c r="G115" s="93">
        <f>'[1]Onglet 4'!G91</f>
        <v>0</v>
      </c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313</v>
      </c>
      <c r="C116" s="93">
        <v>50</v>
      </c>
      <c r="D116" s="93">
        <v>50</v>
      </c>
      <c r="E116" s="93">
        <v>50</v>
      </c>
      <c r="F116" s="93">
        <v>50</v>
      </c>
      <c r="G116" s="93">
        <v>50</v>
      </c>
      <c r="H116" s="93">
        <v>50</v>
      </c>
      <c r="I116" s="93"/>
      <c r="J116" s="93"/>
      <c r="K116" s="93"/>
      <c r="L116" s="93"/>
      <c r="M116" s="42">
        <f t="shared" si="10"/>
        <v>300</v>
      </c>
    </row>
    <row r="117" spans="1:108" x14ac:dyDescent="0.3">
      <c r="B117" s="7" t="s">
        <v>314</v>
      </c>
      <c r="C117" s="93"/>
      <c r="D117" s="93"/>
      <c r="E117" s="93"/>
      <c r="F117" s="93">
        <f>'[1]Onglet 4'!F93</f>
        <v>0</v>
      </c>
      <c r="G117" s="93">
        <f>'[1]Onglet 4'!G93</f>
        <v>0</v>
      </c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328</v>
      </c>
      <c r="C118" s="42">
        <f>C115*'(ne pas modifier) BDD_REF'!$B$207 + (C116+C117)*'(ne pas modifier) BDD_REF'!$B$208</f>
        <v>0.3</v>
      </c>
      <c r="D118" s="42">
        <f>D115*'(ne pas modifier) BDD_REF'!$B$207 + (D116+D117)*'(ne pas modifier) BDD_REF'!$B$208</f>
        <v>0.3</v>
      </c>
      <c r="E118" s="42">
        <f>E115*'(ne pas modifier) BDD_REF'!$B$207 + (E116+E117)*'(ne pas modifier) BDD_REF'!$B$208</f>
        <v>0.3</v>
      </c>
      <c r="F118" s="42">
        <f>F115*'(ne pas modifier) BDD_REF'!$B$207 + (F116+F117)*'(ne pas modifier) BDD_REF'!$B$208</f>
        <v>0.3</v>
      </c>
      <c r="G118" s="42">
        <f>G115*'(ne pas modifier) BDD_REF'!$B$207 + (G116+G117)*'(ne pas modifier) BDD_REF'!$B$208</f>
        <v>0.3</v>
      </c>
      <c r="H118" s="42">
        <f>H115*'(ne pas modifier) BDD_REF'!$B$207 + (H116+H117)*'(ne pas modifier) BDD_REF'!$B$208</f>
        <v>0.3</v>
      </c>
      <c r="I118" s="42">
        <f>I115*'(ne pas modifier) BDD_REF'!$B$207 + (I116+I117)*'(ne pas modifier) BDD_REF'!$B$208</f>
        <v>0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1.8</v>
      </c>
    </row>
    <row r="119" spans="1:108" x14ac:dyDescent="0.3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0.105</v>
      </c>
      <c r="D119" s="42">
        <f>((D115*'(ne pas modifier) BDD_REF'!$B$220)+('RECeff + REIamont (2)'!D116+'RECeff + REIamont (2)'!D117)*'(ne pas modifier) BDD_REF'!$B$221)*'(ne pas modifier) BDD_REF'!$B$209</f>
        <v>0.105</v>
      </c>
      <c r="E119" s="42">
        <f>((E115*'(ne pas modifier) BDD_REF'!$B$220)+('RECeff + REIamont (2)'!E116+'RECeff + REIamont (2)'!E117)*'(ne pas modifier) BDD_REF'!$B$221)*'(ne pas modifier) BDD_REF'!$B$209</f>
        <v>0.105</v>
      </c>
      <c r="F119" s="42">
        <f>((F115*'(ne pas modifier) BDD_REF'!$B$220)+('RECeff + REIamont (2)'!F116+'RECeff + REIamont (2)'!F117)*'(ne pas modifier) BDD_REF'!$B$221)*'(ne pas modifier) BDD_REF'!$B$209</f>
        <v>0.105</v>
      </c>
      <c r="G119" s="42">
        <f>((G115*'(ne pas modifier) BDD_REF'!$B$220)+('RECeff + REIamont (2)'!G116+'RECeff + REIamont (2)'!G117)*'(ne pas modifier) BDD_REF'!$B$221)*'(ne pas modifier) BDD_REF'!$B$209</f>
        <v>0.105</v>
      </c>
      <c r="H119" s="42">
        <f>((H115*'(ne pas modifier) BDD_REF'!$B$220)+('RECeff + REIamont (2)'!H116+'RECeff + REIamont (2)'!H117)*'(ne pas modifier) BDD_REF'!$B$221)*'(ne pas modifier) BDD_REF'!$B$209</f>
        <v>0.105</v>
      </c>
      <c r="I119" s="42">
        <f>((I115*'(ne pas modifier) BDD_REF'!$B$220)+('RECeff + REIamont (2)'!I116+'RECeff + REIamont (2)'!I117)*'(ne pas modifier) BDD_REF'!$B$221)*'(ne pas modifier) BDD_REF'!$B$209</f>
        <v>0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0.63</v>
      </c>
    </row>
    <row r="120" spans="1:108" x14ac:dyDescent="0.3">
      <c r="B120" s="20" t="s">
        <v>330</v>
      </c>
      <c r="C120" s="42">
        <f>(C115+C116+C117)*'(ne pas modifier) BDD_REF'!$B$222*'(ne pas modifier) BDD_REF'!$B$210</f>
        <v>0.13200000000000001</v>
      </c>
      <c r="D120" s="42">
        <f>(D115+D116+D117)*'(ne pas modifier) BDD_REF'!$B$222*'(ne pas modifier) BDD_REF'!$B$210</f>
        <v>0.13200000000000001</v>
      </c>
      <c r="E120" s="42">
        <f>(E115+E116+E117)*'(ne pas modifier) BDD_REF'!$B$222*'(ne pas modifier) BDD_REF'!$B$210</f>
        <v>0.13200000000000001</v>
      </c>
      <c r="F120" s="42">
        <f>(F115+F116+F117)*'(ne pas modifier) BDD_REF'!$B$222*'(ne pas modifier) BDD_REF'!$B$210</f>
        <v>0.13200000000000001</v>
      </c>
      <c r="G120" s="42">
        <f>(G115+G116+G117)*'(ne pas modifier) BDD_REF'!$B$222*'(ne pas modifier) BDD_REF'!$B$210</f>
        <v>0.13200000000000001</v>
      </c>
      <c r="H120" s="42">
        <f>(H115+H116+H117)*'(ne pas modifier) BDD_REF'!$B$222*'(ne pas modifier) BDD_REF'!$B$210</f>
        <v>0.13200000000000001</v>
      </c>
      <c r="I120" s="42">
        <f>(I115+I116+I117)*'(ne pas modifier) BDD_REF'!$B$222*'(ne pas modifier) BDD_REF'!$B$210</f>
        <v>0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0.79200000000000004</v>
      </c>
    </row>
    <row r="121" spans="1:108" x14ac:dyDescent="0.3">
      <c r="B121" s="7" t="s">
        <v>315</v>
      </c>
      <c r="C121" s="93"/>
      <c r="D121" s="93"/>
      <c r="E121" s="93"/>
      <c r="F121" s="93">
        <f>'[1]Onglet 4'!F95</f>
        <v>0</v>
      </c>
      <c r="G121" s="93">
        <f>'[1]Onglet 4'!G95</f>
        <v>0</v>
      </c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316</v>
      </c>
      <c r="C122" s="93">
        <v>35</v>
      </c>
      <c r="D122" s="93">
        <v>35</v>
      </c>
      <c r="E122" s="93">
        <v>35</v>
      </c>
      <c r="F122" s="93">
        <v>35</v>
      </c>
      <c r="G122" s="93">
        <v>35</v>
      </c>
      <c r="H122" s="93">
        <v>35</v>
      </c>
      <c r="I122" s="93"/>
      <c r="J122" s="93"/>
      <c r="K122" s="93"/>
      <c r="L122" s="93"/>
      <c r="M122" s="42">
        <f t="shared" si="10"/>
        <v>210</v>
      </c>
    </row>
    <row r="123" spans="1:108" x14ac:dyDescent="0.3">
      <c r="B123" s="7" t="s">
        <v>317</v>
      </c>
      <c r="C123" s="93"/>
      <c r="D123" s="93"/>
      <c r="E123" s="93"/>
      <c r="F123" s="93">
        <f>'[1]Onglet 4'!F97</f>
        <v>0</v>
      </c>
      <c r="G123" s="93">
        <f>'[1]Onglet 4'!G97</f>
        <v>0</v>
      </c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318</v>
      </c>
      <c r="C124" s="93"/>
      <c r="D124" s="93"/>
      <c r="E124" s="93"/>
      <c r="F124" s="93">
        <f>'[1]Onglet 4'!F98</f>
        <v>0</v>
      </c>
      <c r="G124" s="93">
        <f>'[1]Onglet 4'!G98</f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319</v>
      </c>
      <c r="C125" s="93"/>
      <c r="D125" s="93"/>
      <c r="E125" s="93"/>
      <c r="F125" s="93">
        <f>'[1]Onglet 4'!F99</f>
        <v>0</v>
      </c>
      <c r="G125" s="93">
        <f>'[1]Onglet 4'!G99</f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320</v>
      </c>
      <c r="C126" s="93"/>
      <c r="D126" s="93"/>
      <c r="E126" s="93"/>
      <c r="F126" s="93">
        <f>'[1]Onglet 4'!F100</f>
        <v>0</v>
      </c>
      <c r="G126" s="93">
        <f>'[1]Onglet 4'!G100</f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0.10748499999999998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0.10748499999999998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0.10748499999999998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0.10748499999999998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0.10748499999999998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0.10748499999999998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0.64490999999999987</v>
      </c>
    </row>
    <row r="128" spans="1:108" x14ac:dyDescent="0.3">
      <c r="B128" s="7" t="s">
        <v>321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x14ac:dyDescent="0.3">
      <c r="B129" s="3" t="s">
        <v>184</v>
      </c>
      <c r="C129" s="42">
        <f>(C128*'(ne pas modifier) BDD_REF'!$B$211)/1000</f>
        <v>0</v>
      </c>
      <c r="D129" s="42">
        <f>(D128*'(ne pas modifier) BDD_REF'!$B$211)/1000</f>
        <v>0</v>
      </c>
      <c r="E129" s="42">
        <f>(E128*'(ne pas modifier) BDD_REF'!$B$211)/1000</f>
        <v>0</v>
      </c>
      <c r="F129" s="42">
        <f>(F128*'(ne pas modifier) BDD_REF'!$B$211)/1000</f>
        <v>0</v>
      </c>
      <c r="G129" s="42">
        <f>(G128*'(ne pas modifier) BDD_REF'!$B$211)/1000</f>
        <v>0</v>
      </c>
      <c r="H129" s="42">
        <f>(H128*'(ne pas modifier) BDD_REF'!$B$211)/1000</f>
        <v>0</v>
      </c>
      <c r="I129" s="42">
        <f>(I128*'(ne pas modifier) BDD_REF'!$B$211)/1000</f>
        <v>0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0</v>
      </c>
    </row>
    <row r="130" spans="1:108" s="17" customFormat="1" x14ac:dyDescent="0.3">
      <c r="A130" s="19"/>
      <c r="B130" s="20" t="s">
        <v>185</v>
      </c>
      <c r="C130" s="94">
        <f>C127+C129</f>
        <v>0.10748499999999998</v>
      </c>
      <c r="D130" s="94">
        <f t="shared" ref="D130:L130" si="12">D127+D129</f>
        <v>0.10748499999999998</v>
      </c>
      <c r="E130" s="94">
        <f t="shared" si="12"/>
        <v>0.10748499999999998</v>
      </c>
      <c r="F130" s="94">
        <f t="shared" si="12"/>
        <v>0.10748499999999998</v>
      </c>
      <c r="G130" s="94">
        <f t="shared" si="12"/>
        <v>0.10748499999999998</v>
      </c>
      <c r="H130" s="94">
        <f t="shared" si="12"/>
        <v>0.10748499999999998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0.64490999999999987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322</v>
      </c>
      <c r="C131" s="93">
        <v>37.5</v>
      </c>
      <c r="D131" s="93">
        <v>37.5</v>
      </c>
      <c r="E131" s="93">
        <v>37.5</v>
      </c>
      <c r="F131" s="93">
        <v>37.5</v>
      </c>
      <c r="G131" s="93">
        <v>37.5</v>
      </c>
      <c r="H131" s="93">
        <v>37.5</v>
      </c>
      <c r="I131" s="93"/>
      <c r="J131" s="93"/>
      <c r="K131" s="93"/>
      <c r="L131" s="93"/>
      <c r="M131" s="42">
        <f t="shared" si="10"/>
        <v>225</v>
      </c>
    </row>
    <row r="132" spans="1:108" x14ac:dyDescent="0.3">
      <c r="B132" s="7" t="s">
        <v>323</v>
      </c>
      <c r="C132" s="93">
        <v>25</v>
      </c>
      <c r="D132" s="93">
        <v>25</v>
      </c>
      <c r="E132" s="93">
        <v>25</v>
      </c>
      <c r="F132" s="93">
        <v>25</v>
      </c>
      <c r="G132" s="93">
        <v>25</v>
      </c>
      <c r="H132" s="93">
        <v>25</v>
      </c>
      <c r="I132" s="93"/>
      <c r="J132" s="93"/>
      <c r="K132" s="93"/>
      <c r="L132" s="93"/>
      <c r="M132" s="42">
        <f t="shared" si="10"/>
        <v>150</v>
      </c>
    </row>
    <row r="133" spans="1:108" x14ac:dyDescent="0.3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7.2124999999999995E-2</v>
      </c>
      <c r="D133" s="42">
        <f>(D115*'(ne pas modifier) BDD_REF'!$B$212+'RECeff + REIamont (2)'!D131*'(ne pas modifier) BDD_REF'!$B$213+'RECeff + REIamont (2)'!D132*'(ne pas modifier) BDD_REF'!$B$214)/1000</f>
        <v>7.2124999999999995E-2</v>
      </c>
      <c r="E133" s="42">
        <f>(E115*'(ne pas modifier) BDD_REF'!$B$212+'RECeff + REIamont (2)'!E131*'(ne pas modifier) BDD_REF'!$B$213+'RECeff + REIamont (2)'!E132*'(ne pas modifier) BDD_REF'!$B$214)/1000</f>
        <v>7.2124999999999995E-2</v>
      </c>
      <c r="F133" s="42">
        <f>(F115*'(ne pas modifier) BDD_REF'!$B$212+'RECeff + REIamont (2)'!F131*'(ne pas modifier) BDD_REF'!$B$213+'RECeff + REIamont (2)'!F132*'(ne pas modifier) BDD_REF'!$B$214)/1000</f>
        <v>7.2124999999999995E-2</v>
      </c>
      <c r="G133" s="42">
        <f>(G115*'(ne pas modifier) BDD_REF'!$B$212+'RECeff + REIamont (2)'!G131*'(ne pas modifier) BDD_REF'!$B$213+'RECeff + REIamont (2)'!G132*'(ne pas modifier) BDD_REF'!$B$214)/1000</f>
        <v>7.2124999999999995E-2</v>
      </c>
      <c r="H133" s="42">
        <f>(H115*'(ne pas modifier) BDD_REF'!$B$212+'RECeff + REIamont (2)'!H131*'(ne pas modifier) BDD_REF'!$B$213+'RECeff + REIamont (2)'!H132*'(ne pas modifier) BDD_REF'!$B$214)/1000</f>
        <v>7.2124999999999995E-2</v>
      </c>
      <c r="I133" s="42">
        <f>(I115*'(ne pas modifier) BDD_REF'!$B$212+'RECeff + REIamont (2)'!I131*'(ne pas modifier) BDD_REF'!$B$213+'RECeff + REIamont (2)'!I132*'(ne pas modifier) BDD_REF'!$B$214)/1000</f>
        <v>0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0.43274999999999997</v>
      </c>
    </row>
    <row r="134" spans="1:108" hidden="1" x14ac:dyDescent="0.3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324</v>
      </c>
      <c r="C135" s="93"/>
      <c r="D135" s="93"/>
      <c r="E135" s="93"/>
      <c r="F135" s="93">
        <f>'[1]Onglet 4'!F107</f>
        <v>0</v>
      </c>
      <c r="G135" s="93">
        <f>'[1]Onglet 4'!G107</f>
        <v>0</v>
      </c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3">
      <c r="B136" s="7" t="s">
        <v>325</v>
      </c>
      <c r="C136" s="93"/>
      <c r="D136" s="93"/>
      <c r="E136" s="93"/>
      <c r="F136" s="93">
        <f>'[1]Onglet 4'!F108</f>
        <v>0</v>
      </c>
      <c r="G136" s="93">
        <f>'[1]Onglet 4'!G108</f>
        <v>0</v>
      </c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326</v>
      </c>
      <c r="C137" s="93"/>
      <c r="D137" s="93"/>
      <c r="E137" s="93"/>
      <c r="F137" s="93">
        <f>'[1]Onglet 4'!F109</f>
        <v>0</v>
      </c>
      <c r="G137" s="93">
        <f>'[1]Onglet 4'!G109</f>
        <v>0</v>
      </c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327</v>
      </c>
      <c r="C138" s="93">
        <v>6</v>
      </c>
      <c r="D138" s="93">
        <v>6</v>
      </c>
      <c r="E138" s="93">
        <v>6</v>
      </c>
      <c r="F138" s="93">
        <v>6</v>
      </c>
      <c r="G138" s="93">
        <v>6</v>
      </c>
      <c r="H138" s="93">
        <v>6</v>
      </c>
      <c r="I138" s="93"/>
      <c r="J138" s="93"/>
      <c r="K138" s="93"/>
      <c r="L138" s="93"/>
      <c r="M138" s="42">
        <f t="shared" si="13"/>
        <v>36</v>
      </c>
    </row>
    <row r="139" spans="1:108" x14ac:dyDescent="0.3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5.0867999999999997E-2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5.0867999999999997E-2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5.0867999999999997E-2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5.0867999999999997E-2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5.0867999999999997E-2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5.0867999999999997E-2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0.30520800000000003</v>
      </c>
    </row>
    <row r="140" spans="1:108" s="17" customFormat="1" x14ac:dyDescent="0.3">
      <c r="A140" s="19"/>
      <c r="B140" s="20" t="s">
        <v>186</v>
      </c>
      <c r="C140" s="94">
        <f>C133+C134+C139</f>
        <v>0.12299299999999999</v>
      </c>
      <c r="D140" s="94">
        <f t="shared" ref="D140:L140" si="14">D133+D134+D139</f>
        <v>0.12299299999999999</v>
      </c>
      <c r="E140" s="94">
        <f t="shared" si="14"/>
        <v>0.12299299999999999</v>
      </c>
      <c r="F140" s="94">
        <f t="shared" si="14"/>
        <v>0.12299299999999999</v>
      </c>
      <c r="G140" s="94">
        <f t="shared" si="14"/>
        <v>0.12299299999999999</v>
      </c>
      <c r="H140" s="94">
        <f t="shared" si="14"/>
        <v>0.12299299999999999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0.737958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144</v>
      </c>
      <c r="C141" s="96">
        <f>((C118+C119+C120)/1000*44/28*'(ne pas modifier) BDD_REF'!$B$232)+'RECeff + REIamont (2)'!C130+'RECeff + REIamont (2)'!C140</f>
        <v>0.45410014285714284</v>
      </c>
      <c r="D141" s="96">
        <f>((D118+D119+D120)/1000*44/28*'(ne pas modifier) BDD_REF'!$B$232)+'RECeff + REIamont (2)'!D130+'RECeff + REIamont (2)'!D140</f>
        <v>0.45410014285714284</v>
      </c>
      <c r="E141" s="96">
        <f>((E118+E119+E120)/1000*44/28*'(ne pas modifier) BDD_REF'!$B$232)+'RECeff + REIamont (2)'!E130+'RECeff + REIamont (2)'!E140</f>
        <v>0.45410014285714284</v>
      </c>
      <c r="F141" s="96">
        <f>((F118+F119+F120)/1000*44/28*'(ne pas modifier) BDD_REF'!$B$232)+'RECeff + REIamont (2)'!F130+'RECeff + REIamont (2)'!F140</f>
        <v>0.45410014285714284</v>
      </c>
      <c r="G141" s="96">
        <f>((G118+G119+G120)/1000*44/28*'(ne pas modifier) BDD_REF'!$B$232)+'RECeff + REIamont (2)'!G130+'RECeff + REIamont (2)'!G140</f>
        <v>0.45410014285714284</v>
      </c>
      <c r="H141" s="96">
        <f>((H118+H119+H120)/1000*44/28*'(ne pas modifier) BDD_REF'!$B$232)+'RECeff + REIamont (2)'!H130+'RECeff + REIamont (2)'!H140</f>
        <v>0.45410014285714284</v>
      </c>
      <c r="I141" s="96">
        <f>((I118+I119+I120)/1000*44/28*'(ne pas modifier) BDD_REF'!$B$232)+'RECeff + REIamont (2)'!I130+'RECeff + REIamont (2)'!I140</f>
        <v>0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2.7246008571428573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189</v>
      </c>
      <c r="C142" s="97">
        <f>C33+C60+C87+C114+C141</f>
        <v>1.5468625571428571</v>
      </c>
      <c r="D142" s="97">
        <f t="shared" ref="D142:L142" si="15">D33+D60+D87+D114+D141</f>
        <v>1.5468625571428571</v>
      </c>
      <c r="E142" s="97">
        <f t="shared" si="15"/>
        <v>1.5468625571428571</v>
      </c>
      <c r="F142" s="97">
        <f t="shared" si="15"/>
        <v>1.5468625571428571</v>
      </c>
      <c r="G142" s="97">
        <f t="shared" si="15"/>
        <v>1.5468625571428571</v>
      </c>
      <c r="H142" s="97">
        <f t="shared" si="15"/>
        <v>1.5468625571428571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9.2811753428571429</v>
      </c>
    </row>
    <row r="143" spans="1:108" x14ac:dyDescent="0.3">
      <c r="B143" s="79" t="s">
        <v>222</v>
      </c>
      <c r="C143" s="97">
        <f>(C142-C5*5)</f>
        <v>-16.627423821160974</v>
      </c>
      <c r="D143" s="97">
        <f t="shared" ref="D143:L143" si="16">(D142-D5*5)</f>
        <v>-16.627423821160974</v>
      </c>
      <c r="E143" s="97">
        <f t="shared" si="16"/>
        <v>-16.627423821160974</v>
      </c>
      <c r="F143" s="97">
        <f t="shared" si="16"/>
        <v>-16.627423821160974</v>
      </c>
      <c r="G143" s="97">
        <f t="shared" si="16"/>
        <v>-16.627423821160974</v>
      </c>
      <c r="H143" s="97">
        <f t="shared" si="16"/>
        <v>-16.627423821160974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188</v>
      </c>
      <c r="C144" s="91">
        <f>C143*Eligibilité_projet!B8</f>
        <v>-31.425831021994238</v>
      </c>
      <c r="D144" s="91">
        <f>D143*Eligibilité_projet!C8</f>
        <v>-0.49882271463482919</v>
      </c>
      <c r="E144" s="91">
        <f>E143*Eligibilité_projet!D8</f>
        <v>-6.4846952902527804</v>
      </c>
      <c r="F144" s="91">
        <f>F143*Eligibilité_projet!E8</f>
        <v>-2.1615650967509268</v>
      </c>
      <c r="G144" s="91">
        <f>G143*Eligibilité_projet!F8</f>
        <v>-10.641551245543024</v>
      </c>
      <c r="H144" s="91">
        <f>H143*Eligibilité_projet!G8</f>
        <v>-7.1497922430992187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-58.362257612275023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8" t="s">
        <v>334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3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3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3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3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3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3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3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3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3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3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3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3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3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3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3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3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3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3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3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3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3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3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3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3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3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3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3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3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259</v>
      </c>
      <c r="C51" s="39" t="s">
        <v>258</v>
      </c>
      <c r="M51" s="2"/>
    </row>
    <row r="52" spans="1:13" ht="28.8" x14ac:dyDescent="0.3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3">
      <c r="B53" s="38" t="s">
        <v>239</v>
      </c>
      <c r="C53" s="41">
        <f>0.325/1000</f>
        <v>3.2499999999999999E-4</v>
      </c>
      <c r="M53" s="2"/>
    </row>
    <row r="54" spans="1:13" x14ac:dyDescent="0.3">
      <c r="B54" s="38" t="s">
        <v>255</v>
      </c>
      <c r="C54" s="41">
        <f>0.335/1000</f>
        <v>3.3500000000000001E-4</v>
      </c>
      <c r="M54" s="2"/>
    </row>
    <row r="55" spans="1:13" x14ac:dyDescent="0.3">
      <c r="B55" s="38" t="s">
        <v>256</v>
      </c>
      <c r="C55" s="41">
        <f>0.282/1000</f>
        <v>2.8199999999999997E-4</v>
      </c>
      <c r="M55" s="2"/>
    </row>
    <row r="56" spans="1:13" ht="28.8" x14ac:dyDescent="0.3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3">
      <c r="B57" s="38" t="s">
        <v>262</v>
      </c>
      <c r="C57" s="38">
        <f>0.313/1000</f>
        <v>3.1300000000000002E-4</v>
      </c>
      <c r="M57" s="2"/>
    </row>
    <row r="58" spans="1:13" x14ac:dyDescent="0.3">
      <c r="B58" s="38" t="s">
        <v>263</v>
      </c>
      <c r="C58" s="38">
        <f>0.319/1000</f>
        <v>3.19E-4</v>
      </c>
      <c r="M58" s="2"/>
    </row>
    <row r="59" spans="1:13" x14ac:dyDescent="0.3">
      <c r="B59" s="38" t="s">
        <v>264</v>
      </c>
      <c r="C59" s="38">
        <f>0.306/1000</f>
        <v>3.0600000000000001E-4</v>
      </c>
      <c r="M59" s="2"/>
    </row>
    <row r="60" spans="1:13" x14ac:dyDescent="0.3">
      <c r="B60" s="38" t="s">
        <v>265</v>
      </c>
      <c r="C60" s="38">
        <f>0.174/1000</f>
        <v>1.74E-4</v>
      </c>
      <c r="M60" s="2"/>
    </row>
    <row r="61" spans="1:13" x14ac:dyDescent="0.3">
      <c r="B61" s="38" t="s">
        <v>266</v>
      </c>
      <c r="C61" s="38">
        <f>0.273/1000</f>
        <v>2.7300000000000002E-4</v>
      </c>
      <c r="M61" s="2"/>
    </row>
    <row r="62" spans="1:13" x14ac:dyDescent="0.3">
      <c r="B62" s="38" t="s">
        <v>243</v>
      </c>
      <c r="C62" s="38">
        <f>0.272/1000</f>
        <v>2.72E-4</v>
      </c>
      <c r="M62" s="2"/>
    </row>
    <row r="63" spans="1:13" x14ac:dyDescent="0.3">
      <c r="B63" s="38" t="s">
        <v>267</v>
      </c>
      <c r="C63" s="38">
        <f>0.311/1000</f>
        <v>3.1100000000000002E-4</v>
      </c>
      <c r="M63" s="2"/>
    </row>
    <row r="64" spans="1:13" x14ac:dyDescent="0.3">
      <c r="B64" s="38" t="s">
        <v>268</v>
      </c>
      <c r="C64" s="38">
        <f>0.132/1000</f>
        <v>1.3200000000000001E-4</v>
      </c>
      <c r="M64" s="2"/>
    </row>
    <row r="65" spans="1:13" x14ac:dyDescent="0.3">
      <c r="B65" s="38" t="s">
        <v>269</v>
      </c>
      <c r="C65" s="38">
        <f>0.238/1000</f>
        <v>2.3799999999999998E-4</v>
      </c>
      <c r="M65" s="2"/>
    </row>
    <row r="66" spans="1:13" x14ac:dyDescent="0.3">
      <c r="B66" s="38" t="s">
        <v>270</v>
      </c>
      <c r="C66" s="38">
        <f>0.23/1000</f>
        <v>2.3000000000000001E-4</v>
      </c>
      <c r="M66" s="2"/>
    </row>
    <row r="67" spans="1:13" ht="43.2" x14ac:dyDescent="0.3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3">
      <c r="B68" s="38" t="s">
        <v>273</v>
      </c>
      <c r="C68" s="38">
        <f>0.331/1000</f>
        <v>3.3100000000000002E-4</v>
      </c>
      <c r="M68" s="2"/>
    </row>
    <row r="69" spans="1:13" x14ac:dyDescent="0.3">
      <c r="B69" s="38" t="s">
        <v>274</v>
      </c>
      <c r="C69" s="38">
        <f>0.331/1000</f>
        <v>3.3100000000000002E-4</v>
      </c>
      <c r="M69" s="2"/>
    </row>
    <row r="70" spans="1:13" ht="28.8" x14ac:dyDescent="0.3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3">
      <c r="B71" s="38" t="s">
        <v>277</v>
      </c>
      <c r="C71" s="38">
        <f>0.308/1000</f>
        <v>3.0800000000000001E-4</v>
      </c>
      <c r="M71" s="2"/>
    </row>
    <row r="72" spans="1:13" x14ac:dyDescent="0.3">
      <c r="B72" s="38" t="s">
        <v>278</v>
      </c>
      <c r="C72" s="38">
        <f>0.313/1000</f>
        <v>3.1300000000000002E-4</v>
      </c>
      <c r="M72" s="2"/>
    </row>
    <row r="73" spans="1:13" ht="28.8" x14ac:dyDescent="0.3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28.8" x14ac:dyDescent="0.3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3">
      <c r="B75" s="38" t="s">
        <v>283</v>
      </c>
      <c r="C75" s="38">
        <f>0.244/1000</f>
        <v>2.4399999999999999E-4</v>
      </c>
      <c r="M75" s="2"/>
    </row>
    <row r="76" spans="1:13" ht="28.8" x14ac:dyDescent="0.3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227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F36" sqref="F36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3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2.4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2.4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2.4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2.4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14.4</v>
      </c>
      <c r="N5" s="2"/>
      <c r="O5" s="2"/>
      <c r="P5" s="2"/>
      <c r="Q5" s="2"/>
    </row>
    <row r="6" spans="1:17" x14ac:dyDescent="0.3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3.72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3.72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3.72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3.72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22.32</v>
      </c>
      <c r="N6" s="2"/>
      <c r="O6" s="2"/>
      <c r="P6" s="2"/>
      <c r="Q6" s="2"/>
    </row>
    <row r="7" spans="1:17" x14ac:dyDescent="0.3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5.04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5.04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5.04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5.04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30.24</v>
      </c>
      <c r="N7" s="2"/>
      <c r="O7" s="2"/>
      <c r="P7" s="2"/>
      <c r="Q7" s="2"/>
    </row>
    <row r="8" spans="1:17" x14ac:dyDescent="0.3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6.36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6.36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6.36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6.36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38.160000000000004</v>
      </c>
      <c r="N8" s="2"/>
      <c r="O8" s="2"/>
      <c r="P8" s="2"/>
      <c r="Q8" s="2"/>
    </row>
    <row r="9" spans="1:17" x14ac:dyDescent="0.3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6.6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6.6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6.6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6.6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39.6</v>
      </c>
      <c r="N9" s="2"/>
      <c r="O9" s="2"/>
      <c r="P9" s="2"/>
      <c r="Q9" s="2"/>
    </row>
    <row r="10" spans="1:17" x14ac:dyDescent="0.3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7.7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7.7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7.7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7.7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46.2</v>
      </c>
      <c r="N10" s="2"/>
      <c r="O10" s="2"/>
      <c r="P10" s="2"/>
      <c r="Q10" s="2"/>
    </row>
    <row r="11" spans="1:17" x14ac:dyDescent="0.3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8.8000000000000007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8.8000000000000007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8.8000000000000007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8.8000000000000007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52.8</v>
      </c>
      <c r="N11" s="2"/>
      <c r="O11" s="2"/>
      <c r="P11" s="2"/>
      <c r="Q11" s="2"/>
    </row>
    <row r="12" spans="1:17" x14ac:dyDescent="0.3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9.9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9.9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9.9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9.9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59.4</v>
      </c>
      <c r="N12" s="2"/>
      <c r="O12" s="2"/>
      <c r="P12" s="2"/>
      <c r="Q12" s="2"/>
    </row>
    <row r="13" spans="1:17" x14ac:dyDescent="0.3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11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11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11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11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66</v>
      </c>
      <c r="N13" s="2"/>
      <c r="O13" s="2"/>
      <c r="P13" s="2"/>
      <c r="Q13" s="2"/>
    </row>
    <row r="14" spans="1:17" x14ac:dyDescent="0.3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12.1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12.1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12.1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12.1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72.599999999999994</v>
      </c>
      <c r="N14" s="2"/>
      <c r="O14" s="2"/>
      <c r="P14" s="2"/>
      <c r="Q14" s="2"/>
    </row>
    <row r="15" spans="1:17" x14ac:dyDescent="0.3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12.46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12.46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12.46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12.46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74.760000000000005</v>
      </c>
      <c r="N15" s="2"/>
      <c r="O15" s="2"/>
      <c r="P15" s="2"/>
      <c r="Q15" s="2"/>
    </row>
    <row r="16" spans="1:17" x14ac:dyDescent="0.3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12.82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12.82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12.82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12.82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76.919999999999987</v>
      </c>
      <c r="N16" s="2"/>
      <c r="O16" s="2"/>
      <c r="P16" s="2"/>
      <c r="Q16" s="2"/>
    </row>
    <row r="17" spans="1:17" x14ac:dyDescent="0.3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13.18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13.18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13.18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13.18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79.080000000000013</v>
      </c>
      <c r="N17" s="2"/>
      <c r="O17" s="2"/>
      <c r="P17" s="2"/>
      <c r="Q17" s="2"/>
    </row>
    <row r="18" spans="1:17" x14ac:dyDescent="0.3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13.54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13.54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13.54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13.54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81.239999999999981</v>
      </c>
      <c r="N18" s="2"/>
      <c r="O18" s="2"/>
      <c r="P18" s="2"/>
      <c r="Q18" s="2"/>
    </row>
    <row r="19" spans="1:17" x14ac:dyDescent="0.3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13.9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13.9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13.9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13.9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83.4</v>
      </c>
      <c r="N19" s="2"/>
      <c r="O19" s="2"/>
      <c r="P19" s="2"/>
      <c r="Q19" s="2"/>
    </row>
    <row r="20" spans="1:17" x14ac:dyDescent="0.3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13.98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13.98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13.98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13.98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83.88000000000001</v>
      </c>
      <c r="N20" s="2"/>
      <c r="O20" s="2"/>
      <c r="P20" s="2"/>
      <c r="Q20" s="2"/>
    </row>
    <row r="21" spans="1:17" x14ac:dyDescent="0.3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14.06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14.06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14.06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14.06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84.36</v>
      </c>
      <c r="N21" s="2"/>
      <c r="O21" s="2"/>
      <c r="P21" s="2"/>
      <c r="Q21" s="2"/>
    </row>
    <row r="22" spans="1:17" x14ac:dyDescent="0.3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14.14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14.14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14.14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14.14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84.84</v>
      </c>
      <c r="N22" s="2"/>
      <c r="O22" s="2"/>
      <c r="P22" s="2"/>
      <c r="Q22" s="2"/>
    </row>
    <row r="23" spans="1:17" x14ac:dyDescent="0.3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14.22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14.22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14.22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14.22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85.320000000000007</v>
      </c>
      <c r="N23" s="2"/>
      <c r="O23" s="2"/>
      <c r="P23" s="2"/>
      <c r="Q23" s="2"/>
    </row>
    <row r="24" spans="1:17" x14ac:dyDescent="0.3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14.3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14.3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14.3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14.3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85.8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3">
        <f>SUMIF($A5:$A24,"&lt;"&amp;Eligibilité_projet!B14+1,C5:C24)</f>
        <v>210.22</v>
      </c>
      <c r="D25" s="23">
        <f>SUMIF($A5:$A24,"&lt;"&amp;Eligibilité_projet!C14+1,D5:D24)</f>
        <v>210.22</v>
      </c>
      <c r="E25" s="23">
        <f>SUMIF($A5:$A24,"&lt;"&amp;Eligibilité_projet!D14+1,E5:E24)</f>
        <v>210.22</v>
      </c>
      <c r="F25" s="23">
        <f>SUMIF($A5:$A24,"&lt;"&amp;Eligibilité_projet!E14+1,F5:F24)</f>
        <v>210.22</v>
      </c>
      <c r="G25" s="23">
        <f>SUMIF($A5:$A24,"&lt;"&amp;Eligibilité_projet!F14+1,G5:G24)</f>
        <v>210.22</v>
      </c>
      <c r="H25" s="23">
        <f>SUMIF($A5:$A24,"&lt;"&amp;Eligibilité_projet!G14+1,H5:H24)</f>
        <v>210.22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1261.32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21</v>
      </c>
      <c r="G27" s="43">
        <f>Eligibilité_projet!F14 + 1</f>
        <v>21</v>
      </c>
      <c r="H27" s="43">
        <f>Eligibilité_projet!G14 + 1</f>
        <v>21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130</v>
      </c>
      <c r="N27" s="2"/>
      <c r="O27" s="2"/>
      <c r="P27" s="2"/>
      <c r="Q27" s="2"/>
    </row>
    <row r="28" spans="1:17" x14ac:dyDescent="0.3">
      <c r="B28" s="22" t="s">
        <v>296</v>
      </c>
      <c r="C28" s="25">
        <f>((C25/C27)-C26)*Eligibilité_projet!B8*44/12</f>
        <v>69.372599999999991</v>
      </c>
      <c r="D28" s="25">
        <f>((D25/D27)-D26)*Eligibilité_projet!C8*44/12</f>
        <v>1.1011523809523809</v>
      </c>
      <c r="E28" s="25">
        <f>((E25/E27)-E26)*Eligibilité_projet!D8*44/12</f>
        <v>14.314980952380951</v>
      </c>
      <c r="F28" s="25">
        <f>((F25/F27)-F26)*Eligibilité_projet!E8*44/12</f>
        <v>4.7716603174603174</v>
      </c>
      <c r="G28" s="25">
        <f>((G25/G27)-G26)*Eligibilité_projet!F8*44/12</f>
        <v>23.491250793650792</v>
      </c>
      <c r="H28" s="25">
        <f>((H25/H27)-H26)*Eligibilité_projet!G8*44/12</f>
        <v>15.783184126984127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128.83482857142857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5" t="s">
        <v>332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43.1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43.1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43.1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43.1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43.1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258.60000000000002</v>
      </c>
      <c r="N5" s="2"/>
      <c r="O5" s="2"/>
      <c r="P5" s="2"/>
    </row>
    <row r="6" spans="1:16" x14ac:dyDescent="0.3">
      <c r="B6" s="7" t="s">
        <v>307</v>
      </c>
      <c r="C6" s="23">
        <f>IF(Eligibilité_projet!B13="Hors climat Mediterranéen",'(ne pas modifier) BDD_REF'!$C$272,IF(Eligibilité_projet!B13="",0,'(ne pas modifier) BDD_REF'!$B$272))</f>
        <v>41.5</v>
      </c>
      <c r="D6" s="23">
        <f>IF(Eligibilité_projet!C13="Hors climat Mediterranéen",'(ne pas modifier) BDD_REF'!$C$272,IF(Eligibilité_projet!C13="",0,'(ne pas modifier) BDD_REF'!$B$272))</f>
        <v>41.5</v>
      </c>
      <c r="E6" s="23">
        <f>IF(Eligibilité_projet!D13="Hors climat Mediterranéen",'(ne pas modifier) BDD_REF'!$C$272,IF(Eligibilité_projet!D13="",0,'(ne pas modifier) BDD_REF'!$B$272))</f>
        <v>41.5</v>
      </c>
      <c r="F6" s="23">
        <f>IF(Eligibilité_projet!E13="Hors climat Mediterranéen",'(ne pas modifier) BDD_REF'!$C$272,IF(Eligibilité_projet!E13="",0,'(ne pas modifier) BDD_REF'!$B$272))</f>
        <v>41.5</v>
      </c>
      <c r="G6" s="23">
        <f>IF(Eligibilité_projet!F13="Hors climat Mediterranéen",'(ne pas modifier) BDD_REF'!$C$272,IF(Eligibilité_projet!F13="",0,'(ne pas modifier) BDD_REF'!$B$272))</f>
        <v>41.5</v>
      </c>
      <c r="H6" s="23">
        <f>IF(Eligibilité_projet!G13="Hors climat Mediterranéen",'(ne pas modifier) BDD_REF'!$C$272,IF(Eligibilité_projet!G13="",0,'(ne pas modifier) BDD_REF'!$B$272))</f>
        <v>41.5</v>
      </c>
      <c r="I6" s="23">
        <f>IF(Eligibilité_projet!H13="Hors climat Mediterranéen",'(ne pas modifier) BDD_REF'!$C$272,IF(Eligibilité_projet!H13="",0,'(ne pas modifier) BDD_REF'!$B$272))</f>
        <v>0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249</v>
      </c>
      <c r="N6" s="2"/>
      <c r="O6" s="2"/>
      <c r="P6" s="2"/>
    </row>
    <row r="7" spans="1:16" x14ac:dyDescent="0.3">
      <c r="B7" s="7" t="s">
        <v>305</v>
      </c>
      <c r="C7" s="23">
        <f>Eligibilité_projet!B15</f>
        <v>1</v>
      </c>
      <c r="D7" s="23">
        <f>Eligibilité_projet!C15</f>
        <v>1</v>
      </c>
      <c r="E7" s="23">
        <f>Eligibilité_projet!D15</f>
        <v>1</v>
      </c>
      <c r="F7" s="23">
        <f>Eligibilité_projet!E15</f>
        <v>1</v>
      </c>
      <c r="G7" s="23">
        <f>Eligibilité_projet!F15</f>
        <v>1</v>
      </c>
      <c r="H7" s="23">
        <f>Eligibilité_projet!G15</f>
        <v>1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6</v>
      </c>
      <c r="N7" s="2"/>
      <c r="O7" s="2"/>
      <c r="P7" s="2"/>
    </row>
    <row r="8" spans="1:16" ht="28.8" x14ac:dyDescent="0.3">
      <c r="B8" s="7" t="s">
        <v>297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20</v>
      </c>
      <c r="G8" s="23">
        <f>Eligibilité_projet!F14</f>
        <v>20</v>
      </c>
      <c r="H8" s="23">
        <f>Eligibilité_projet!G14</f>
        <v>20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120</v>
      </c>
      <c r="N8" s="2"/>
      <c r="O8" s="2"/>
      <c r="P8" s="2"/>
    </row>
    <row r="9" spans="1:16" x14ac:dyDescent="0.3">
      <c r="B9" s="22" t="s">
        <v>298</v>
      </c>
      <c r="C9" s="22">
        <f>((C6-C5)+('(ne pas modifier) BDD_REF'!$B$276*C7*C8))*Eligibilité_projet!B8*44/12</f>
        <v>56.825999999999993</v>
      </c>
      <c r="D9" s="22">
        <f>((D6-D5)+('(ne pas modifier) BDD_REF'!$B$276*D7*D8))*Eligibilité_projet!C8*44/12</f>
        <v>0.9019999999999998</v>
      </c>
      <c r="E9" s="22">
        <f>((E6-E5)+('(ne pas modifier) BDD_REF'!$B$276*E7*E8))*Eligibilité_projet!D8*44/12</f>
        <v>11.725999999999999</v>
      </c>
      <c r="F9" s="22">
        <f>((F6-F5)+('(ne pas modifier) BDD_REF'!$B$276*F7*F8))*Eligibilité_projet!E8*44/12</f>
        <v>3.9086666666666665</v>
      </c>
      <c r="G9" s="22">
        <f>((G6-G5)+('(ne pas modifier) BDD_REF'!$B$276*G7*G8))*Eligibilité_projet!F8*44/12</f>
        <v>19.242666666666665</v>
      </c>
      <c r="H9" s="22">
        <f>((H6-H5)+('(ne pas modifier) BDD_REF'!$B$276*H7*H8))*Eligibilité_projet!G8*44/12</f>
        <v>12.928666666666667</v>
      </c>
      <c r="I9" s="22">
        <f>((I6-I5)+('(ne pas modifier) BDD_REF'!$B$276*I7*I8))*Eligibilité_projet!H8*44/12</f>
        <v>0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105.53399999999999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8" t="s">
        <v>333</v>
      </c>
      <c r="C2" s="130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31" t="s">
        <v>142</v>
      </c>
      <c r="C4" s="132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143</v>
      </c>
      <c r="B7" s="3" t="s">
        <v>299</v>
      </c>
      <c r="C7" s="16">
        <f>IF(Eligibilité_projet!C2="OUI","/",'RECeff + REIamont (2)'!M144)</f>
        <v>-58.362257612275023</v>
      </c>
      <c r="D7" s="2"/>
      <c r="E7" s="2"/>
      <c r="F7" s="2"/>
    </row>
    <row r="8" spans="1:6" x14ac:dyDescent="0.3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6">
        <f>RECant_biom!M28</f>
        <v>128.83482857142857</v>
      </c>
      <c r="D9" s="2"/>
      <c r="E9" s="2"/>
      <c r="F9" s="2"/>
    </row>
    <row r="10" spans="1:6" x14ac:dyDescent="0.3">
      <c r="A10" s="2"/>
      <c r="B10" s="3" t="s">
        <v>298</v>
      </c>
      <c r="C10" s="16">
        <f>RECant_sol!M9</f>
        <v>105.53399999999999</v>
      </c>
      <c r="D10" s="2"/>
      <c r="E10" s="2"/>
      <c r="F10" s="2"/>
    </row>
    <row r="11" spans="1:6" x14ac:dyDescent="0.3">
      <c r="A11" s="2"/>
      <c r="B11" s="20" t="s">
        <v>301</v>
      </c>
      <c r="C11" s="45">
        <f>SUM(IF(Eligibilité_projet!C2="OUI",-C6,-C7),-C8,C10,C9)</f>
        <v>292.73108618370361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31" t="s">
        <v>350</v>
      </c>
      <c r="C13" s="132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106">
        <f>IF(Eligibilité_projet!C2="OUI",C6*(1-0.15),C7)</f>
        <v>-58.362257612275023</v>
      </c>
      <c r="D15" s="2"/>
      <c r="E15" s="2"/>
      <c r="F15" s="2"/>
    </row>
    <row r="16" spans="1:6" x14ac:dyDescent="0.3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3">
      <c r="A17" s="2"/>
      <c r="B17" s="105" t="s">
        <v>300</v>
      </c>
      <c r="C17" s="16">
        <f>C9*(1-0.1)</f>
        <v>115.95134571428572</v>
      </c>
      <c r="D17" s="2"/>
      <c r="E17" s="2"/>
      <c r="F17" s="2"/>
    </row>
    <row r="18" spans="1:6" x14ac:dyDescent="0.3">
      <c r="A18" s="2"/>
      <c r="B18" s="105" t="s">
        <v>298</v>
      </c>
      <c r="C18" s="16">
        <f>RE!C10</f>
        <v>105.53399999999999</v>
      </c>
      <c r="D18" s="2"/>
      <c r="E18" s="2"/>
      <c r="F18" s="2"/>
    </row>
    <row r="19" spans="1:6" x14ac:dyDescent="0.3">
      <c r="A19" s="2"/>
      <c r="B19" s="3" t="s">
        <v>349</v>
      </c>
      <c r="C19" s="106">
        <f>(C17+C18)*0.9</f>
        <v>199.33681114285713</v>
      </c>
      <c r="D19" s="2"/>
      <c r="E19" s="2"/>
      <c r="F19" s="2"/>
    </row>
    <row r="20" spans="1:6" x14ac:dyDescent="0.3">
      <c r="A20" s="2"/>
      <c r="B20" s="20" t="s">
        <v>301</v>
      </c>
      <c r="C20" s="107">
        <f>SUM(-C15,-C16,C19)</f>
        <v>257.69906875513215</v>
      </c>
      <c r="D20" s="2"/>
      <c r="E20" s="2"/>
      <c r="F20" s="2"/>
    </row>
    <row r="21" spans="1:6" x14ac:dyDescent="0.3">
      <c r="A21" s="2"/>
      <c r="B21" s="2"/>
    </row>
    <row r="23" spans="1:6" s="36" customFormat="1" hidden="1" x14ac:dyDescent="0.3"/>
    <row r="24" spans="1:6" s="36" customFormat="1" hidden="1" x14ac:dyDescent="0.3"/>
    <row r="25" spans="1:6" s="36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33" t="s">
        <v>5</v>
      </c>
      <c r="C44" s="134"/>
      <c r="D44" s="135"/>
      <c r="E44" s="133" t="s">
        <v>69</v>
      </c>
      <c r="F44" s="134"/>
      <c r="G44" s="135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347</v>
      </c>
      <c r="B172" s="66">
        <f>25000*0.17</f>
        <v>4250</v>
      </c>
    </row>
    <row r="173" spans="1:2" x14ac:dyDescent="0.3">
      <c r="A173" s="63" t="s">
        <v>107</v>
      </c>
      <c r="B173" s="66">
        <v>2724.2246671013995</v>
      </c>
    </row>
    <row r="174" spans="1:2" x14ac:dyDescent="0.3">
      <c r="A174" s="63" t="s">
        <v>108</v>
      </c>
      <c r="B174" s="66">
        <v>2678.1548398122004</v>
      </c>
    </row>
    <row r="175" spans="1:2" x14ac:dyDescent="0.3">
      <c r="A175" s="63" t="s">
        <v>109</v>
      </c>
      <c r="B175" s="66">
        <v>925.39090928000007</v>
      </c>
    </row>
    <row r="176" spans="1:2" x14ac:dyDescent="0.3">
      <c r="A176" s="63" t="s">
        <v>110</v>
      </c>
      <c r="B176" s="66">
        <v>832.84025582999993</v>
      </c>
    </row>
    <row r="177" spans="1:2" x14ac:dyDescent="0.3">
      <c r="A177" s="63" t="s">
        <v>111</v>
      </c>
      <c r="B177" s="66">
        <v>3847.6402921410004</v>
      </c>
    </row>
    <row r="178" spans="1:2" x14ac:dyDescent="0.3">
      <c r="A178" s="63" t="s">
        <v>112</v>
      </c>
      <c r="B178" s="66">
        <v>3849.2868810089999</v>
      </c>
    </row>
    <row r="179" spans="1:2" x14ac:dyDescent="0.3">
      <c r="A179" s="63" t="s">
        <v>113</v>
      </c>
      <c r="B179" s="66">
        <v>3453.8088875220001</v>
      </c>
    </row>
    <row r="180" spans="1:2" x14ac:dyDescent="0.3">
      <c r="A180" s="63" t="s">
        <v>114</v>
      </c>
      <c r="B180" s="66">
        <v>3391.1981881470001</v>
      </c>
    </row>
    <row r="181" spans="1:2" x14ac:dyDescent="0.3">
      <c r="A181" s="63" t="s">
        <v>115</v>
      </c>
      <c r="B181" s="66">
        <v>3759.2860042549196</v>
      </c>
    </row>
    <row r="182" spans="1:2" x14ac:dyDescent="0.3">
      <c r="A182" s="63" t="s">
        <v>116</v>
      </c>
      <c r="B182" s="66">
        <v>2658.9292517203125</v>
      </c>
    </row>
    <row r="183" spans="1:2" x14ac:dyDescent="0.3">
      <c r="A183" s="63" t="s">
        <v>117</v>
      </c>
      <c r="B183" s="66">
        <v>4303.8993272226562</v>
      </c>
    </row>
    <row r="184" spans="1:2" x14ac:dyDescent="0.3">
      <c r="A184" s="63" t="s">
        <v>118</v>
      </c>
      <c r="B184" s="66">
        <v>4054.8428879156254</v>
      </c>
    </row>
    <row r="185" spans="1:2" x14ac:dyDescent="0.3">
      <c r="A185" s="63" t="s">
        <v>119</v>
      </c>
      <c r="B185" s="66">
        <v>3165.3350675625002</v>
      </c>
    </row>
    <row r="186" spans="1:2" x14ac:dyDescent="0.3">
      <c r="A186" s="63" t="s">
        <v>120</v>
      </c>
      <c r="B186" s="66">
        <v>21727.520374600001</v>
      </c>
    </row>
    <row r="187" spans="1:2" x14ac:dyDescent="0.3">
      <c r="A187" s="63" t="s">
        <v>121</v>
      </c>
      <c r="B187" s="66">
        <v>763729.18826415588</v>
      </c>
    </row>
    <row r="188" spans="1:2" x14ac:dyDescent="0.3">
      <c r="A188" s="63" t="s">
        <v>122</v>
      </c>
      <c r="B188" s="66">
        <v>28201.949841089998</v>
      </c>
    </row>
    <row r="189" spans="1:2" x14ac:dyDescent="0.3">
      <c r="A189" s="63" t="s">
        <v>123</v>
      </c>
      <c r="B189" s="66">
        <v>745475.31653372501</v>
      </c>
    </row>
    <row r="190" spans="1:2" x14ac:dyDescent="0.3">
      <c r="A190" s="63" t="s">
        <v>124</v>
      </c>
      <c r="B190" s="66">
        <v>1313.2063369499999</v>
      </c>
    </row>
    <row r="191" spans="1:2" x14ac:dyDescent="0.3">
      <c r="A191" s="63" t="s">
        <v>125</v>
      </c>
      <c r="B191" s="66">
        <v>864.20333642999981</v>
      </c>
    </row>
    <row r="192" spans="1:2" x14ac:dyDescent="0.3">
      <c r="A192" s="63" t="s">
        <v>126</v>
      </c>
      <c r="B192" s="66">
        <v>2605.9006745199999</v>
      </c>
    </row>
    <row r="194" spans="1:2" x14ac:dyDescent="0.3">
      <c r="A194" s="24" t="s">
        <v>71</v>
      </c>
      <c r="B194" s="67" t="s">
        <v>127</v>
      </c>
    </row>
    <row r="195" spans="1:2" x14ac:dyDescent="0.3">
      <c r="A195" s="8" t="s">
        <v>128</v>
      </c>
      <c r="B195" s="68">
        <v>5895.9797374104</v>
      </c>
    </row>
    <row r="196" spans="1:2" x14ac:dyDescent="0.3">
      <c r="A196" s="8" t="s">
        <v>129</v>
      </c>
      <c r="B196" s="68">
        <v>2576.2094178333336</v>
      </c>
    </row>
    <row r="197" spans="1:2" x14ac:dyDescent="0.3">
      <c r="A197" s="8" t="s">
        <v>130</v>
      </c>
      <c r="B197" s="68">
        <v>4062.9965796000001</v>
      </c>
    </row>
    <row r="198" spans="1:2" x14ac:dyDescent="0.3">
      <c r="A198" s="8" t="s">
        <v>131</v>
      </c>
      <c r="B198" s="68">
        <v>4011.4789508640006</v>
      </c>
    </row>
    <row r="199" spans="1:2" x14ac:dyDescent="0.3">
      <c r="A199" s="8" t="s">
        <v>132</v>
      </c>
      <c r="B199" s="68">
        <v>2682.7232290992001</v>
      </c>
    </row>
    <row r="200" spans="1:2" x14ac:dyDescent="0.3">
      <c r="A200" s="8" t="s">
        <v>133</v>
      </c>
      <c r="B200" s="68">
        <v>2548.7495763313045</v>
      </c>
    </row>
    <row r="201" spans="1:2" x14ac:dyDescent="0.3">
      <c r="A201" s="8" t="s">
        <v>134</v>
      </c>
      <c r="B201" s="68">
        <v>3366.7024762240003</v>
      </c>
    </row>
    <row r="202" spans="1:2" x14ac:dyDescent="0.3">
      <c r="A202" s="8" t="s">
        <v>135</v>
      </c>
      <c r="B202" s="68">
        <v>3370.0393371360001</v>
      </c>
    </row>
    <row r="203" spans="1:2" x14ac:dyDescent="0.3">
      <c r="A203" s="8" t="s">
        <v>136</v>
      </c>
      <c r="B203" s="68">
        <v>3392.0923222031997</v>
      </c>
    </row>
    <row r="204" spans="1:2" x14ac:dyDescent="0.3">
      <c r="A204" s="8" t="s">
        <v>137</v>
      </c>
      <c r="B204" s="68">
        <v>3141.3860726075795</v>
      </c>
    </row>
    <row r="206" spans="1:2" x14ac:dyDescent="0.3">
      <c r="A206" s="24" t="s">
        <v>172</v>
      </c>
      <c r="B206" s="24" t="s">
        <v>24</v>
      </c>
    </row>
    <row r="207" spans="1:2" x14ac:dyDescent="0.3">
      <c r="A207" s="8" t="s">
        <v>153</v>
      </c>
      <c r="B207" s="8">
        <v>1.6E-2</v>
      </c>
    </row>
    <row r="208" spans="1:2" x14ac:dyDescent="0.3">
      <c r="A208" s="8" t="s">
        <v>152</v>
      </c>
      <c r="B208" s="8">
        <v>6.0000000000000001E-3</v>
      </c>
    </row>
    <row r="209" spans="1:5" x14ac:dyDescent="0.3">
      <c r="A209" s="8" t="s">
        <v>156</v>
      </c>
      <c r="B209" s="69">
        <v>0.01</v>
      </c>
    </row>
    <row r="210" spans="1:5" x14ac:dyDescent="0.3">
      <c r="A210" s="8" t="s">
        <v>158</v>
      </c>
      <c r="B210" s="69">
        <v>1.0999999999999999E-2</v>
      </c>
    </row>
    <row r="211" spans="1:5" x14ac:dyDescent="0.3">
      <c r="A211" s="8" t="s">
        <v>174</v>
      </c>
      <c r="B211" s="69">
        <v>5.7000000000000002E-2</v>
      </c>
    </row>
    <row r="212" spans="1:5" x14ac:dyDescent="0.3">
      <c r="A212" s="8" t="s">
        <v>176</v>
      </c>
      <c r="B212" s="69">
        <v>4.51</v>
      </c>
    </row>
    <row r="213" spans="1:5" x14ac:dyDescent="0.3">
      <c r="A213" s="8" t="s">
        <v>177</v>
      </c>
      <c r="B213" s="69">
        <v>1.45</v>
      </c>
    </row>
    <row r="214" spans="1:5" x14ac:dyDescent="0.3">
      <c r="A214" s="8" t="s">
        <v>178</v>
      </c>
      <c r="B214" s="69">
        <v>0.71</v>
      </c>
    </row>
    <row r="215" spans="1:5" x14ac:dyDescent="0.3">
      <c r="A215" s="70" t="s">
        <v>180</v>
      </c>
      <c r="B215" s="69">
        <v>6.0090000000000003</v>
      </c>
    </row>
    <row r="216" spans="1:5" x14ac:dyDescent="0.3">
      <c r="A216" s="70" t="s">
        <v>181</v>
      </c>
      <c r="B216" s="69">
        <v>8.9849999999999994</v>
      </c>
    </row>
    <row r="217" spans="1:5" x14ac:dyDescent="0.3">
      <c r="A217" s="70" t="s">
        <v>182</v>
      </c>
      <c r="B217" s="69">
        <v>25.134</v>
      </c>
    </row>
    <row r="218" spans="1:5" x14ac:dyDescent="0.3">
      <c r="A218" s="71" t="s">
        <v>183</v>
      </c>
      <c r="B218" s="69">
        <v>8.4779999999999998</v>
      </c>
    </row>
    <row r="219" spans="1:5" x14ac:dyDescent="0.3">
      <c r="A219" s="72"/>
    </row>
    <row r="220" spans="1:5" x14ac:dyDescent="0.3">
      <c r="A220" s="8" t="s">
        <v>154</v>
      </c>
      <c r="B220" s="8">
        <v>0.11</v>
      </c>
    </row>
    <row r="221" spans="1:5" x14ac:dyDescent="0.3">
      <c r="A221" s="8" t="s">
        <v>155</v>
      </c>
      <c r="B221" s="8">
        <v>0.21</v>
      </c>
    </row>
    <row r="222" spans="1:5" x14ac:dyDescent="0.3">
      <c r="A222" s="73" t="s">
        <v>157</v>
      </c>
      <c r="B222" s="8">
        <v>0.24</v>
      </c>
    </row>
    <row r="224" spans="1:5" x14ac:dyDescent="0.3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3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3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3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3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3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3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3">
      <c r="A232" s="8" t="s">
        <v>187</v>
      </c>
      <c r="B232" s="8">
        <v>265</v>
      </c>
    </row>
    <row r="235" spans="1:5" ht="15" customHeight="1" x14ac:dyDescent="0.3">
      <c r="A235" s="41"/>
      <c r="B235" s="41" t="s">
        <v>202</v>
      </c>
      <c r="C235" s="41"/>
      <c r="D235" s="41" t="s">
        <v>203</v>
      </c>
      <c r="E235" s="41"/>
    </row>
    <row r="236" spans="1:5" ht="15.6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3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3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3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3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3">
      <c r="A242" s="41"/>
      <c r="B242" s="41" t="s">
        <v>202</v>
      </c>
      <c r="C242" s="41" t="s">
        <v>203</v>
      </c>
    </row>
    <row r="243" spans="1:3" ht="18.75" customHeight="1" x14ac:dyDescent="0.4">
      <c r="A243" s="41" t="s">
        <v>212</v>
      </c>
      <c r="B243" s="41" t="s">
        <v>213</v>
      </c>
      <c r="C243" s="41" t="s">
        <v>213</v>
      </c>
    </row>
    <row r="244" spans="1:3" x14ac:dyDescent="0.3">
      <c r="A244" s="41">
        <v>1</v>
      </c>
      <c r="B244" s="41">
        <v>2.7</v>
      </c>
      <c r="C244" s="41">
        <v>2.4</v>
      </c>
    </row>
    <row r="245" spans="1:3" x14ac:dyDescent="0.3">
      <c r="A245" s="41">
        <v>2</v>
      </c>
      <c r="B245" s="41">
        <v>4.2</v>
      </c>
      <c r="C245" s="41">
        <v>3.72</v>
      </c>
    </row>
    <row r="246" spans="1:3" x14ac:dyDescent="0.3">
      <c r="A246" s="41">
        <v>3</v>
      </c>
      <c r="B246" s="41">
        <v>5.6</v>
      </c>
      <c r="C246" s="41">
        <v>5.04</v>
      </c>
    </row>
    <row r="247" spans="1:3" x14ac:dyDescent="0.3">
      <c r="A247" s="41">
        <v>4</v>
      </c>
      <c r="B247" s="41">
        <v>7.1</v>
      </c>
      <c r="C247" s="41">
        <v>6.36</v>
      </c>
    </row>
    <row r="248" spans="1:3" x14ac:dyDescent="0.3">
      <c r="A248" s="41">
        <v>5</v>
      </c>
      <c r="B248" s="41">
        <v>7.4</v>
      </c>
      <c r="C248" s="41">
        <v>6.6</v>
      </c>
    </row>
    <row r="249" spans="1:3" x14ac:dyDescent="0.3">
      <c r="A249" s="41">
        <v>6</v>
      </c>
      <c r="B249" s="41">
        <v>8.6</v>
      </c>
      <c r="C249" s="41">
        <v>7.7</v>
      </c>
    </row>
    <row r="250" spans="1:3" x14ac:dyDescent="0.3">
      <c r="A250" s="41">
        <v>7</v>
      </c>
      <c r="B250" s="41">
        <v>9.8000000000000007</v>
      </c>
      <c r="C250" s="41">
        <v>8.8000000000000007</v>
      </c>
    </row>
    <row r="251" spans="1:3" x14ac:dyDescent="0.3">
      <c r="A251" s="41">
        <v>8</v>
      </c>
      <c r="B251" s="41">
        <v>11.1</v>
      </c>
      <c r="C251" s="41">
        <v>9.9</v>
      </c>
    </row>
    <row r="252" spans="1:3" x14ac:dyDescent="0.3">
      <c r="A252" s="41">
        <v>9</v>
      </c>
      <c r="B252" s="41">
        <v>12.3</v>
      </c>
      <c r="C252" s="41">
        <v>11</v>
      </c>
    </row>
    <row r="253" spans="1:3" x14ac:dyDescent="0.3">
      <c r="A253" s="41">
        <v>10</v>
      </c>
      <c r="B253" s="41">
        <v>13.5</v>
      </c>
      <c r="C253" s="41">
        <v>12.1</v>
      </c>
    </row>
    <row r="254" spans="1:3" x14ac:dyDescent="0.3">
      <c r="A254" s="41">
        <v>11</v>
      </c>
      <c r="B254" s="41">
        <v>13.9</v>
      </c>
      <c r="C254" s="41">
        <v>12.46</v>
      </c>
    </row>
    <row r="255" spans="1:3" x14ac:dyDescent="0.3">
      <c r="A255" s="41">
        <v>12</v>
      </c>
      <c r="B255" s="41">
        <v>14.3</v>
      </c>
      <c r="C255" s="41">
        <v>12.82</v>
      </c>
    </row>
    <row r="256" spans="1:3" x14ac:dyDescent="0.3">
      <c r="A256" s="41">
        <v>13</v>
      </c>
      <c r="B256" s="41">
        <v>14.7</v>
      </c>
      <c r="C256" s="41">
        <v>13.18</v>
      </c>
    </row>
    <row r="257" spans="1:3" x14ac:dyDescent="0.3">
      <c r="A257" s="41">
        <v>14</v>
      </c>
      <c r="B257" s="41">
        <v>15.1</v>
      </c>
      <c r="C257" s="41">
        <v>13.54</v>
      </c>
    </row>
    <row r="258" spans="1:3" x14ac:dyDescent="0.3">
      <c r="A258" s="41">
        <v>15</v>
      </c>
      <c r="B258" s="41">
        <v>15.6</v>
      </c>
      <c r="C258" s="41">
        <v>13.9</v>
      </c>
    </row>
    <row r="259" spans="1:3" x14ac:dyDescent="0.3">
      <c r="A259" s="41">
        <v>16</v>
      </c>
      <c r="B259" s="41">
        <v>15.6</v>
      </c>
      <c r="C259" s="41">
        <v>13.98</v>
      </c>
    </row>
    <row r="260" spans="1:3" x14ac:dyDescent="0.3">
      <c r="A260" s="41">
        <v>17</v>
      </c>
      <c r="B260" s="41">
        <v>15.7</v>
      </c>
      <c r="C260" s="41">
        <v>14.06</v>
      </c>
    </row>
    <row r="261" spans="1:3" x14ac:dyDescent="0.3">
      <c r="A261" s="41">
        <v>18</v>
      </c>
      <c r="B261" s="41">
        <v>15.8</v>
      </c>
      <c r="C261" s="41">
        <v>14.14</v>
      </c>
    </row>
    <row r="262" spans="1:3" x14ac:dyDescent="0.3">
      <c r="A262" s="41">
        <v>19</v>
      </c>
      <c r="B262" s="41">
        <v>15.9</v>
      </c>
      <c r="C262" s="41">
        <v>14.22</v>
      </c>
    </row>
    <row r="263" spans="1:3" x14ac:dyDescent="0.3">
      <c r="A263" s="41">
        <v>20</v>
      </c>
      <c r="B263" s="41">
        <v>16</v>
      </c>
      <c r="C263" s="41">
        <v>14.3</v>
      </c>
    </row>
    <row r="265" spans="1:3" ht="15" customHeight="1" x14ac:dyDescent="0.3">
      <c r="A265" s="41" t="s">
        <v>8</v>
      </c>
      <c r="B265" s="41" t="s">
        <v>219</v>
      </c>
      <c r="C265" s="41" t="s">
        <v>220</v>
      </c>
    </row>
    <row r="266" spans="1:3" x14ac:dyDescent="0.3">
      <c r="A266" s="41" t="s">
        <v>2</v>
      </c>
      <c r="B266" s="74">
        <v>34.299999999999997</v>
      </c>
      <c r="C266" s="74">
        <v>34</v>
      </c>
    </row>
    <row r="267" spans="1:3" x14ac:dyDescent="0.3">
      <c r="A267" s="41" t="s">
        <v>1</v>
      </c>
      <c r="B267" s="74">
        <v>49.5</v>
      </c>
      <c r="C267" s="74">
        <v>85</v>
      </c>
    </row>
    <row r="268" spans="1:3" x14ac:dyDescent="0.3">
      <c r="A268" s="41" t="s">
        <v>0</v>
      </c>
      <c r="B268" s="74">
        <v>43.1</v>
      </c>
      <c r="C268" s="74">
        <v>52</v>
      </c>
    </row>
    <row r="269" spans="1:3" x14ac:dyDescent="0.3">
      <c r="A269" s="41" t="s">
        <v>216</v>
      </c>
      <c r="B269" s="41" t="s">
        <v>217</v>
      </c>
      <c r="C269" s="41" t="s">
        <v>218</v>
      </c>
    </row>
    <row r="271" spans="1:3" ht="15" customHeight="1" x14ac:dyDescent="0.3">
      <c r="A271" s="41" t="s">
        <v>8</v>
      </c>
      <c r="B271" s="41" t="s">
        <v>221</v>
      </c>
      <c r="C271" s="41" t="s">
        <v>220</v>
      </c>
    </row>
    <row r="272" spans="1:3" x14ac:dyDescent="0.3">
      <c r="A272" s="41" t="s">
        <v>209</v>
      </c>
      <c r="B272" s="41">
        <v>41.5</v>
      </c>
      <c r="C272" s="41">
        <v>47</v>
      </c>
    </row>
    <row r="273" spans="1:3" x14ac:dyDescent="0.3">
      <c r="A273" s="41" t="s">
        <v>216</v>
      </c>
      <c r="B273" s="41" t="s">
        <v>217</v>
      </c>
      <c r="C273" s="41" t="s">
        <v>218</v>
      </c>
    </row>
    <row r="276" spans="1:3" x14ac:dyDescent="0.3">
      <c r="A276" s="41" t="s">
        <v>225</v>
      </c>
      <c r="B276" s="41">
        <v>0.49</v>
      </c>
    </row>
    <row r="278" spans="1:3" x14ac:dyDescent="0.3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2" ma:contentTypeDescription="Crée un document." ma:contentTypeScope="" ma:versionID="70cce7b26325e0af3c8c701db696fd85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a87109cf9f0887633aedc05da75c1611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4CFF18-FAF0-4811-861D-58BA1513E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a4714-d66e-4dbb-b81b-29243416e29c"/>
    <ds:schemaRef ds:uri="3b96300e-03ff-4344-acb9-1687b7c38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89EA4B-4F9A-4B88-9CFE-B9D72FDF22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MONTEL MARQUIS Océane</cp:lastModifiedBy>
  <dcterms:created xsi:type="dcterms:W3CDTF">2020-09-28T09:31:11Z</dcterms:created>
  <dcterms:modified xsi:type="dcterms:W3CDTF">2024-05-29T14:24:37Z</dcterms:modified>
</cp:coreProperties>
</file>