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Quercy\VILLEFRANCHE DU PERIGORD (24) - Planchette\Dossier à déposer\"/>
    </mc:Choice>
  </mc:AlternateContent>
  <xr:revisionPtr revIDLastSave="0" documentId="13_ncr:1_{F116CCA5-592C-4967-90A9-20EAAD539F2A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6" l="1"/>
  <c r="M16" i="4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9" i="2" l="1" a="1"/>
  <c r="AH199" i="2" s="1"/>
  <c r="AH19" i="2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<sst xmlns="http://schemas.openxmlformats.org/spreadsheetml/2006/main" count="1170" uniqueCount="324">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</sst>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2.7230187432202917</c:v>
                </c:pt>
                <c:pt idx="2">
                  <c:v>3.209337976607936</c:v>
                </c:pt>
                <c:pt idx="3">
                  <c:v>3.7828300891783795</c:v>
                </c:pt>
                <c:pt idx="4">
                  <c:v>4.459174737767909</c:v>
                </c:pt>
                <c:pt idx="5">
                  <c:v>5.2568809438883566</c:v>
                </c:pt>
                <c:pt idx="6">
                  <c:v>6.1977991746015464</c:v>
                </c:pt>
                <c:pt idx="7">
                  <c:v>7.3077263597114817</c:v>
                </c:pt>
                <c:pt idx="8">
                  <c:v>8.6171207547947688</c:v>
                </c:pt>
                <c:pt idx="9">
                  <c:v>10.161946643350502</c:v>
                </c:pt>
                <c:pt idx="10">
                  <c:v>11.984672518674538</c:v>
                </c:pt>
                <c:pt idx="11">
                  <c:v>14.135450700137341</c:v>
                </c:pt>
                <c:pt idx="12">
                  <c:v>16.673511441484454</c:v>
                </c:pt>
                <c:pt idx="13">
                  <c:v>19.668810625100239</c:v>
                </c:pt>
                <c:pt idx="14">
                  <c:v>23.203977276915577</c:v>
                </c:pt>
                <c:pt idx="15">
                  <c:v>27.376615584226887</c:v>
                </c:pt>
                <c:pt idx="16">
                  <c:v>32.302026092718499</c:v>
                </c:pt>
                <c:pt idx="17">
                  <c:v>38.11642258302998</c:v>
                </c:pt>
                <c:pt idx="18">
                  <c:v>44.980735116955863</c:v>
                </c:pt>
                <c:pt idx="19">
                  <c:v>53.085106296146058</c:v>
                </c:pt>
                <c:pt idx="20">
                  <c:v>62.654207362334567</c:v>
                </c:pt>
                <c:pt idx="21">
                  <c:v>73.953523944453949</c:v>
                </c:pt>
                <c:pt idx="22">
                  <c:v>87.2967886836296</c:v>
                </c:pt>
                <c:pt idx="23">
                  <c:v>103.0547704223186</c:v>
                </c:pt>
                <c:pt idx="24">
                  <c:v>121.66566805259345</c:v>
                </c:pt>
                <c:pt idx="25">
                  <c:v>143.6474025745157</c:v>
                </c:pt>
                <c:pt idx="26">
                  <c:v>141.67594470663133</c:v>
                </c:pt>
                <c:pt idx="27">
                  <c:v>155.46288225618903</c:v>
                </c:pt>
                <c:pt idx="28">
                  <c:v>169.22076873606747</c:v>
                </c:pt>
                <c:pt idx="29">
                  <c:v>182.95230030612535</c:v>
                </c:pt>
                <c:pt idx="30">
                  <c:v>196.65973476943884</c:v>
                </c:pt>
                <c:pt idx="31">
                  <c:v>170.79137460696458</c:v>
                </c:pt>
                <c:pt idx="32">
                  <c:v>186.08747857758416</c:v>
                </c:pt>
                <c:pt idx="33">
                  <c:v>201.35423252127552</c:v>
                </c:pt>
                <c:pt idx="34">
                  <c:v>216.59417586765153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223.61956111075634</c:v>
                </c:pt>
                <c:pt idx="38">
                  <c:v>239.99275146392384</c:v>
                </c:pt>
                <c:pt idx="39">
                  <c:v>256.34051411178768</c:v>
                </c:pt>
                <c:pt idx="40">
                  <c:v>272.6646989766358</c:v>
                </c:pt>
                <c:pt idx="41">
                  <c:v>248.16968942779488</c:v>
                </c:pt>
                <c:pt idx="42">
                  <c:v>264.50544806917611</c:v>
                </c:pt>
                <c:pt idx="43">
                  <c:v>280.81846105391611</c:v>
                </c:pt>
                <c:pt idx="44">
                  <c:v>297.11023564036316</c:v>
                </c:pt>
                <c:pt idx="45">
                  <c:v>313.38210026249641</c:v>
                </c:pt>
                <c:pt idx="46">
                  <c:v>288.96691630985219</c:v>
                </c:pt>
                <c:pt idx="47">
                  <c:v>305.24857979967953</c:v>
                </c:pt>
                <c:pt idx="48">
                  <c:v>321.51093999187805</c:v>
                </c:pt>
                <c:pt idx="49">
                  <c:v>337.75511058999291</c:v>
                </c:pt>
                <c:pt idx="50">
                  <c:v>353.9820894286774</c:v>
                </c:pt>
                <c:pt idx="51">
                  <c:v>328.86168411801799</c:v>
                </c:pt>
                <c:pt idx="52">
                  <c:v>344.32519168762178</c:v>
                </c:pt>
                <c:pt idx="53">
                  <c:v>359.77344653568485</c:v>
                </c:pt>
                <c:pt idx="54">
                  <c:v>375.2071957314734</c:v>
                </c:pt>
                <c:pt idx="55">
                  <c:v>390.62711987432004</c:v>
                </c:pt>
                <c:pt idx="56">
                  <c:v>364.40506221560395</c:v>
                </c:pt>
                <c:pt idx="57">
                  <c:v>378.67786100909797</c:v>
                </c:pt>
                <c:pt idx="58">
                  <c:v>392.93895526469413</c:v>
                </c:pt>
                <c:pt idx="59">
                  <c:v>407.18882957990081</c:v>
                </c:pt>
                <c:pt idx="60">
                  <c:v>421.42793186976115</c:v>
                </c:pt>
                <c:pt idx="61">
                  <c:v>394.86525935006421</c:v>
                </c:pt>
                <c:pt idx="62">
                  <c:v>408.72870365690954</c:v>
                </c:pt>
                <c:pt idx="63">
                  <c:v>422.58199440092818</c:v>
                </c:pt>
                <c:pt idx="64">
                  <c:v>436.42551129808612</c:v>
                </c:pt>
                <c:pt idx="65">
                  <c:v>450.25960801246742</c:v>
                </c:pt>
                <c:pt idx="66">
                  <c:v>422.96666682108616</c:v>
                </c:pt>
                <c:pt idx="67">
                  <c:v>436.04109794385869</c:v>
                </c:pt>
                <c:pt idx="68">
                  <c:v>449.10711821530089</c:v>
                </c:pt>
                <c:pt idx="69">
                  <c:v>462.16500679362139</c:v>
                </c:pt>
                <c:pt idx="70">
                  <c:v>475.21502577729046</c:v>
                </c:pt>
                <c:pt idx="71">
                  <c:v>447.18616113243934</c:v>
                </c:pt>
                <c:pt idx="72">
                  <c:v>459.47726966137287</c:v>
                </c:pt>
                <c:pt idx="73">
                  <c:v>471.76136070205121</c:v>
                </c:pt>
                <c:pt idx="74">
                  <c:v>484.03864272240349</c:v>
                </c:pt>
                <c:pt idx="75">
                  <c:v>496.30931275327725</c:v>
                </c:pt>
                <c:pt idx="76">
                  <c:v>467.53948269999205</c:v>
                </c:pt>
                <c:pt idx="77">
                  <c:v>479.05180523598909</c:v>
                </c:pt>
                <c:pt idx="78">
                  <c:v>490.55824735832448</c:v>
                </c:pt>
                <c:pt idx="79">
                  <c:v>502.05896643512574</c:v>
                </c:pt>
                <c:pt idx="80">
                  <c:v>513.55411203705955</c:v>
                </c:pt>
                <c:pt idx="81">
                  <c:v>484.03864272240349</c:v>
                </c:pt>
                <c:pt idx="82">
                  <c:v>494.77583412162312</c:v>
                </c:pt>
                <c:pt idx="83">
                  <c:v>505.50808871924113</c:v>
                </c:pt>
                <c:pt idx="84">
                  <c:v>516.23552610410366</c:v>
                </c:pt>
                <c:pt idx="85">
                  <c:v>526.95826048952097</c:v>
                </c:pt>
                <c:pt idx="86">
                  <c:v>497.07601440225977</c:v>
                </c:pt>
                <c:pt idx="87">
                  <c:v>507.42405248193273</c:v>
                </c:pt>
                <c:pt idx="88">
                  <c:v>517.76763064125009</c:v>
                </c:pt>
                <c:pt idx="89">
                  <c:v>528.10685054075077</c:v>
                </c:pt>
                <c:pt idx="90">
                  <c:v>538.44180953565865</c:v>
                </c:pt>
                <c:pt idx="91">
                  <c:v>507.80722686130639</c:v>
                </c:pt>
                <c:pt idx="92">
                  <c:v>517.3846134864898</c:v>
                </c:pt>
                <c:pt idx="93">
                  <c:v>526.95826048952074</c:v>
                </c:pt>
                <c:pt idx="94">
                  <c:v>536.52824539615131</c:v>
                </c:pt>
                <c:pt idx="95">
                  <c:v>546.09464274073594</c:v>
                </c:pt>
                <c:pt idx="96">
                  <c:v>515.08638473795338</c:v>
                </c:pt>
                <c:pt idx="97">
                  <c:v>524.2780117454289</c:v>
                </c:pt>
                <c:pt idx="98">
                  <c:v>533.4662440625948</c:v>
                </c:pt>
                <c:pt idx="99">
                  <c:v>542.65114840915612</c:v>
                </c:pt>
                <c:pt idx="100">
                  <c:v>551.83278906179737</c:v>
                </c:pt>
                <c:pt idx="101">
                  <c:v>520.06560820994309</c:v>
                </c:pt>
                <c:pt idx="102">
                  <c:v>528.48970219589717</c:v>
                </c:pt>
                <c:pt idx="103">
                  <c:v>536.91096968482668</c:v>
                </c:pt>
                <c:pt idx="104">
                  <c:v>545.32946126916988</c:v>
                </c:pt>
                <c:pt idx="105">
                  <c:v>553.74522585166335</c:v>
                </c:pt>
                <c:pt idx="106">
                  <c:v>523.5121734248288</c:v>
                </c:pt>
                <c:pt idx="107">
                  <c:v>531.55230561741564</c:v>
                </c:pt>
                <c:pt idx="108">
                  <c:v>539.58987938497648</c:v>
                </c:pt>
                <c:pt idx="109">
                  <c:v>547.62493821970588</c:v>
                </c:pt>
                <c:pt idx="110">
                  <c:v>555.65752423315928</c:v>
                </c:pt>
                <c:pt idx="111">
                  <c:v>526.57538542767463</c:v>
                </c:pt>
                <c:pt idx="112">
                  <c:v>533.84901440052897</c:v>
                </c:pt>
                <c:pt idx="113">
                  <c:v>541.12055937003322</c:v>
                </c:pt>
                <c:pt idx="114">
                  <c:v>548.39005229891859</c:v>
                </c:pt>
                <c:pt idx="115">
                  <c:v>555.65752423315951</c:v>
                </c:pt>
                <c:pt idx="116">
                  <c:v>528.10685054075066</c:v>
                </c:pt>
                <c:pt idx="117">
                  <c:v>534.99729079736949</c:v>
                </c:pt>
                <c:pt idx="118">
                  <c:v>541.88586523948368</c:v>
                </c:pt>
                <c:pt idx="119">
                  <c:v>548.77260093911138</c:v>
                </c:pt>
                <c:pt idx="120">
                  <c:v>555.65752423315973</c:v>
                </c:pt>
                <c:pt idx="121">
                  <c:v>2.8617333882306215E-12</c:v>
                </c:pt>
                <c:pt idx="122">
                  <c:v>2.8617333882306215E-12</c:v>
                </c:pt>
                <c:pt idx="123">
                  <c:v>2.8617333882306215E-12</c:v>
                </c:pt>
                <c:pt idx="124">
                  <c:v>2.8617333882306215E-12</c:v>
                </c:pt>
                <c:pt idx="125">
                  <c:v>2.8617333882306215E-12</c:v>
                </c:pt>
                <c:pt idx="126">
                  <c:v>2.8617333882306215E-12</c:v>
                </c:pt>
                <c:pt idx="127">
                  <c:v>2.8617333882306215E-12</c:v>
                </c:pt>
                <c:pt idx="128">
                  <c:v>2.8617333882306215E-12</c:v>
                </c:pt>
                <c:pt idx="129">
                  <c:v>2.8617333882306215E-12</c:v>
                </c:pt>
                <c:pt idx="130">
                  <c:v>2.8617333882306215E-12</c:v>
                </c:pt>
                <c:pt idx="131">
                  <c:v>2.8617333882306215E-12</c:v>
                </c:pt>
                <c:pt idx="132">
                  <c:v>2.8617333882306215E-12</c:v>
                </c:pt>
                <c:pt idx="133">
                  <c:v>2.8617333882306215E-12</c:v>
                </c:pt>
                <c:pt idx="134">
                  <c:v>2.8617333882306215E-12</c:v>
                </c:pt>
                <c:pt idx="135">
                  <c:v>2.8617333882306215E-12</c:v>
                </c:pt>
                <c:pt idx="136">
                  <c:v>2.8617333882306215E-12</c:v>
                </c:pt>
                <c:pt idx="137">
                  <c:v>2.8617333882306215E-12</c:v>
                </c:pt>
                <c:pt idx="138">
                  <c:v>2.8617333882306215E-12</c:v>
                </c:pt>
                <c:pt idx="139">
                  <c:v>2.8617333882306215E-12</c:v>
                </c:pt>
                <c:pt idx="140">
                  <c:v>2.8617333882306215E-12</c:v>
                </c:pt>
                <c:pt idx="141">
                  <c:v>2.8617333882306215E-12</c:v>
                </c:pt>
                <c:pt idx="142">
                  <c:v>2.8617333882306215E-12</c:v>
                </c:pt>
                <c:pt idx="143">
                  <c:v>2.8617333882306215E-12</c:v>
                </c:pt>
                <c:pt idx="144">
                  <c:v>2.8617333882306215E-12</c:v>
                </c:pt>
                <c:pt idx="145">
                  <c:v>2.8617333882306215E-12</c:v>
                </c:pt>
                <c:pt idx="146">
                  <c:v>2.8617333882306215E-12</c:v>
                </c:pt>
                <c:pt idx="147">
                  <c:v>2.8617333882306215E-12</c:v>
                </c:pt>
                <c:pt idx="148">
                  <c:v>2.8617333882306215E-12</c:v>
                </c:pt>
                <c:pt idx="149">
                  <c:v>2.8617333882306215E-12</c:v>
                </c:pt>
                <c:pt idx="150">
                  <c:v>2.8617333882306215E-12</c:v>
                </c:pt>
                <c:pt idx="151">
                  <c:v>2.8617333882306215E-12</c:v>
                </c:pt>
                <c:pt idx="152">
                  <c:v>2.8617333882306215E-12</c:v>
                </c:pt>
                <c:pt idx="153">
                  <c:v>2.8617333882306215E-12</c:v>
                </c:pt>
                <c:pt idx="154">
                  <c:v>2.8617333882306215E-12</c:v>
                </c:pt>
                <c:pt idx="155">
                  <c:v>2.8617333882306215E-12</c:v>
                </c:pt>
                <c:pt idx="156">
                  <c:v>2.8617333882306215E-12</c:v>
                </c:pt>
                <c:pt idx="157">
                  <c:v>2.8617333882306215E-12</c:v>
                </c:pt>
                <c:pt idx="158">
                  <c:v>2.8617333882306215E-12</c:v>
                </c:pt>
                <c:pt idx="159">
                  <c:v>2.8617333882306215E-12</c:v>
                </c:pt>
                <c:pt idx="160">
                  <c:v>2.8617333882306215E-12</c:v>
                </c:pt>
                <c:pt idx="161">
                  <c:v>2.8617333882306215E-12</c:v>
                </c:pt>
                <c:pt idx="162">
                  <c:v>2.8617333882306215E-12</c:v>
                </c:pt>
                <c:pt idx="163">
                  <c:v>2.8617333882306215E-12</c:v>
                </c:pt>
                <c:pt idx="164">
                  <c:v>2.8617333882306215E-12</c:v>
                </c:pt>
                <c:pt idx="165">
                  <c:v>2.8617333882306215E-12</c:v>
                </c:pt>
                <c:pt idx="166">
                  <c:v>2.8617333882306215E-12</c:v>
                </c:pt>
                <c:pt idx="167">
                  <c:v>2.8617333882306215E-12</c:v>
                </c:pt>
                <c:pt idx="168">
                  <c:v>2.8617333882306215E-12</c:v>
                </c:pt>
                <c:pt idx="169">
                  <c:v>2.8617333882306215E-12</c:v>
                </c:pt>
                <c:pt idx="170">
                  <c:v>2.8617333882306215E-12</c:v>
                </c:pt>
                <c:pt idx="171">
                  <c:v>2.8617333882306215E-12</c:v>
                </c:pt>
                <c:pt idx="172">
                  <c:v>2.8617333882306215E-12</c:v>
                </c:pt>
                <c:pt idx="173">
                  <c:v>2.8617333882306215E-12</c:v>
                </c:pt>
                <c:pt idx="174">
                  <c:v>2.8617333882306215E-12</c:v>
                </c:pt>
                <c:pt idx="175">
                  <c:v>2.8617333882306215E-12</c:v>
                </c:pt>
                <c:pt idx="176">
                  <c:v>2.8617333882306215E-12</c:v>
                </c:pt>
                <c:pt idx="177">
                  <c:v>2.8617333882306215E-12</c:v>
                </c:pt>
                <c:pt idx="178">
                  <c:v>2.8617333882306215E-12</c:v>
                </c:pt>
                <c:pt idx="179">
                  <c:v>2.8617333882306215E-12</c:v>
                </c:pt>
                <c:pt idx="180">
                  <c:v>2.8617333882306215E-12</c:v>
                </c:pt>
                <c:pt idx="181">
                  <c:v>2.8617333882306215E-12</c:v>
                </c:pt>
                <c:pt idx="182">
                  <c:v>2.8617333882306215E-12</c:v>
                </c:pt>
                <c:pt idx="183">
                  <c:v>2.8617333882306215E-12</c:v>
                </c:pt>
                <c:pt idx="184">
                  <c:v>2.8617333882306215E-12</c:v>
                </c:pt>
                <c:pt idx="185">
                  <c:v>2.8617333882306215E-12</c:v>
                </c:pt>
                <c:pt idx="186">
                  <c:v>2.8617333882306215E-12</c:v>
                </c:pt>
                <c:pt idx="187">
                  <c:v>2.8617333882306215E-12</c:v>
                </c:pt>
                <c:pt idx="188">
                  <c:v>2.8617333882306215E-12</c:v>
                </c:pt>
                <c:pt idx="189">
                  <c:v>2.8617333882306215E-12</c:v>
                </c:pt>
                <c:pt idx="190">
                  <c:v>2.8617333882306215E-12</c:v>
                </c:pt>
                <c:pt idx="191">
                  <c:v>2.8617333882306215E-12</c:v>
                </c:pt>
                <c:pt idx="192">
                  <c:v>2.8617333882306215E-12</c:v>
                </c:pt>
                <c:pt idx="193">
                  <c:v>2.8617333882306215E-12</c:v>
                </c:pt>
                <c:pt idx="194">
                  <c:v>2.8617333882306215E-12</c:v>
                </c:pt>
                <c:pt idx="195">
                  <c:v>2.8617333882306215E-12</c:v>
                </c:pt>
                <c:pt idx="196">
                  <c:v>2.8617333882306215E-12</c:v>
                </c:pt>
                <c:pt idx="197">
                  <c:v>2.8617333882306215E-12</c:v>
                </c:pt>
                <c:pt idx="198">
                  <c:v>2.8617333882306215E-12</c:v>
                </c:pt>
                <c:pt idx="199">
                  <c:v>2.8617333882306215E-12</c:v>
                </c:pt>
                <c:pt idx="200">
                  <c:v>2.8617333882306215E-12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82.508596377636763</c:v>
                </c:pt>
                <c:pt idx="17">
                  <c:v>99.006604254682017</c:v>
                </c:pt>
                <c:pt idx="18">
                  <c:v>115.43621516079588</c:v>
                </c:pt>
                <c:pt idx="19">
                  <c:v>131.8085611384661</c:v>
                </c:pt>
                <c:pt idx="20">
                  <c:v>148.13176890752257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279.73236813579501</c:v>
                </c:pt>
                <c:pt idx="39">
                  <c:v>298.36290228402567</c:v>
                </c:pt>
                <c:pt idx="40">
                  <c:v>316.96751977104657</c:v>
                </c:pt>
                <c:pt idx="41">
                  <c:v>335.5479553564636</c:v>
                </c:pt>
                <c:pt idx="42">
                  <c:v>354.10573601815037</c:v>
                </c:pt>
                <c:pt idx="43">
                  <c:v>372.64221565134466</c:v>
                </c:pt>
                <c:pt idx="44">
                  <c:v>391.15860250001066</c:v>
                </c:pt>
                <c:pt idx="45">
                  <c:v>336.88699770814992</c:v>
                </c:pt>
                <c:pt idx="46">
                  <c:v>354.16518115704025</c:v>
                </c:pt>
                <c:pt idx="47">
                  <c:v>371.42490308727588</c:v>
                </c:pt>
                <c:pt idx="48">
                  <c:v>388.66714186934951</c:v>
                </c:pt>
                <c:pt idx="49">
                  <c:v>405.8927820061424</c:v>
                </c:pt>
                <c:pt idx="50">
                  <c:v>423.10262682279273</c:v>
                </c:pt>
                <c:pt idx="51">
                  <c:v>440.29740898417253</c:v>
                </c:pt>
                <c:pt idx="52">
                  <c:v>457.47779928386586</c:v>
                </c:pt>
                <c:pt idx="53">
                  <c:v>393.44213889474241</c:v>
                </c:pt>
                <c:pt idx="54">
                  <c:v>409.0041420403515</c:v>
                </c:pt>
                <c:pt idx="55">
                  <c:v>424.55336102424553</c:v>
                </c:pt>
                <c:pt idx="56">
                  <c:v>440.09032987714414</c:v>
                </c:pt>
                <c:pt idx="57">
                  <c:v>455.61554185670792</c:v>
                </c:pt>
                <c:pt idx="58">
                  <c:v>471.12945387267996</c:v>
                </c:pt>
                <c:pt idx="59">
                  <c:v>486.63249029889329</c:v>
                </c:pt>
                <c:pt idx="60">
                  <c:v>502.125046274314</c:v>
                </c:pt>
                <c:pt idx="61">
                  <c:v>438.70974904240529</c:v>
                </c:pt>
                <c:pt idx="62">
                  <c:v>453.06329508642119</c:v>
                </c:pt>
                <c:pt idx="63">
                  <c:v>467.40712233198587</c:v>
                </c:pt>
                <c:pt idx="64">
                  <c:v>481.74157097323285</c:v>
                </c:pt>
                <c:pt idx="65">
                  <c:v>496.06695931286293</c:v>
                </c:pt>
                <c:pt idx="66">
                  <c:v>510.38358577553481</c:v>
                </c:pt>
                <c:pt idx="67">
                  <c:v>524.69173068364398</c:v>
                </c:pt>
                <c:pt idx="68">
                  <c:v>538.99165782937473</c:v>
                </c:pt>
                <c:pt idx="69">
                  <c:v>553.28361587129041</c:v>
                </c:pt>
                <c:pt idx="70">
                  <c:v>1.3525069634579169E-12</c:v>
                </c:pt>
                <c:pt idx="71">
                  <c:v>1.3525069634579169E-12</c:v>
                </c:pt>
                <c:pt idx="72">
                  <c:v>1.3525069634579169E-12</c:v>
                </c:pt>
                <c:pt idx="73">
                  <c:v>1.3525069634579169E-12</c:v>
                </c:pt>
                <c:pt idx="74">
                  <c:v>1.3525069634579169E-12</c:v>
                </c:pt>
                <c:pt idx="75">
                  <c:v>1.3525069634579169E-12</c:v>
                </c:pt>
                <c:pt idx="76">
                  <c:v>1.3525069634579169E-12</c:v>
                </c:pt>
                <c:pt idx="77">
                  <c:v>1.3525069634579169E-12</c:v>
                </c:pt>
                <c:pt idx="78">
                  <c:v>1.3525069634579169E-12</c:v>
                </c:pt>
                <c:pt idx="79">
                  <c:v>1.3525069634579169E-12</c:v>
                </c:pt>
                <c:pt idx="80">
                  <c:v>1.3525069634579169E-12</c:v>
                </c:pt>
                <c:pt idx="81">
                  <c:v>1.3525069634579169E-12</c:v>
                </c:pt>
                <c:pt idx="82">
                  <c:v>1.3525069634579169E-12</c:v>
                </c:pt>
                <c:pt idx="83">
                  <c:v>1.3525069634579169E-12</c:v>
                </c:pt>
                <c:pt idx="84">
                  <c:v>1.3525069634579169E-12</c:v>
                </c:pt>
                <c:pt idx="85">
                  <c:v>1.3525069634579169E-12</c:v>
                </c:pt>
                <c:pt idx="86">
                  <c:v>1.3525069634579169E-12</c:v>
                </c:pt>
                <c:pt idx="87">
                  <c:v>1.3525069634579169E-12</c:v>
                </c:pt>
                <c:pt idx="88">
                  <c:v>1.3525069634579169E-12</c:v>
                </c:pt>
                <c:pt idx="89">
                  <c:v>1.3525069634579169E-12</c:v>
                </c:pt>
                <c:pt idx="90">
                  <c:v>1.3525069634579169E-12</c:v>
                </c:pt>
                <c:pt idx="91">
                  <c:v>1.3525069634579169E-12</c:v>
                </c:pt>
                <c:pt idx="92">
                  <c:v>1.3525069634579169E-12</c:v>
                </c:pt>
                <c:pt idx="93">
                  <c:v>1.3525069634579169E-12</c:v>
                </c:pt>
                <c:pt idx="94">
                  <c:v>1.3525069634579169E-12</c:v>
                </c:pt>
                <c:pt idx="95">
                  <c:v>1.3525069634579169E-12</c:v>
                </c:pt>
                <c:pt idx="96">
                  <c:v>1.3525069634579169E-12</c:v>
                </c:pt>
                <c:pt idx="97">
                  <c:v>1.3525069634579169E-12</c:v>
                </c:pt>
                <c:pt idx="98">
                  <c:v>1.3525069634579169E-12</c:v>
                </c:pt>
                <c:pt idx="99">
                  <c:v>1.3525069634579169E-12</c:v>
                </c:pt>
                <c:pt idx="100">
                  <c:v>1.3525069634579169E-12</c:v>
                </c:pt>
                <c:pt idx="101">
                  <c:v>1.3525069634579169E-12</c:v>
                </c:pt>
                <c:pt idx="102">
                  <c:v>1.3525069634579169E-12</c:v>
                </c:pt>
                <c:pt idx="103">
                  <c:v>1.3525069634579169E-12</c:v>
                </c:pt>
                <c:pt idx="104">
                  <c:v>1.3525069634579169E-12</c:v>
                </c:pt>
                <c:pt idx="105">
                  <c:v>1.3525069634579169E-12</c:v>
                </c:pt>
                <c:pt idx="106">
                  <c:v>1.3525069634579169E-12</c:v>
                </c:pt>
                <c:pt idx="107">
                  <c:v>1.3525069634579169E-12</c:v>
                </c:pt>
                <c:pt idx="108">
                  <c:v>1.3525069634579169E-12</c:v>
                </c:pt>
                <c:pt idx="109">
                  <c:v>1.3525069634579169E-12</c:v>
                </c:pt>
                <c:pt idx="110">
                  <c:v>1.3525069634579169E-12</c:v>
                </c:pt>
                <c:pt idx="111">
                  <c:v>1.3525069634579169E-12</c:v>
                </c:pt>
                <c:pt idx="112">
                  <c:v>1.3525069634579169E-12</c:v>
                </c:pt>
                <c:pt idx="113">
                  <c:v>1.3525069634579169E-12</c:v>
                </c:pt>
                <c:pt idx="114">
                  <c:v>1.3525069634579169E-12</c:v>
                </c:pt>
                <c:pt idx="115">
                  <c:v>1.3525069634579169E-12</c:v>
                </c:pt>
                <c:pt idx="116">
                  <c:v>1.3525069634579169E-12</c:v>
                </c:pt>
                <c:pt idx="117">
                  <c:v>1.3525069634579169E-12</c:v>
                </c:pt>
                <c:pt idx="118">
                  <c:v>1.3525069634579169E-12</c:v>
                </c:pt>
                <c:pt idx="119">
                  <c:v>1.3525069634579169E-12</c:v>
                </c:pt>
                <c:pt idx="120">
                  <c:v>1.3525069634579169E-12</c:v>
                </c:pt>
                <c:pt idx="121">
                  <c:v>1.3525069634579169E-12</c:v>
                </c:pt>
                <c:pt idx="122">
                  <c:v>1.3525069634579169E-12</c:v>
                </c:pt>
                <c:pt idx="123">
                  <c:v>1.3525069634579169E-12</c:v>
                </c:pt>
                <c:pt idx="124">
                  <c:v>1.3525069634579169E-12</c:v>
                </c:pt>
                <c:pt idx="125">
                  <c:v>1.3525069634579169E-12</c:v>
                </c:pt>
                <c:pt idx="126">
                  <c:v>1.3525069634579169E-12</c:v>
                </c:pt>
                <c:pt idx="127">
                  <c:v>1.3525069634579169E-12</c:v>
                </c:pt>
                <c:pt idx="128">
                  <c:v>1.3525069634579169E-12</c:v>
                </c:pt>
                <c:pt idx="129">
                  <c:v>1.3525069634579169E-12</c:v>
                </c:pt>
                <c:pt idx="130">
                  <c:v>1.3525069634579169E-12</c:v>
                </c:pt>
                <c:pt idx="131">
                  <c:v>1.3525069634579169E-12</c:v>
                </c:pt>
                <c:pt idx="132">
                  <c:v>1.3525069634579169E-12</c:v>
                </c:pt>
                <c:pt idx="133">
                  <c:v>1.3525069634579169E-12</c:v>
                </c:pt>
                <c:pt idx="134">
                  <c:v>1.3525069634579169E-12</c:v>
                </c:pt>
                <c:pt idx="135">
                  <c:v>1.3525069634579169E-12</c:v>
                </c:pt>
                <c:pt idx="136">
                  <c:v>1.3525069634579169E-12</c:v>
                </c:pt>
                <c:pt idx="137">
                  <c:v>1.3525069634579169E-12</c:v>
                </c:pt>
                <c:pt idx="138">
                  <c:v>1.3525069634579169E-12</c:v>
                </c:pt>
                <c:pt idx="139">
                  <c:v>1.3525069634579169E-12</c:v>
                </c:pt>
                <c:pt idx="140">
                  <c:v>1.3525069634579169E-12</c:v>
                </c:pt>
                <c:pt idx="141">
                  <c:v>1.3525069634579169E-12</c:v>
                </c:pt>
                <c:pt idx="142">
                  <c:v>1.3525069634579169E-12</c:v>
                </c:pt>
                <c:pt idx="143">
                  <c:v>1.3525069634579169E-12</c:v>
                </c:pt>
                <c:pt idx="144">
                  <c:v>1.3525069634579169E-12</c:v>
                </c:pt>
                <c:pt idx="145">
                  <c:v>1.3525069634579169E-12</c:v>
                </c:pt>
                <c:pt idx="146">
                  <c:v>1.3525069634579169E-12</c:v>
                </c:pt>
                <c:pt idx="147">
                  <c:v>1.3525069634579169E-12</c:v>
                </c:pt>
                <c:pt idx="148">
                  <c:v>1.3525069634579169E-12</c:v>
                </c:pt>
                <c:pt idx="149">
                  <c:v>1.3525069634579169E-12</c:v>
                </c:pt>
                <c:pt idx="150">
                  <c:v>1.3525069634579169E-12</c:v>
                </c:pt>
                <c:pt idx="151">
                  <c:v>1.3525069634579169E-12</c:v>
                </c:pt>
                <c:pt idx="152">
                  <c:v>1.3525069634579169E-12</c:v>
                </c:pt>
                <c:pt idx="153">
                  <c:v>1.3525069634579169E-12</c:v>
                </c:pt>
                <c:pt idx="154">
                  <c:v>1.3525069634579169E-12</c:v>
                </c:pt>
                <c:pt idx="155">
                  <c:v>1.3525069634579169E-12</c:v>
                </c:pt>
                <c:pt idx="156">
                  <c:v>1.3525069634579169E-12</c:v>
                </c:pt>
                <c:pt idx="157">
                  <c:v>1.3525069634579169E-12</c:v>
                </c:pt>
                <c:pt idx="158">
                  <c:v>1.3525069634579169E-12</c:v>
                </c:pt>
                <c:pt idx="159">
                  <c:v>1.3525069634579169E-12</c:v>
                </c:pt>
                <c:pt idx="160">
                  <c:v>1.3525069634579169E-12</c:v>
                </c:pt>
                <c:pt idx="161">
                  <c:v>1.3525069634579169E-12</c:v>
                </c:pt>
                <c:pt idx="162">
                  <c:v>1.3525069634579169E-12</c:v>
                </c:pt>
                <c:pt idx="163">
                  <c:v>1.3525069634579169E-12</c:v>
                </c:pt>
                <c:pt idx="164">
                  <c:v>1.3525069634579169E-12</c:v>
                </c:pt>
                <c:pt idx="165">
                  <c:v>1.3525069634579169E-12</c:v>
                </c:pt>
                <c:pt idx="166">
                  <c:v>1.3525069634579169E-12</c:v>
                </c:pt>
                <c:pt idx="167">
                  <c:v>1.3525069634579169E-12</c:v>
                </c:pt>
                <c:pt idx="168">
                  <c:v>1.3525069634579169E-12</c:v>
                </c:pt>
                <c:pt idx="169">
                  <c:v>1.3525069634579169E-12</c:v>
                </c:pt>
                <c:pt idx="170">
                  <c:v>1.3525069634579169E-12</c:v>
                </c:pt>
                <c:pt idx="171">
                  <c:v>1.3525069634579169E-12</c:v>
                </c:pt>
                <c:pt idx="172">
                  <c:v>1.3525069634579169E-12</c:v>
                </c:pt>
                <c:pt idx="173">
                  <c:v>1.3525069634579169E-12</c:v>
                </c:pt>
                <c:pt idx="174">
                  <c:v>1.3525069634579169E-12</c:v>
                </c:pt>
                <c:pt idx="175">
                  <c:v>1.3525069634579169E-12</c:v>
                </c:pt>
                <c:pt idx="176">
                  <c:v>1.3525069634579169E-12</c:v>
                </c:pt>
                <c:pt idx="177">
                  <c:v>1.3525069634579169E-12</c:v>
                </c:pt>
                <c:pt idx="178">
                  <c:v>1.3525069634579169E-12</c:v>
                </c:pt>
                <c:pt idx="179">
                  <c:v>1.3525069634579169E-12</c:v>
                </c:pt>
                <c:pt idx="180">
                  <c:v>1.3525069634579169E-12</c:v>
                </c:pt>
                <c:pt idx="181">
                  <c:v>1.3525069634579169E-12</c:v>
                </c:pt>
                <c:pt idx="182">
                  <c:v>1.3525069634579169E-12</c:v>
                </c:pt>
                <c:pt idx="183">
                  <c:v>1.3525069634579169E-12</c:v>
                </c:pt>
                <c:pt idx="184">
                  <c:v>1.3525069634579169E-12</c:v>
                </c:pt>
                <c:pt idx="185">
                  <c:v>1.3525069634579169E-12</c:v>
                </c:pt>
                <c:pt idx="186">
                  <c:v>1.3525069634579169E-12</c:v>
                </c:pt>
                <c:pt idx="187">
                  <c:v>1.3525069634579169E-12</c:v>
                </c:pt>
                <c:pt idx="188">
                  <c:v>1.3525069634579169E-12</c:v>
                </c:pt>
                <c:pt idx="189">
                  <c:v>1.3525069634579169E-12</c:v>
                </c:pt>
                <c:pt idx="190">
                  <c:v>1.3525069634579169E-12</c:v>
                </c:pt>
                <c:pt idx="191">
                  <c:v>1.3525069634579169E-12</c:v>
                </c:pt>
                <c:pt idx="192">
                  <c:v>1.3525069634579169E-12</c:v>
                </c:pt>
                <c:pt idx="193">
                  <c:v>1.3525069634579169E-12</c:v>
                </c:pt>
                <c:pt idx="194">
                  <c:v>1.3525069634579169E-12</c:v>
                </c:pt>
                <c:pt idx="195">
                  <c:v>1.3525069634579169E-12</c:v>
                </c:pt>
                <c:pt idx="196">
                  <c:v>1.3525069634579169E-12</c:v>
                </c:pt>
                <c:pt idx="197">
                  <c:v>1.3525069634579169E-12</c:v>
                </c:pt>
                <c:pt idx="198">
                  <c:v>1.3525069634579169E-12</c:v>
                </c:pt>
                <c:pt idx="199">
                  <c:v>1.3525069634579169E-12</c:v>
                </c:pt>
                <c:pt idx="200">
                  <c:v>1.3525069634579169E-12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C26" sqref="C2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1.3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0.7</v>
      </c>
      <c r="D9" s="36">
        <f t="shared" ref="D9:D18" si="0">C9*$C$5</f>
        <v>0.90999999999999992</v>
      </c>
      <c r="E9" s="37">
        <v>120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29</v>
      </c>
      <c r="C10" s="35">
        <v>0.3</v>
      </c>
      <c r="D10" s="36">
        <f t="shared" si="0"/>
        <v>0.39</v>
      </c>
      <c r="E10" s="37">
        <v>69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1.2999999999999998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25</v>
      </c>
      <c r="B36" s="63">
        <v>71</v>
      </c>
      <c r="C36" s="63">
        <v>1</v>
      </c>
      <c r="D36" s="63">
        <v>8</v>
      </c>
      <c r="E36" s="54"/>
      <c r="F36" s="54"/>
      <c r="G36" s="54"/>
      <c r="H36" s="54">
        <v>1</v>
      </c>
      <c r="I36" s="52">
        <f>IFERROR(B36/A36,"")</f>
        <v>2.84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98</v>
      </c>
      <c r="C37" s="63">
        <v>2</v>
      </c>
      <c r="D37" s="63">
        <v>21</v>
      </c>
      <c r="E37" s="54"/>
      <c r="F37" s="54"/>
      <c r="G37" s="54"/>
      <c r="H37" s="54">
        <v>1</v>
      </c>
      <c r="I37" s="56">
        <f t="shared" ref="I37:I55" si="1">IF(A37&lt;&gt;0,(B37-(B36-D36))/(A37-A36),"")</f>
        <v>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35</v>
      </c>
      <c r="B38" s="63">
        <v>116</v>
      </c>
      <c r="C38" s="63">
        <v>3</v>
      </c>
      <c r="D38" s="63">
        <v>21</v>
      </c>
      <c r="E38" s="54"/>
      <c r="F38" s="54"/>
      <c r="G38" s="54"/>
      <c r="H38" s="54"/>
      <c r="I38" s="56">
        <f t="shared" si="1"/>
        <v>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40</v>
      </c>
      <c r="B39" s="63">
        <v>137</v>
      </c>
      <c r="C39" s="63">
        <v>4</v>
      </c>
      <c r="D39" s="63">
        <v>21</v>
      </c>
      <c r="E39" s="54"/>
      <c r="F39" s="54"/>
      <c r="G39" s="54"/>
      <c r="H39" s="54"/>
      <c r="I39" s="52">
        <f t="shared" si="1"/>
        <v>8.4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45</v>
      </c>
      <c r="B40" s="63">
        <v>158</v>
      </c>
      <c r="C40" s="63">
        <v>5</v>
      </c>
      <c r="D40" s="63">
        <v>21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50</v>
      </c>
      <c r="B41" s="63">
        <v>179</v>
      </c>
      <c r="C41" s="63">
        <v>6</v>
      </c>
      <c r="D41" s="63">
        <v>21</v>
      </c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55</v>
      </c>
      <c r="B42" s="63">
        <v>198</v>
      </c>
      <c r="C42" s="63">
        <v>7</v>
      </c>
      <c r="D42" s="63">
        <v>21</v>
      </c>
      <c r="E42" s="54"/>
      <c r="F42" s="54"/>
      <c r="G42" s="54"/>
      <c r="H42" s="54"/>
      <c r="I42" s="56">
        <f t="shared" si="1"/>
        <v>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60</v>
      </c>
      <c r="B43" s="63">
        <v>214</v>
      </c>
      <c r="C43" s="63">
        <v>8</v>
      </c>
      <c r="D43" s="63">
        <v>21</v>
      </c>
      <c r="E43" s="54"/>
      <c r="F43" s="54"/>
      <c r="G43" s="54"/>
      <c r="H43" s="54"/>
      <c r="I43" s="52">
        <f t="shared" si="1"/>
        <v>7.4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65</v>
      </c>
      <c r="B44" s="63">
        <v>229</v>
      </c>
      <c r="C44" s="63">
        <v>9</v>
      </c>
      <c r="D44" s="63">
        <v>21</v>
      </c>
      <c r="E44" s="54"/>
      <c r="F44" s="54"/>
      <c r="G44" s="54"/>
      <c r="H44" s="54"/>
      <c r="I44" s="52">
        <f t="shared" si="1"/>
        <v>7.2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70</v>
      </c>
      <c r="B45" s="63">
        <v>242</v>
      </c>
      <c r="C45" s="63">
        <v>10</v>
      </c>
      <c r="D45" s="63">
        <v>21</v>
      </c>
      <c r="E45" s="54"/>
      <c r="F45" s="54"/>
      <c r="G45" s="54"/>
      <c r="H45" s="54"/>
      <c r="I45" s="52">
        <f t="shared" si="1"/>
        <v>6.8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75</v>
      </c>
      <c r="B46" s="63">
        <v>253</v>
      </c>
      <c r="C46" s="63">
        <v>11</v>
      </c>
      <c r="D46" s="63">
        <v>21</v>
      </c>
      <c r="E46" s="54"/>
      <c r="F46" s="54"/>
      <c r="G46" s="54"/>
      <c r="H46" s="54"/>
      <c r="I46" s="52">
        <f t="shared" si="1"/>
        <v>6.4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80</v>
      </c>
      <c r="B47" s="63">
        <v>262</v>
      </c>
      <c r="C47" s="63">
        <v>12</v>
      </c>
      <c r="D47" s="63">
        <v>21</v>
      </c>
      <c r="E47" s="54"/>
      <c r="F47" s="54"/>
      <c r="G47" s="54"/>
      <c r="H47" s="54"/>
      <c r="I47" s="52">
        <f t="shared" si="1"/>
        <v>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85</v>
      </c>
      <c r="B48" s="63">
        <v>269</v>
      </c>
      <c r="C48" s="63">
        <v>13</v>
      </c>
      <c r="D48" s="63">
        <v>21</v>
      </c>
      <c r="E48" s="54"/>
      <c r="F48" s="54"/>
      <c r="G48" s="54"/>
      <c r="H48" s="54"/>
      <c r="I48" s="52">
        <f t="shared" si="1"/>
        <v>5.6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90</v>
      </c>
      <c r="B49" s="63">
        <v>275</v>
      </c>
      <c r="C49" s="63">
        <v>14</v>
      </c>
      <c r="D49" s="63">
        <v>21</v>
      </c>
      <c r="E49" s="54"/>
      <c r="F49" s="54"/>
      <c r="G49" s="54"/>
      <c r="H49" s="54"/>
      <c r="I49" s="52">
        <f t="shared" si="1"/>
        <v>5.4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95</v>
      </c>
      <c r="B50" s="53">
        <v>279</v>
      </c>
      <c r="C50" s="53">
        <v>15</v>
      </c>
      <c r="D50" s="53">
        <v>21</v>
      </c>
      <c r="E50" s="54"/>
      <c r="F50" s="54"/>
      <c r="G50" s="54"/>
      <c r="H50" s="54"/>
      <c r="I50" s="52">
        <f t="shared" si="1"/>
        <v>5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100</v>
      </c>
      <c r="B51" s="53">
        <v>282</v>
      </c>
      <c r="C51" s="53">
        <v>16</v>
      </c>
      <c r="D51" s="53">
        <v>21</v>
      </c>
      <c r="E51" s="54"/>
      <c r="F51" s="54"/>
      <c r="G51" s="54"/>
      <c r="H51" s="54"/>
      <c r="I51" s="52">
        <f t="shared" si="1"/>
        <v>4.8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105</v>
      </c>
      <c r="B52" s="53">
        <v>283</v>
      </c>
      <c r="C52" s="53">
        <v>17</v>
      </c>
      <c r="D52" s="53">
        <v>20</v>
      </c>
      <c r="E52" s="54"/>
      <c r="F52" s="54"/>
      <c r="G52" s="54"/>
      <c r="H52" s="54"/>
      <c r="I52" s="52">
        <f t="shared" si="1"/>
        <v>4.4000000000000004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110</v>
      </c>
      <c r="B53" s="53">
        <v>284</v>
      </c>
      <c r="C53" s="53">
        <v>18</v>
      </c>
      <c r="D53" s="53">
        <v>19</v>
      </c>
      <c r="E53" s="54"/>
      <c r="F53" s="54"/>
      <c r="G53" s="54"/>
      <c r="H53" s="54"/>
      <c r="I53" s="52">
        <f t="shared" si="1"/>
        <v>4.2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115</v>
      </c>
      <c r="B54" s="53">
        <v>284</v>
      </c>
      <c r="C54" s="53">
        <v>19</v>
      </c>
      <c r="D54" s="53">
        <v>18</v>
      </c>
      <c r="E54" s="54"/>
      <c r="F54" s="54"/>
      <c r="G54" s="54"/>
      <c r="H54" s="54"/>
      <c r="I54" s="52">
        <f t="shared" si="1"/>
        <v>3.8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120</v>
      </c>
      <c r="B55" s="53">
        <v>284</v>
      </c>
      <c r="C55" s="53">
        <v>20</v>
      </c>
      <c r="D55" s="53">
        <v>284</v>
      </c>
      <c r="E55" s="54"/>
      <c r="F55" s="54"/>
      <c r="G55" s="54"/>
      <c r="H55" s="54"/>
      <c r="I55" s="52">
        <f t="shared" si="1"/>
        <v>3.6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Merisier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15</v>
      </c>
      <c r="B62" s="63">
        <v>40</v>
      </c>
      <c r="C62" s="63">
        <v>1</v>
      </c>
      <c r="D62" s="63">
        <v>3</v>
      </c>
      <c r="E62" s="54"/>
      <c r="F62" s="54"/>
      <c r="G62" s="54"/>
      <c r="H62" s="54">
        <v>1</v>
      </c>
      <c r="I62" s="56">
        <f>IFERROR(B62/A62,"")</f>
        <v>2.6666666666666665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20</v>
      </c>
      <c r="B63" s="63">
        <v>85</v>
      </c>
      <c r="C63" s="63">
        <v>2</v>
      </c>
      <c r="D63" s="63">
        <v>25</v>
      </c>
      <c r="E63" s="54"/>
      <c r="F63" s="54"/>
      <c r="G63" s="54"/>
      <c r="H63" s="54">
        <v>1</v>
      </c>
      <c r="I63" s="52">
        <f>IF(A63&lt;&gt;0,(B63-(B62-D62))/(A63-A62),"")</f>
        <v>9.6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25</v>
      </c>
      <c r="B64" s="63">
        <v>113</v>
      </c>
      <c r="C64" s="63">
        <v>3</v>
      </c>
      <c r="D64" s="63">
        <v>27</v>
      </c>
      <c r="E64" s="54"/>
      <c r="F64" s="54">
        <v>0.2</v>
      </c>
      <c r="G64" s="54"/>
      <c r="H64" s="54">
        <v>0.8</v>
      </c>
      <c r="I64" s="52">
        <f>IF(A64&lt;&gt;0,(B64-(B63-D63))/(A64-A63),"")</f>
        <v>10.6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31</v>
      </c>
      <c r="B65" s="63">
        <v>155</v>
      </c>
      <c r="C65" s="63">
        <v>4</v>
      </c>
      <c r="D65" s="63">
        <v>36</v>
      </c>
      <c r="E65" s="54"/>
      <c r="F65" s="54"/>
      <c r="G65" s="54"/>
      <c r="H65" s="54"/>
      <c r="I65" s="52">
        <f>IF(A65&lt;&gt;0,(B65-(B64-D64))/(A65-A64),"")</f>
        <v>11.5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37</v>
      </c>
      <c r="B66" s="63">
        <v>188</v>
      </c>
      <c r="C66" s="63">
        <v>5</v>
      </c>
      <c r="D66" s="63">
        <v>36</v>
      </c>
      <c r="E66" s="54"/>
      <c r="F66" s="54"/>
      <c r="G66" s="54"/>
      <c r="H66" s="54"/>
      <c r="I66" s="52">
        <f t="shared" ref="I66:I81" si="2">IF(A66&lt;&gt;0,(B66-(B65-D65))/(A66-A65),"")</f>
        <v>11.5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44</v>
      </c>
      <c r="B67" s="63">
        <v>230</v>
      </c>
      <c r="C67" s="63">
        <v>6</v>
      </c>
      <c r="D67" s="63">
        <v>43</v>
      </c>
      <c r="E67" s="54"/>
      <c r="F67" s="54"/>
      <c r="G67" s="54"/>
      <c r="H67" s="54"/>
      <c r="I67" s="52">
        <f t="shared" si="2"/>
        <v>11.142857142857142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52</v>
      </c>
      <c r="B68" s="63">
        <v>270</v>
      </c>
      <c r="C68" s="63">
        <v>7</v>
      </c>
      <c r="D68" s="63">
        <v>48</v>
      </c>
      <c r="E68" s="54"/>
      <c r="F68" s="54"/>
      <c r="G68" s="54"/>
      <c r="H68" s="54"/>
      <c r="I68" s="52">
        <f t="shared" si="2"/>
        <v>10.375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60</v>
      </c>
      <c r="B69" s="53">
        <v>297</v>
      </c>
      <c r="C69" s="63">
        <v>8</v>
      </c>
      <c r="D69" s="53">
        <v>47</v>
      </c>
      <c r="E69" s="54"/>
      <c r="F69" s="54"/>
      <c r="G69" s="54"/>
      <c r="H69" s="54"/>
      <c r="I69" s="52">
        <f t="shared" si="2"/>
        <v>9.375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69</v>
      </c>
      <c r="B70" s="53">
        <v>328</v>
      </c>
      <c r="C70" s="63">
        <v>9</v>
      </c>
      <c r="D70" s="53">
        <v>328</v>
      </c>
      <c r="E70" s="54"/>
      <c r="F70" s="54"/>
      <c r="G70" s="54"/>
      <c r="H70" s="54"/>
      <c r="I70" s="52">
        <f t="shared" si="2"/>
        <v>8.6666666666666661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A14" sqref="A14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Chêne sessile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Merisier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371.95849973474657</v>
      </c>
      <c r="T3" s="62">
        <f>IF('Données projet'!E9&gt;30,$R$33-$H$33,LOOKUP('Données projet'!$E$9,$A$3:$A$203,R3:R203)-LOOKUP('Données projet'!$E$9,$A$3:$A$203,$H$3:$H$203))</f>
        <v>233.32640143610547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288.82868507674738</v>
      </c>
      <c r="AO3" s="62">
        <f>IF('Données projet'!E10&gt;30,$AM$33-$H$33,LOOKUP('Données projet'!$E$10,$A$3:$A$203,AM3:AM203)-LOOKUP('Données projet'!$E$10,$A$3:$A$203,$H$3:$H$203))</f>
        <v>283.48738729114024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2.84</v>
      </c>
      <c r="N4" s="14">
        <f>IF('Données projet'!$A$36&gt;35,N3+M4-V3,IF(A4&lt;'Données projet'!$A$36,$K$205^A4,IF(A4='Données projet'!$A$36,'Données projet'!$B$36,N3+M4-V3)))</f>
        <v>1.185906184594963</v>
      </c>
      <c r="O4" s="14">
        <f>N4*VLOOKUP('Données projet'!$B$9,Paramètres!$A$1:$I$89,3,0)*VLOOKUP('Données projet'!$B$9,Paramètres!$A$1:$I$89,5,0)</f>
        <v>1.0730079158215224</v>
      </c>
      <c r="P4" s="14">
        <f>EXP(-1.0587+0.8836*LN(O4)+0.284)</f>
        <v>0.49044782191261621</v>
      </c>
      <c r="Q4" s="22">
        <f t="shared" ref="Q4:Q34" si="2">(O4+P4)*0.475*44/12</f>
        <v>2.7230187432202917</v>
      </c>
      <c r="R4" s="62">
        <f t="shared" si="0"/>
        <v>260.61190763210914</v>
      </c>
      <c r="S4" s="62">
        <f ca="1">AVERAGE(OFFSET($R$3,0,0,'Données projet'!$E$9+1,1))-AVERAGE(OFFSET($H$3,0,0,'Données projet'!$E$9+1,1))</f>
        <v>371.95849973474657</v>
      </c>
      <c r="T4" s="62">
        <f>$T$3</f>
        <v>233.32640143610547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2.6666666666666665</v>
      </c>
      <c r="AI4" s="14">
        <f>IF('Données projet'!$A$62&gt;35,AI3+AH4-AQ3,IF(A4&lt;'Données projet'!$A$62,$AF$205^A4,IF(A4='Données projet'!$A$62,'Données projet'!$B$62,AI3+AH4-AQ3)))</f>
        <v>1.2788040393997409</v>
      </c>
      <c r="AJ4" s="14">
        <f>AI4*VLOOKUP('Données projet'!$B$10,Paramètres!$A$1:$I$89,3,0)*VLOOKUP('Données projet'!$B$10,Paramètres!$A$1:$I$89,5,0)</f>
        <v>0.99746715073179792</v>
      </c>
      <c r="AK4" s="14">
        <f>EXP(-1.0587+0.8836*LN(AJ4)+0.284)</f>
        <v>0.45981048445793882</v>
      </c>
      <c r="AL4" s="22">
        <f t="shared" ref="AL4:AL67" si="4">(AJ4+AK4)*0.475*44/12</f>
        <v>2.5380918812887914</v>
      </c>
      <c r="AM4" s="62">
        <f t="shared" ref="AM4:AM67" si="5">AL4+(AD4+AE4)*44/12</f>
        <v>260.42698077017764</v>
      </c>
      <c r="AN4" s="62">
        <f ca="1">AVERAGE(OFFSET($AM$3,0,0,'Données projet'!$E$10+1,1))-AVERAGE(OFFSET($H$3,0,0,'Données projet'!$E$10+1,1))</f>
        <v>288.82868507674738</v>
      </c>
      <c r="AO4" s="62">
        <f>$AO$3</f>
        <v>283.48738729114024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2.84</v>
      </c>
      <c r="N5" s="14">
        <f>IF('Données projet'!$A$36&gt;35,N4+M5-V4,IF(A5&lt;'Données projet'!$A$36,$K$205^A5,IF(A5='Données projet'!$A$36,'Données projet'!$B$36,N4+M5-V4)))</f>
        <v>1.4063734786605824</v>
      </c>
      <c r="O5" s="14">
        <f>N5*VLOOKUP('Données projet'!$B$9,Paramètres!$A$1:$I$89,3,0)*VLOOKUP('Données projet'!$B$9,Paramètres!$A$1:$I$89,5,0)</f>
        <v>1.2724867234920949</v>
      </c>
      <c r="P5" s="14">
        <f t="shared" ref="P5:P68" si="33">EXP(-1.0587+0.8836*LN(O5)+0.284)</f>
        <v>0.570195368340213</v>
      </c>
      <c r="Q5" s="22">
        <f t="shared" si="2"/>
        <v>3.209337976607936</v>
      </c>
      <c r="R5" s="62">
        <f t="shared" si="0"/>
        <v>262.32044908771906</v>
      </c>
      <c r="S5" s="62">
        <f ca="1">AVERAGE(OFFSET($R$3,0,0,'Données projet'!$E$9+1,1))-AVERAGE(OFFSET($H$3,0,0,'Données projet'!$E$9+1,1))</f>
        <v>371.95849973474657</v>
      </c>
      <c r="T5" s="62">
        <f t="shared" ref="T5:T68" si="34">$T$3</f>
        <v>233.32640143610547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2.6666666666666665</v>
      </c>
      <c r="AI5" s="14">
        <f>IF('Données projet'!$A$62&gt;35,AI4+AH5-AQ4,IF(A5&lt;'Données projet'!$A$62,$AF$205^A5,IF(A5='Données projet'!$A$62,'Données projet'!$B$62,AI4+AH5-AQ4)))</f>
        <v>1.6353397711850939</v>
      </c>
      <c r="AJ5" s="14">
        <f>AI5*VLOOKUP('Données projet'!$B$10,Paramètres!$A$1:$I$89,3,0)*VLOOKUP('Données projet'!$B$10,Paramètres!$A$1:$I$89,5,0)</f>
        <v>1.2755650215243732</v>
      </c>
      <c r="AK5" s="14">
        <f t="shared" ref="AK5:AK68" si="35">EXP(-1.0587+0.8836*LN(AJ5)+0.284)</f>
        <v>0.57141400910743001</v>
      </c>
      <c r="AL5" s="22">
        <f t="shared" si="4"/>
        <v>3.2168218116837237</v>
      </c>
      <c r="AM5" s="62">
        <f t="shared" si="5"/>
        <v>262.32793292279484</v>
      </c>
      <c r="AN5" s="62">
        <f ca="1">AVERAGE(OFFSET($AM$3,0,0,'Données projet'!$E$10+1,1))-AVERAGE(OFFSET($H$3,0,0,'Données projet'!$E$10+1,1))</f>
        <v>288.82868507674738</v>
      </c>
      <c r="AO5" s="62">
        <f t="shared" ref="AO5:AO68" si="36">$AO$3</f>
        <v>283.48738729114024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2.84</v>
      </c>
      <c r="N6" s="14">
        <f>IF('Données projet'!$A$36&gt;35,N5+M6-V5,IF(A6&lt;'Données projet'!$A$36,$K$205^A6,IF(A6='Données projet'!$A$36,'Données projet'!$B$36,N5+M6-V5)))</f>
        <v>1.6678270061939169</v>
      </c>
      <c r="O6" s="14">
        <f>N6*VLOOKUP('Données projet'!$B$9,Paramètres!$A$1:$I$89,3,0)*VLOOKUP('Données projet'!$B$9,Paramètres!$A$1:$I$89,5,0)</f>
        <v>1.5090498752042558</v>
      </c>
      <c r="P6" s="14">
        <f t="shared" si="33"/>
        <v>0.66290998461108197</v>
      </c>
      <c r="Q6" s="22">
        <f t="shared" si="2"/>
        <v>3.7828300891783795</v>
      </c>
      <c r="R6" s="62">
        <f t="shared" si="0"/>
        <v>264.1161634225117</v>
      </c>
      <c r="S6" s="62">
        <f ca="1">AVERAGE(OFFSET($R$3,0,0,'Données projet'!$E$9+1,1))-AVERAGE(OFFSET($H$3,0,0,'Données projet'!$E$9+1,1))</f>
        <v>371.95849973474657</v>
      </c>
      <c r="T6" s="62">
        <f t="shared" si="34"/>
        <v>233.32640143610547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2.6666666666666665</v>
      </c>
      <c r="AI6" s="14">
        <f>IF('Données projet'!$A$62&gt;35,AI5+AH6-AQ5,IF(A6&lt;'Données projet'!$A$62,$AF$205^A6,IF(A6='Données projet'!$A$62,'Données projet'!$B$62,AI5+AH6-AQ5)))</f>
        <v>2.0912791051825459</v>
      </c>
      <c r="AJ6" s="14">
        <f>AI6*VLOOKUP('Données projet'!$B$10,Paramètres!$A$1:$I$89,3,0)*VLOOKUP('Données projet'!$B$10,Paramètres!$A$1:$I$89,5,0)</f>
        <v>1.6311977020423858</v>
      </c>
      <c r="AK6" s="14">
        <f t="shared" si="35"/>
        <v>0.71010553443370616</v>
      </c>
      <c r="AL6" s="22">
        <f t="shared" si="4"/>
        <v>4.0777698035291934</v>
      </c>
      <c r="AM6" s="62">
        <f t="shared" si="5"/>
        <v>264.41110313686249</v>
      </c>
      <c r="AN6" s="62">
        <f ca="1">AVERAGE(OFFSET($AM$3,0,0,'Données projet'!$E$10+1,1))-AVERAGE(OFFSET($H$3,0,0,'Données projet'!$E$10+1,1))</f>
        <v>288.82868507674738</v>
      </c>
      <c r="AO6" s="62">
        <f t="shared" si="36"/>
        <v>283.48738729114024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2.84</v>
      </c>
      <c r="N7" s="14">
        <f>IF('Données projet'!$A$36&gt;35,N6+M7-V6,IF(A7&lt;'Données projet'!$A$36,$K$205^A7,IF(A7='Données projet'!$A$36,'Données projet'!$B$36,N6+M7-V6)))</f>
        <v>1.9778863614798676</v>
      </c>
      <c r="O7" s="14">
        <f>N7*VLOOKUP('Données projet'!$B$9,Paramètres!$A$1:$I$89,3,0)*VLOOKUP('Données projet'!$B$9,Paramètres!$A$1:$I$89,5,0)</f>
        <v>1.7895915798669841</v>
      </c>
      <c r="P7" s="14">
        <f t="shared" si="33"/>
        <v>0.77070013559784434</v>
      </c>
      <c r="Q7" s="22">
        <f t="shared" si="2"/>
        <v>4.459174737767909</v>
      </c>
      <c r="R7" s="62">
        <f t="shared" si="0"/>
        <v>266.01473029332345</v>
      </c>
      <c r="S7" s="62">
        <f ca="1">AVERAGE(OFFSET($R$3,0,0,'Données projet'!$E$9+1,1))-AVERAGE(OFFSET($H$3,0,0,'Données projet'!$E$9+1,1))</f>
        <v>371.95849973474657</v>
      </c>
      <c r="T7" s="62">
        <f t="shared" si="34"/>
        <v>233.32640143610547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2.6666666666666665</v>
      </c>
      <c r="AI7" s="14">
        <f>IF('Données projet'!$A$62&gt;35,AI6+AH7-AQ6,IF(A7&lt;'Données projet'!$A$62,$AF$205^A7,IF(A7='Données projet'!$A$62,'Données projet'!$B$62,AI6+AH7-AQ6)))</f>
        <v>2.6743361672197152</v>
      </c>
      <c r="AJ7" s="14">
        <f>AI7*VLOOKUP('Données projet'!$B$10,Paramètres!$A$1:$I$89,3,0)*VLOOKUP('Données projet'!$B$10,Paramètres!$A$1:$I$89,5,0)</f>
        <v>2.0859822104313781</v>
      </c>
      <c r="AK7" s="14">
        <f t="shared" si="35"/>
        <v>0.88245976121767966</v>
      </c>
      <c r="AL7" s="22">
        <f t="shared" si="4"/>
        <v>5.1700364339554419</v>
      </c>
      <c r="AM7" s="62">
        <f t="shared" si="5"/>
        <v>266.72559198951097</v>
      </c>
      <c r="AN7" s="62">
        <f ca="1">AVERAGE(OFFSET($AM$3,0,0,'Données projet'!$E$10+1,1))-AVERAGE(OFFSET($H$3,0,0,'Données projet'!$E$10+1,1))</f>
        <v>288.82868507674738</v>
      </c>
      <c r="AO7" s="62">
        <f t="shared" si="36"/>
        <v>283.48738729114024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2.84</v>
      </c>
      <c r="N8" s="14">
        <f>IF('Données projet'!$A$36&gt;35,N7+M8-V7,IF(A8&lt;'Données projet'!$A$36,$K$205^A8,IF(A8='Données projet'!$A$36,'Données projet'!$B$36,N7+M8-V7)))</f>
        <v>2.3455876685050034</v>
      </c>
      <c r="O8" s="14">
        <f>N8*VLOOKUP('Données projet'!$B$9,Paramètres!$A$1:$I$89,3,0)*VLOOKUP('Données projet'!$B$9,Paramètres!$A$1:$I$89,5,0)</f>
        <v>2.122287722463327</v>
      </c>
      <c r="P8" s="14">
        <f t="shared" si="33"/>
        <v>0.89601712570223679</v>
      </c>
      <c r="Q8" s="22">
        <f t="shared" si="2"/>
        <v>5.2568809438883566</v>
      </c>
      <c r="R8" s="62">
        <f t="shared" si="0"/>
        <v>268.03465872166612</v>
      </c>
      <c r="S8" s="62">
        <f ca="1">AVERAGE(OFFSET($R$3,0,0,'Données projet'!$E$9+1,1))-AVERAGE(OFFSET($H$3,0,0,'Données projet'!$E$9+1,1))</f>
        <v>371.95849973474657</v>
      </c>
      <c r="T8" s="62">
        <f t="shared" si="34"/>
        <v>233.32640143610547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2.6666666666666665</v>
      </c>
      <c r="AI8" s="14">
        <f>IF('Données projet'!$A$62&gt;35,AI7+AH8-AQ7,IF(A8&lt;'Données projet'!$A$62,$AF$205^A8,IF(A8='Données projet'!$A$62,'Données projet'!$B$62,AI7+AH8-AQ7)))</f>
        <v>3.4199518933533928</v>
      </c>
      <c r="AJ8" s="14">
        <f>AI8*VLOOKUP('Données projet'!$B$10,Paramètres!$A$1:$I$89,3,0)*VLOOKUP('Données projet'!$B$10,Paramètres!$A$1:$I$89,5,0)</f>
        <v>2.6675624768156463</v>
      </c>
      <c r="AK8" s="14">
        <f t="shared" si="35"/>
        <v>1.0966471776471767</v>
      </c>
      <c r="AL8" s="22">
        <f t="shared" si="4"/>
        <v>6.5559984815227494</v>
      </c>
      <c r="AM8" s="62">
        <f t="shared" si="5"/>
        <v>269.33377625930052</v>
      </c>
      <c r="AN8" s="62">
        <f ca="1">AVERAGE(OFFSET($AM$3,0,0,'Données projet'!$E$10+1,1))-AVERAGE(OFFSET($H$3,0,0,'Données projet'!$E$10+1,1))</f>
        <v>288.82868507674738</v>
      </c>
      <c r="AO8" s="62">
        <f t="shared" si="36"/>
        <v>283.48738729114024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2.84</v>
      </c>
      <c r="N9" s="14">
        <f>IF('Données projet'!$A$36&gt;35,N8+M9-V8,IF(A9&lt;'Données projet'!$A$36,$K$205^A9,IF(A9='Données projet'!$A$36,'Données projet'!$B$36,N8+M9-V8)))</f>
        <v>2.7816469225897635</v>
      </c>
      <c r="O9" s="14">
        <f>N9*VLOOKUP('Données projet'!$B$9,Paramètres!$A$1:$I$89,3,0)*VLOOKUP('Données projet'!$B$9,Paramètres!$A$1:$I$89,5,0)</f>
        <v>2.5168341355592179</v>
      </c>
      <c r="P9" s="14">
        <f t="shared" si="33"/>
        <v>1.0417108450732491</v>
      </c>
      <c r="Q9" s="22">
        <f t="shared" si="2"/>
        <v>6.1977991746015464</v>
      </c>
      <c r="R9" s="62">
        <f t="shared" si="0"/>
        <v>270.19779917460153</v>
      </c>
      <c r="S9" s="62">
        <f ca="1">AVERAGE(OFFSET($R$3,0,0,'Données projet'!$E$9+1,1))-AVERAGE(OFFSET($H$3,0,0,'Données projet'!$E$9+1,1))</f>
        <v>371.95849973474657</v>
      </c>
      <c r="T9" s="62">
        <f t="shared" si="34"/>
        <v>233.32640143610547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2.6666666666666665</v>
      </c>
      <c r="AI9" s="14">
        <f>IF('Données projet'!$A$62&gt;35,AI8+AH9-AQ8,IF(A9&lt;'Données projet'!$A$62,$AF$205^A9,IF(A9='Données projet'!$A$62,'Données projet'!$B$62,AI8+AH9-AQ8)))</f>
        <v>4.3734482957731098</v>
      </c>
      <c r="AJ9" s="14">
        <f>AI9*VLOOKUP('Données projet'!$B$10,Paramètres!$A$1:$I$89,3,0)*VLOOKUP('Données projet'!$B$10,Paramètres!$A$1:$I$89,5,0)</f>
        <v>3.4112896707030256</v>
      </c>
      <c r="AK9" s="14">
        <f t="shared" si="35"/>
        <v>1.3628213830192535</v>
      </c>
      <c r="AL9" s="22">
        <f t="shared" si="4"/>
        <v>8.3149100852329703</v>
      </c>
      <c r="AM9" s="62">
        <f t="shared" si="5"/>
        <v>272.31491008523295</v>
      </c>
      <c r="AN9" s="62">
        <f ca="1">AVERAGE(OFFSET($AM$3,0,0,'Données projet'!$E$10+1,1))-AVERAGE(OFFSET($H$3,0,0,'Données projet'!$E$10+1,1))</f>
        <v>288.82868507674738</v>
      </c>
      <c r="AO9" s="62">
        <f t="shared" si="36"/>
        <v>283.48738729114024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2.84</v>
      </c>
      <c r="N10" s="14">
        <f>IF('Données projet'!$A$36&gt;35,N9+M10-V9,IF(A10&lt;'Données projet'!$A$36,$K$205^A10,IF(A10='Données projet'!$A$36,'Données projet'!$B$36,N9+M10-V9)))</f>
        <v>3.2987722888587467</v>
      </c>
      <c r="O10" s="14">
        <f>N10*VLOOKUP('Données projet'!$B$9,Paramètres!$A$1:$I$89,3,0)*VLOOKUP('Données projet'!$B$9,Paramètres!$A$1:$I$89,5,0)</f>
        <v>2.9847291669593941</v>
      </c>
      <c r="P10" s="14">
        <f t="shared" si="33"/>
        <v>1.2110945802433715</v>
      </c>
      <c r="Q10" s="22">
        <f t="shared" si="2"/>
        <v>7.3077263597114817</v>
      </c>
      <c r="R10" s="62">
        <f t="shared" si="0"/>
        <v>272.5299485819337</v>
      </c>
      <c r="S10" s="62">
        <f ca="1">AVERAGE(OFFSET($R$3,0,0,'Données projet'!$E$9+1,1))-AVERAGE(OFFSET($H$3,0,0,'Données projet'!$E$9+1,1))</f>
        <v>371.95849973474657</v>
      </c>
      <c r="T10" s="62">
        <f t="shared" si="34"/>
        <v>233.32640143610547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2.6666666666666665</v>
      </c>
      <c r="AI10" s="14">
        <f>IF('Données projet'!$A$62&gt;35,AI9+AH10-AQ9,IF(A10&lt;'Données projet'!$A$62,$AF$205^A10,IF(A10='Données projet'!$A$62,'Données projet'!$B$62,AI9+AH10-AQ9)))</f>
        <v>5.5927833467405659</v>
      </c>
      <c r="AJ10" s="14">
        <f>AI10*VLOOKUP('Données projet'!$B$10,Paramètres!$A$1:$I$89,3,0)*VLOOKUP('Données projet'!$B$10,Paramètres!$A$1:$I$89,5,0)</f>
        <v>4.3623710104576414</v>
      </c>
      <c r="AK10" s="14">
        <f t="shared" si="35"/>
        <v>1.6936004212396314</v>
      </c>
      <c r="AL10" s="22">
        <f t="shared" si="4"/>
        <v>10.54748357687275</v>
      </c>
      <c r="AM10" s="62">
        <f t="shared" si="5"/>
        <v>275.76970579909499</v>
      </c>
      <c r="AN10" s="62">
        <f ca="1">AVERAGE(OFFSET($AM$3,0,0,'Données projet'!$E$10+1,1))-AVERAGE(OFFSET($H$3,0,0,'Données projet'!$E$10+1,1))</f>
        <v>288.82868507674738</v>
      </c>
      <c r="AO10" s="62">
        <f t="shared" si="36"/>
        <v>283.48738729114024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2.84</v>
      </c>
      <c r="N11" s="14">
        <f>IF('Données projet'!$A$36&gt;35,N10+M11-V10,IF(A11&lt;'Données projet'!$A$36,$K$205^A11,IF(A11='Données projet'!$A$36,'Données projet'!$B$36,N10+M11-V10)))</f>
        <v>3.9120344589280696</v>
      </c>
      <c r="O11" s="14">
        <f>N11*VLOOKUP('Données projet'!$B$9,Paramètres!$A$1:$I$89,3,0)*VLOOKUP('Données projet'!$B$9,Paramètres!$A$1:$I$89,5,0)</f>
        <v>3.5396087784381174</v>
      </c>
      <c r="P11" s="14">
        <f t="shared" si="33"/>
        <v>1.4080203630708406</v>
      </c>
      <c r="Q11" s="22">
        <f t="shared" si="2"/>
        <v>8.6171207547947688</v>
      </c>
      <c r="R11" s="62">
        <f t="shared" si="0"/>
        <v>275.06156519923923</v>
      </c>
      <c r="S11" s="62">
        <f ca="1">AVERAGE(OFFSET($R$3,0,0,'Données projet'!$E$9+1,1))-AVERAGE(OFFSET($H$3,0,0,'Données projet'!$E$9+1,1))</f>
        <v>371.95849973474657</v>
      </c>
      <c r="T11" s="62">
        <f t="shared" si="34"/>
        <v>233.32640143610547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2.6666666666666665</v>
      </c>
      <c r="AI11" s="14">
        <f>IF('Données projet'!$A$62&gt;35,AI10+AH11-AQ10,IF(A11&lt;'Données projet'!$A$62,$AF$205^A11,IF(A11='Données projet'!$A$62,'Données projet'!$B$62,AI10+AH11-AQ10)))</f>
        <v>7.1520739352994367</v>
      </c>
      <c r="AJ11" s="14">
        <f>AI11*VLOOKUP('Données projet'!$B$10,Paramètres!$A$1:$I$89,3,0)*VLOOKUP('Données projet'!$B$10,Paramètres!$A$1:$I$89,5,0)</f>
        <v>5.5786176695335605</v>
      </c>
      <c r="AK11" s="14">
        <f t="shared" si="35"/>
        <v>2.1046649418345189</v>
      </c>
      <c r="AL11" s="22">
        <f t="shared" si="4"/>
        <v>13.381717214799407</v>
      </c>
      <c r="AM11" s="62">
        <f t="shared" si="5"/>
        <v>279.82616165924384</v>
      </c>
      <c r="AN11" s="62">
        <f ca="1">AVERAGE(OFFSET($AM$3,0,0,'Données projet'!$E$10+1,1))-AVERAGE(OFFSET($H$3,0,0,'Données projet'!$E$10+1,1))</f>
        <v>288.82868507674738</v>
      </c>
      <c r="AO11" s="62">
        <f t="shared" si="36"/>
        <v>283.48738729114024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2.84</v>
      </c>
      <c r="N12" s="14">
        <f>IF('Données projet'!$A$36&gt;35,N11+M12-V11,IF(A12&lt;'Données projet'!$A$36,$K$205^A12,IF(A12='Données projet'!$A$36,'Données projet'!$B$36,N11+M12-V11)))</f>
        <v>4.6393058591914071</v>
      </c>
      <c r="O12" s="14">
        <f>N12*VLOOKUP('Données projet'!$B$9,Paramètres!$A$1:$I$89,3,0)*VLOOKUP('Données projet'!$B$9,Paramètres!$A$1:$I$89,5,0)</f>
        <v>4.1976439413963851</v>
      </c>
      <c r="P12" s="14">
        <f t="shared" si="33"/>
        <v>1.6369665715321342</v>
      </c>
      <c r="Q12" s="22">
        <f t="shared" si="2"/>
        <v>10.161946643350502</v>
      </c>
      <c r="R12" s="62">
        <f t="shared" si="0"/>
        <v>277.8286133100172</v>
      </c>
      <c r="S12" s="62">
        <f ca="1">AVERAGE(OFFSET($R$3,0,0,'Données projet'!$E$9+1,1))-AVERAGE(OFFSET($H$3,0,0,'Données projet'!$E$9+1,1))</f>
        <v>371.95849973474657</v>
      </c>
      <c r="T12" s="62">
        <f t="shared" si="34"/>
        <v>233.32640143610547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2.6666666666666665</v>
      </c>
      <c r="AI12" s="14">
        <f>IF('Données projet'!$A$62&gt;35,AI11+AH12-AQ11,IF(A12&lt;'Données projet'!$A$62,$AF$205^A12,IF(A12='Données projet'!$A$62,'Données projet'!$B$62,AI11+AH12-AQ11)))</f>
        <v>9.1461010385465205</v>
      </c>
      <c r="AJ12" s="14">
        <f>AI12*VLOOKUP('Données projet'!$B$10,Paramètres!$A$1:$I$89,3,0)*VLOOKUP('Données projet'!$B$10,Paramètres!$A$1:$I$89,5,0)</f>
        <v>7.1339588100662858</v>
      </c>
      <c r="AK12" s="14">
        <f t="shared" si="35"/>
        <v>2.6155015444227643</v>
      </c>
      <c r="AL12" s="22">
        <f t="shared" si="4"/>
        <v>16.980310117401761</v>
      </c>
      <c r="AM12" s="62">
        <f t="shared" si="5"/>
        <v>284.64697678406844</v>
      </c>
      <c r="AN12" s="62">
        <f ca="1">AVERAGE(OFFSET($AM$3,0,0,'Données projet'!$E$10+1,1))-AVERAGE(OFFSET($H$3,0,0,'Données projet'!$E$10+1,1))</f>
        <v>288.82868507674738</v>
      </c>
      <c r="AO12" s="62">
        <f t="shared" si="36"/>
        <v>283.48738729114024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2.84</v>
      </c>
      <c r="N13" s="14">
        <f>IF('Données projet'!$A$36&gt;35,N12+M13-V12,IF(A13&lt;'Données projet'!$A$36,$K$205^A13,IF(A13='Données projet'!$A$36,'Données projet'!$B$36,N12+M13-V12)))</f>
        <v>5.5017815106427381</v>
      </c>
      <c r="O13" s="14">
        <f>N13*VLOOKUP('Données projet'!$B$9,Paramètres!$A$1:$I$89,3,0)*VLOOKUP('Données projet'!$B$9,Paramètres!$A$1:$I$89,5,0)</f>
        <v>4.9780119108295491</v>
      </c>
      <c r="P13" s="14">
        <f t="shared" si="33"/>
        <v>1.9031397745338225</v>
      </c>
      <c r="Q13" s="22">
        <f t="shared" si="2"/>
        <v>11.984672518674538</v>
      </c>
      <c r="R13" s="62">
        <f t="shared" si="0"/>
        <v>280.87356140756339</v>
      </c>
      <c r="S13" s="62">
        <f ca="1">AVERAGE(OFFSET($R$3,0,0,'Données projet'!$E$9+1,1))-AVERAGE(OFFSET($H$3,0,0,'Données projet'!$E$9+1,1))</f>
        <v>371.95849973474657</v>
      </c>
      <c r="T13" s="62">
        <f t="shared" si="34"/>
        <v>233.32640143610547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2.6666666666666665</v>
      </c>
      <c r="AI13" s="14">
        <f>IF('Données projet'!$A$62&gt;35,AI12+AH13-AQ12,IF(A13&lt;'Données projet'!$A$62,$AF$205^A13,IF(A13='Données projet'!$A$62,'Données projet'!$B$62,AI12+AH13-AQ12)))</f>
        <v>11.696070952851455</v>
      </c>
      <c r="AJ13" s="14">
        <f>AI13*VLOOKUP('Données projet'!$B$10,Paramètres!$A$1:$I$89,3,0)*VLOOKUP('Données projet'!$B$10,Paramètres!$A$1:$I$89,5,0)</f>
        <v>9.1229353432241354</v>
      </c>
      <c r="AK13" s="14">
        <f t="shared" si="35"/>
        <v>3.2503265450485803</v>
      </c>
      <c r="AL13" s="22">
        <f t="shared" si="4"/>
        <v>21.550097788741649</v>
      </c>
      <c r="AM13" s="62">
        <f t="shared" si="5"/>
        <v>290.43898667763051</v>
      </c>
      <c r="AN13" s="62">
        <f ca="1">AVERAGE(OFFSET($AM$3,0,0,'Données projet'!$E$10+1,1))-AVERAGE(OFFSET($H$3,0,0,'Données projet'!$E$10+1,1))</f>
        <v>288.82868507674738</v>
      </c>
      <c r="AO13" s="62">
        <f t="shared" si="36"/>
        <v>283.48738729114024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2.84</v>
      </c>
      <c r="N14" s="14">
        <f>IF('Données projet'!$A$36&gt;35,N13+M14-V13,IF(A14&lt;'Données projet'!$A$36,$K$205^A14,IF(A14='Données projet'!$A$36,'Données projet'!$B$36,N13+M14-V13)))</f>
        <v>6.5245967197614414</v>
      </c>
      <c r="O14" s="14">
        <f>N14*VLOOKUP('Données projet'!$B$9,Paramètres!$A$1:$I$89,3,0)*VLOOKUP('Données projet'!$B$9,Paramètres!$A$1:$I$89,5,0)</f>
        <v>5.9034551120401524</v>
      </c>
      <c r="P14" s="14">
        <f t="shared" si="33"/>
        <v>2.2125931368425316</v>
      </c>
      <c r="Q14" s="22">
        <f t="shared" si="2"/>
        <v>14.135450700137341</v>
      </c>
      <c r="R14" s="62">
        <f t="shared" si="0"/>
        <v>284.24656181124851</v>
      </c>
      <c r="S14" s="62">
        <f ca="1">AVERAGE(OFFSET($R$3,0,0,'Données projet'!$E$9+1,1))-AVERAGE(OFFSET($H$3,0,0,'Données projet'!$E$9+1,1))</f>
        <v>371.95849973474657</v>
      </c>
      <c r="T14" s="62">
        <f t="shared" si="34"/>
        <v>233.32640143610547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2.6666666666666665</v>
      </c>
      <c r="AI14" s="14">
        <f>IF('Données projet'!$A$62&gt;35,AI13+AH14-AQ13,IF(A14&lt;'Données projet'!$A$62,$AF$205^A14,IF(A14='Données projet'!$A$62,'Données projet'!$B$62,AI13+AH14-AQ13)))</f>
        <v>14.956982779612416</v>
      </c>
      <c r="AJ14" s="14">
        <f>AI14*VLOOKUP('Données projet'!$B$10,Paramètres!$A$1:$I$89,3,0)*VLOOKUP('Données projet'!$B$10,Paramètres!$A$1:$I$89,5,0)</f>
        <v>11.666446568097685</v>
      </c>
      <c r="AK14" s="14">
        <f t="shared" si="35"/>
        <v>4.0392339557111736</v>
      </c>
      <c r="AL14" s="22">
        <f t="shared" si="4"/>
        <v>27.354060245633761</v>
      </c>
      <c r="AM14" s="62">
        <f t="shared" si="5"/>
        <v>297.46517135674492</v>
      </c>
      <c r="AN14" s="62">
        <f ca="1">AVERAGE(OFFSET($AM$3,0,0,'Données projet'!$E$10+1,1))-AVERAGE(OFFSET($H$3,0,0,'Données projet'!$E$10+1,1))</f>
        <v>288.82868507674738</v>
      </c>
      <c r="AO14" s="62">
        <f t="shared" si="36"/>
        <v>283.48738729114024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2.84</v>
      </c>
      <c r="N15" s="14">
        <f>IF('Données projet'!$A$36&gt;35,N14+M15-V14,IF(A15&lt;'Données projet'!$A$36,$K$205^A15,IF(A15='Données projet'!$A$36,'Données projet'!$B$36,N14+M15-V14)))</f>
        <v>7.7375596019531026</v>
      </c>
      <c r="O15" s="14">
        <f>N15*VLOOKUP('Données projet'!$B$9,Paramètres!$A$1:$I$89,3,0)*VLOOKUP('Données projet'!$B$9,Paramètres!$A$1:$I$89,5,0)</f>
        <v>7.0009439278471666</v>
      </c>
      <c r="P15" s="14">
        <f t="shared" si="33"/>
        <v>2.5723640768329017</v>
      </c>
      <c r="Q15" s="22">
        <f t="shared" si="2"/>
        <v>16.673511441484454</v>
      </c>
      <c r="R15" s="62">
        <f t="shared" si="0"/>
        <v>288.00684477481775</v>
      </c>
      <c r="S15" s="62">
        <f ca="1">AVERAGE(OFFSET($R$3,0,0,'Données projet'!$E$9+1,1))-AVERAGE(OFFSET($H$3,0,0,'Données projet'!$E$9+1,1))</f>
        <v>371.95849973474657</v>
      </c>
      <c r="T15" s="62">
        <f t="shared" si="34"/>
        <v>233.32640143610547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2.6666666666666665</v>
      </c>
      <c r="AI15" s="14">
        <f>IF('Données projet'!$A$62&gt;35,AI14+AH15-AQ14,IF(A15&lt;'Données projet'!$A$62,$AF$205^A15,IF(A15='Données projet'!$A$62,'Données projet'!$B$62,AI14+AH15-AQ14)))</f>
        <v>19.127049995800721</v>
      </c>
      <c r="AJ15" s="14">
        <f>AI15*VLOOKUP('Données projet'!$B$10,Paramètres!$A$1:$I$89,3,0)*VLOOKUP('Données projet'!$B$10,Paramètres!$A$1:$I$89,5,0)</f>
        <v>14.919098996724562</v>
      </c>
      <c r="AK15" s="14">
        <f t="shared" si="35"/>
        <v>5.019622097301081</v>
      </c>
      <c r="AL15" s="22">
        <f t="shared" si="4"/>
        <v>34.726605905427995</v>
      </c>
      <c r="AM15" s="62">
        <f t="shared" si="5"/>
        <v>306.05993923876133</v>
      </c>
      <c r="AN15" s="62">
        <f ca="1">AVERAGE(OFFSET($AM$3,0,0,'Données projet'!$E$10+1,1))-AVERAGE(OFFSET($H$3,0,0,'Données projet'!$E$10+1,1))</f>
        <v>288.82868507674738</v>
      </c>
      <c r="AO15" s="62">
        <f t="shared" si="36"/>
        <v>283.48738729114024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2.84</v>
      </c>
      <c r="N16" s="14">
        <f>IF('Données projet'!$A$36&gt;35,N15+M16-V15,IF(A16&lt;'Données projet'!$A$36,$K$205^A16,IF(A16='Données projet'!$A$36,'Données projet'!$B$36,N15+M16-V15)))</f>
        <v>9.1760197856283234</v>
      </c>
      <c r="O16" s="14">
        <f>N16*VLOOKUP('Données projet'!$B$9,Paramètres!$A$1:$I$89,3,0)*VLOOKUP('Données projet'!$B$9,Paramètres!$A$1:$I$89,5,0)</f>
        <v>8.3024627020365074</v>
      </c>
      <c r="P16" s="14">
        <f t="shared" si="33"/>
        <v>2.9906343075904238</v>
      </c>
      <c r="Q16" s="22">
        <f t="shared" si="2"/>
        <v>19.668810625100239</v>
      </c>
      <c r="R16" s="62">
        <f t="shared" si="0"/>
        <v>292.22436618065581</v>
      </c>
      <c r="S16" s="62">
        <f ca="1">AVERAGE(OFFSET($R$3,0,0,'Données projet'!$E$9+1,1))-AVERAGE(OFFSET($H$3,0,0,'Données projet'!$E$9+1,1))</f>
        <v>371.95849973474657</v>
      </c>
      <c r="T16" s="62">
        <f t="shared" si="34"/>
        <v>233.32640143610547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2.6666666666666665</v>
      </c>
      <c r="AI16" s="14">
        <f>IF('Données projet'!$A$62&gt;35,AI15+AH16-AQ15,IF(A16&lt;'Données projet'!$A$62,$AF$205^A16,IF(A16='Données projet'!$A$62,'Données projet'!$B$62,AI15+AH16-AQ15)))</f>
        <v>24.459748796430759</v>
      </c>
      <c r="AJ16" s="14">
        <f>AI16*VLOOKUP('Données projet'!$B$10,Paramètres!$A$1:$I$89,3,0)*VLOOKUP('Données projet'!$B$10,Paramètres!$A$1:$I$89,5,0)</f>
        <v>19.078604061215994</v>
      </c>
      <c r="AK16" s="14">
        <f t="shared" si="35"/>
        <v>6.2379664748280286</v>
      </c>
      <c r="AL16" s="22">
        <f t="shared" si="4"/>
        <v>44.093027016943331</v>
      </c>
      <c r="AM16" s="62">
        <f t="shared" si="5"/>
        <v>316.64858257249887</v>
      </c>
      <c r="AN16" s="62">
        <f ca="1">AVERAGE(OFFSET($AM$3,0,0,'Données projet'!$E$10+1,1))-AVERAGE(OFFSET($H$3,0,0,'Données projet'!$E$10+1,1))</f>
        <v>288.82868507674738</v>
      </c>
      <c r="AO16" s="62">
        <f t="shared" si="36"/>
        <v>283.48738729114024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2.84</v>
      </c>
      <c r="N17" s="14">
        <f>IF('Données projet'!$A$36&gt;35,N16+M17-V16,IF(A17&lt;'Données projet'!$A$36,$K$205^A17,IF(A17='Données projet'!$A$36,'Données projet'!$B$36,N16+M17-V16)))</f>
        <v>10.881898613742376</v>
      </c>
      <c r="O17" s="14">
        <f>N17*VLOOKUP('Données projet'!$B$9,Paramètres!$A$1:$I$89,3,0)*VLOOKUP('Données projet'!$B$9,Paramètres!$A$1:$I$89,5,0)</f>
        <v>9.8459418657141011</v>
      </c>
      <c r="P17" s="14">
        <f t="shared" si="33"/>
        <v>3.4769159009359916</v>
      </c>
      <c r="Q17" s="22">
        <f t="shared" si="2"/>
        <v>23.203977276915577</v>
      </c>
      <c r="R17" s="62">
        <f t="shared" si="0"/>
        <v>296.98175505469334</v>
      </c>
      <c r="S17" s="62">
        <f ca="1">AVERAGE(OFFSET($R$3,0,0,'Données projet'!$E$9+1,1))-AVERAGE(OFFSET($H$3,0,0,'Données projet'!$E$9+1,1))</f>
        <v>371.95849973474657</v>
      </c>
      <c r="T17" s="62">
        <f t="shared" si="34"/>
        <v>233.32640143610547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2.6666666666666665</v>
      </c>
      <c r="AI17" s="14">
        <f>IF('Données projet'!$A$62&gt;35,AI16+AH17-AQ16,IF(A17&lt;'Données projet'!$A$62,$AF$205^A17,IF(A17='Données projet'!$A$62,'Données projet'!$B$62,AI16+AH17-AQ16)))</f>
        <v>31.279225563578599</v>
      </c>
      <c r="AJ17" s="14">
        <f>AI17*VLOOKUP('Données projet'!$B$10,Paramètres!$A$1:$I$89,3,0)*VLOOKUP('Données projet'!$B$10,Paramètres!$A$1:$I$89,5,0)</f>
        <v>24.397795939591308</v>
      </c>
      <c r="AK17" s="14">
        <f t="shared" si="35"/>
        <v>7.75202295846145</v>
      </c>
      <c r="AL17" s="22">
        <f t="shared" si="4"/>
        <v>55.994267914108548</v>
      </c>
      <c r="AM17" s="62">
        <f t="shared" si="5"/>
        <v>329.77204569188632</v>
      </c>
      <c r="AN17" s="62">
        <f ca="1">AVERAGE(OFFSET($AM$3,0,0,'Données projet'!$E$10+1,1))-AVERAGE(OFFSET($H$3,0,0,'Données projet'!$E$10+1,1))</f>
        <v>288.82868507674738</v>
      </c>
      <c r="AO17" s="62">
        <f t="shared" si="36"/>
        <v>283.48738729114024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2.84</v>
      </c>
      <c r="N18" s="14">
        <f>IF('Données projet'!$A$36&gt;35,N17+M18-V17,IF(A18&lt;'Données projet'!$A$36,$K$205^A18,IF(A18='Données projet'!$A$36,'Données projet'!$B$36,N17+M18-V17)))</f>
        <v>12.904910866172436</v>
      </c>
      <c r="O18" s="14">
        <f>N18*VLOOKUP('Données projet'!$B$9,Paramètres!$A$1:$I$89,3,0)*VLOOKUP('Données projet'!$B$9,Paramètres!$A$1:$I$89,5,0)</f>
        <v>11.676363351712819</v>
      </c>
      <c r="P18" s="14">
        <f t="shared" si="33"/>
        <v>4.0422676057380276</v>
      </c>
      <c r="Q18" s="22">
        <f t="shared" si="2"/>
        <v>27.376615584226887</v>
      </c>
      <c r="R18" s="62">
        <f t="shared" si="0"/>
        <v>302.3766155842269</v>
      </c>
      <c r="S18" s="62">
        <f ca="1">AVERAGE(OFFSET($R$3,0,0,'Données projet'!$E$9+1,1))-AVERAGE(OFFSET($H$3,0,0,'Données projet'!$E$9+1,1))</f>
        <v>371.95849973474657</v>
      </c>
      <c r="T18" s="62">
        <f t="shared" si="34"/>
        <v>233.32640143610547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40</v>
      </c>
      <c r="AG18" s="13">
        <f>VLOOKUP(A18,'Données projet'!$A$61:$I$81,9,0)</f>
        <v>2.6666666666666665</v>
      </c>
      <c r="AH18" s="13">
        <f t="array" ref="AH18">INDEX(AG:AG,MIN(IF(ISNUMBER(AG18:AG214),ROW(AG18:AG214),"")))</f>
        <v>2.6666666666666665</v>
      </c>
      <c r="AI18" s="14">
        <f>IF('Données projet'!$A$62&gt;35,AI17+AH18-AQ17,IF(A18&lt;'Données projet'!$A$62,$AF$205^A18,IF(A18='Données projet'!$A$62,'Données projet'!$B$62,AI17+AH18-AQ17)))</f>
        <v>40</v>
      </c>
      <c r="AJ18" s="14">
        <f>AI18*VLOOKUP('Données projet'!$B$10,Paramètres!$A$1:$I$89,3,0)*VLOOKUP('Données projet'!$B$10,Paramètres!$A$1:$I$89,5,0)</f>
        <v>31.200000000000003</v>
      </c>
      <c r="AK18" s="14">
        <f t="shared" si="35"/>
        <v>9.6335657126419925</v>
      </c>
      <c r="AL18" s="22">
        <f t="shared" si="4"/>
        <v>71.118460282851473</v>
      </c>
      <c r="AM18" s="62">
        <f t="shared" si="5"/>
        <v>346.11846028285146</v>
      </c>
      <c r="AN18" s="62">
        <f ca="1">AVERAGE(OFFSET($AM$3,0,0,'Données projet'!$E$10+1,1))-AVERAGE(OFFSET($H$3,0,0,'Données projet'!$E$10+1,1))</f>
        <v>288.82868507674738</v>
      </c>
      <c r="AO18" s="62">
        <f t="shared" si="36"/>
        <v>283.48738729114024</v>
      </c>
      <c r="AP18" s="16">
        <f>IF(ISNA(VLOOKUP(A18,'Données projet'!$A$61:$I$81,3,0)),0,VLOOKUP(A18,'Données projet'!$A$61:$I$81,3,0))</f>
        <v>1</v>
      </c>
      <c r="AQ18" s="16">
        <f>IF(ISNA(VLOOKUP(A18,'Données projet'!$A$61:$I$81,4,0)),0,VLOOKUP(A18,'Données projet'!$A$61:$I$81,4,0))</f>
        <v>3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2.84</v>
      </c>
      <c r="N19" s="14">
        <f>IF('Données projet'!$A$36&gt;35,N18+M19-V18,IF(A19&lt;'Données projet'!$A$36,$K$205^A19,IF(A19='Données projet'!$A$36,'Données projet'!$B$36,N18+M19-V18)))</f>
        <v>15.304013607840634</v>
      </c>
      <c r="O19" s="14">
        <f>N19*VLOOKUP('Données projet'!$B$9,Paramètres!$A$1:$I$89,3,0)*VLOOKUP('Données projet'!$B$9,Paramètres!$A$1:$I$89,5,0)</f>
        <v>13.847071512374203</v>
      </c>
      <c r="P19" s="14">
        <f t="shared" si="33"/>
        <v>4.6995463399043667</v>
      </c>
      <c r="Q19" s="22">
        <f t="shared" si="2"/>
        <v>32.302026092718499</v>
      </c>
      <c r="R19" s="62">
        <f t="shared" si="0"/>
        <v>308.52424831494073</v>
      </c>
      <c r="S19" s="62">
        <f ca="1">AVERAGE(OFFSET($R$3,0,0,'Données projet'!$E$9+1,1))-AVERAGE(OFFSET($H$3,0,0,'Données projet'!$E$9+1,1))</f>
        <v>371.95849973474657</v>
      </c>
      <c r="T19" s="62">
        <f t="shared" si="34"/>
        <v>233.32640143610547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9.6</v>
      </c>
      <c r="AI19" s="14">
        <f>IF('Données projet'!$A$62&gt;35,AI18+AH19-AQ18,IF(A19&lt;'Données projet'!$A$62,$AF$205^A19,IF(A19='Données projet'!$A$62,'Données projet'!$B$62,AI18+AH19-AQ18)))</f>
        <v>46.6</v>
      </c>
      <c r="AJ19" s="14">
        <f>AI19*VLOOKUP('Données projet'!$B$10,Paramètres!$A$1:$I$89,3,0)*VLOOKUP('Données projet'!$B$10,Paramètres!$A$1:$I$89,5,0)</f>
        <v>36.347999999999999</v>
      </c>
      <c r="AK19" s="14">
        <f t="shared" si="35"/>
        <v>11.025356771848859</v>
      </c>
      <c r="AL19" s="22">
        <f t="shared" si="4"/>
        <v>82.508596377636763</v>
      </c>
      <c r="AM19" s="62">
        <f t="shared" si="5"/>
        <v>358.73081859985899</v>
      </c>
      <c r="AN19" s="62">
        <f ca="1">AVERAGE(OFFSET($AM$3,0,0,'Données projet'!$E$10+1,1))-AVERAGE(OFFSET($H$3,0,0,'Données projet'!$E$10+1,1))</f>
        <v>288.82868507674738</v>
      </c>
      <c r="AO19" s="62">
        <f t="shared" si="36"/>
        <v>283.48738729114024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2.84</v>
      </c>
      <c r="N20" s="14">
        <f>IF('Données projet'!$A$36&gt;35,N19+M20-V19,IF(A20&lt;'Données projet'!$A$36,$K$205^A20,IF(A20='Données projet'!$A$36,'Données projet'!$B$36,N19+M20-V19)))</f>
        <v>18.149124386663679</v>
      </c>
      <c r="O20" s="14">
        <f>N20*VLOOKUP('Données projet'!$B$9,Paramètres!$A$1:$I$89,3,0)*VLOOKUP('Données projet'!$B$9,Paramètres!$A$1:$I$89,5,0)</f>
        <v>16.421327745053297</v>
      </c>
      <c r="P20" s="14">
        <f t="shared" si="33"/>
        <v>5.4636995753466904</v>
      </c>
      <c r="Q20" s="22">
        <f t="shared" si="2"/>
        <v>38.11642258302998</v>
      </c>
      <c r="R20" s="62">
        <f t="shared" si="0"/>
        <v>315.56086702747444</v>
      </c>
      <c r="S20" s="62">
        <f ca="1">AVERAGE(OFFSET($R$3,0,0,'Données projet'!$E$9+1,1))-AVERAGE(OFFSET($H$3,0,0,'Données projet'!$E$9+1,1))</f>
        <v>371.95849973474657</v>
      </c>
      <c r="T20" s="62">
        <f t="shared" si="34"/>
        <v>233.32640143610547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9.6</v>
      </c>
      <c r="AI20" s="14">
        <f>IF('Données projet'!$A$62&gt;35,AI19+AH20-AQ19,IF(A20&lt;'Données projet'!$A$62,$AF$205^A20,IF(A20='Données projet'!$A$62,'Données projet'!$B$62,AI19+AH20-AQ19)))</f>
        <v>56.2</v>
      </c>
      <c r="AJ20" s="14">
        <f>AI20*VLOOKUP('Données projet'!$B$10,Paramètres!$A$1:$I$89,3,0)*VLOOKUP('Données projet'!$B$10,Paramètres!$A$1:$I$89,5,0)</f>
        <v>43.836000000000006</v>
      </c>
      <c r="AK20" s="14">
        <f t="shared" si="35"/>
        <v>13.009897179721728</v>
      </c>
      <c r="AL20" s="22">
        <f t="shared" si="4"/>
        <v>99.006604254682017</v>
      </c>
      <c r="AM20" s="62">
        <f t="shared" si="5"/>
        <v>376.45104869912649</v>
      </c>
      <c r="AN20" s="62">
        <f ca="1">AVERAGE(OFFSET($AM$3,0,0,'Données projet'!$E$10+1,1))-AVERAGE(OFFSET($H$3,0,0,'Données projet'!$E$10+1,1))</f>
        <v>288.82868507674738</v>
      </c>
      <c r="AO20" s="62">
        <f t="shared" si="36"/>
        <v>283.48738729114024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2.84</v>
      </c>
      <c r="N21" s="14">
        <f>IF('Données projet'!$A$36&gt;35,N20+M21-V20,IF(A21&lt;'Données projet'!$A$36,$K$205^A21,IF(A21='Données projet'!$A$36,'Données projet'!$B$36,N20+M21-V20)))</f>
        <v>21.523158855127722</v>
      </c>
      <c r="O21" s="14">
        <f>N21*VLOOKUP('Données projet'!$B$9,Paramètres!$A$1:$I$89,3,0)*VLOOKUP('Données projet'!$B$9,Paramètres!$A$1:$I$89,5,0)</f>
        <v>19.474154132119562</v>
      </c>
      <c r="P21" s="14">
        <f t="shared" si="33"/>
        <v>6.3521052651756742</v>
      </c>
      <c r="Q21" s="22">
        <f t="shared" si="2"/>
        <v>44.980735116955863</v>
      </c>
      <c r="R21" s="62">
        <f t="shared" si="0"/>
        <v>323.64740178362257</v>
      </c>
      <c r="S21" s="62">
        <f ca="1">AVERAGE(OFFSET($R$3,0,0,'Données projet'!$E$9+1,1))-AVERAGE(OFFSET($H$3,0,0,'Données projet'!$E$9+1,1))</f>
        <v>371.95849973474657</v>
      </c>
      <c r="T21" s="62">
        <f t="shared" si="34"/>
        <v>233.32640143610547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9.6</v>
      </c>
      <c r="AI21" s="14">
        <f>IF('Données projet'!$A$62&gt;35,AI20+AH21-AQ20,IF(A21&lt;'Données projet'!$A$62,$AF$205^A21,IF(A21='Données projet'!$A$62,'Données projet'!$B$62,AI20+AH21-AQ20)))</f>
        <v>65.8</v>
      </c>
      <c r="AJ21" s="14">
        <f>AI21*VLOOKUP('Données projet'!$B$10,Paramètres!$A$1:$I$89,3,0)*VLOOKUP('Données projet'!$B$10,Paramètres!$A$1:$I$89,5,0)</f>
        <v>51.323999999999998</v>
      </c>
      <c r="AK21" s="14">
        <f t="shared" si="35"/>
        <v>14.95516659950003</v>
      </c>
      <c r="AL21" s="22">
        <f t="shared" si="4"/>
        <v>115.43621516079588</v>
      </c>
      <c r="AM21" s="62">
        <f t="shared" si="5"/>
        <v>394.10288182746257</v>
      </c>
      <c r="AN21" s="62">
        <f ca="1">AVERAGE(OFFSET($AM$3,0,0,'Données projet'!$E$10+1,1))-AVERAGE(OFFSET($H$3,0,0,'Données projet'!$E$10+1,1))</f>
        <v>288.82868507674738</v>
      </c>
      <c r="AO21" s="62">
        <f t="shared" si="36"/>
        <v>283.48738729114024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2.84</v>
      </c>
      <c r="N22" s="14">
        <f>IF('Données projet'!$A$36&gt;35,N21+M22-V21,IF(A22&lt;'Données projet'!$A$36,$K$205^A22,IF(A22='Données projet'!$A$36,'Données projet'!$B$36,N21+M22-V21)))</f>
        <v>25.524447198315809</v>
      </c>
      <c r="O22" s="14">
        <f>N22*VLOOKUP('Données projet'!$B$9,Paramètres!$A$1:$I$89,3,0)*VLOOKUP('Données projet'!$B$9,Paramètres!$A$1:$I$89,5,0)</f>
        <v>23.094519825036141</v>
      </c>
      <c r="P22" s="14">
        <f t="shared" si="33"/>
        <v>7.3849670435644734</v>
      </c>
      <c r="Q22" s="22">
        <f t="shared" si="2"/>
        <v>53.085106296146058</v>
      </c>
      <c r="R22" s="62">
        <f t="shared" si="0"/>
        <v>332.97399518503494</v>
      </c>
      <c r="S22" s="62">
        <f ca="1">AVERAGE(OFFSET($R$3,0,0,'Données projet'!$E$9+1,1))-AVERAGE(OFFSET($H$3,0,0,'Données projet'!$E$9+1,1))</f>
        <v>371.95849973474657</v>
      </c>
      <c r="T22" s="62">
        <f t="shared" si="34"/>
        <v>233.32640143610547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9.6</v>
      </c>
      <c r="AI22" s="14">
        <f>IF('Données projet'!$A$62&gt;35,AI21+AH22-AQ21,IF(A22&lt;'Données projet'!$A$62,$AF$205^A22,IF(A22='Données projet'!$A$62,'Données projet'!$B$62,AI21+AH22-AQ21)))</f>
        <v>75.399999999999991</v>
      </c>
      <c r="AJ22" s="14">
        <f>AI22*VLOOKUP('Données projet'!$B$10,Paramètres!$A$1:$I$89,3,0)*VLOOKUP('Données projet'!$B$10,Paramètres!$A$1:$I$89,5,0)</f>
        <v>58.811999999999998</v>
      </c>
      <c r="AK22" s="14">
        <f t="shared" si="35"/>
        <v>16.86755663452599</v>
      </c>
      <c r="AL22" s="22">
        <f t="shared" si="4"/>
        <v>131.8085611384661</v>
      </c>
      <c r="AM22" s="62">
        <f t="shared" si="5"/>
        <v>411.69745002735499</v>
      </c>
      <c r="AN22" s="62">
        <f ca="1">AVERAGE(OFFSET($AM$3,0,0,'Données projet'!$E$10+1,1))-AVERAGE(OFFSET($H$3,0,0,'Données projet'!$E$10+1,1))</f>
        <v>288.82868507674738</v>
      </c>
      <c r="AO22" s="62">
        <f t="shared" si="36"/>
        <v>283.48738729114024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2.84</v>
      </c>
      <c r="N23" s="14">
        <f>IF('Données projet'!$A$36&gt;35,N22+M23-V22,IF(A23&lt;'Données projet'!$A$36,$K$205^A23,IF(A23='Données projet'!$A$36,'Données projet'!$B$36,N22+M23-V22)))</f>
        <v>30.269599790850293</v>
      </c>
      <c r="O23" s="14">
        <f>N23*VLOOKUP('Données projet'!$B$9,Paramètres!$A$1:$I$89,3,0)*VLOOKUP('Données projet'!$B$9,Paramètres!$A$1:$I$89,5,0)</f>
        <v>27.387933890761346</v>
      </c>
      <c r="P23" s="14">
        <f t="shared" si="33"/>
        <v>8.5857736856986921</v>
      </c>
      <c r="Q23" s="22">
        <f t="shared" si="2"/>
        <v>62.654207362334567</v>
      </c>
      <c r="R23" s="62">
        <f t="shared" si="0"/>
        <v>343.76531847344569</v>
      </c>
      <c r="S23" s="62">
        <f ca="1">AVERAGE(OFFSET($R$3,0,0,'Données projet'!$E$9+1,1))-AVERAGE(OFFSET($H$3,0,0,'Données projet'!$E$9+1,1))</f>
        <v>371.95849973474657</v>
      </c>
      <c r="T23" s="62">
        <f t="shared" si="34"/>
        <v>233.32640143610547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85</v>
      </c>
      <c r="AG23" s="13">
        <f>VLOOKUP(A23,'Données projet'!$A$61:$I$81,9,0)</f>
        <v>9.6</v>
      </c>
      <c r="AH23" s="13">
        <f t="array" ref="AH23">INDEX(AG:AG,MIN(IF(ISNUMBER(AG23:AG219),ROW(AG23:AG219),"")))</f>
        <v>9.6</v>
      </c>
      <c r="AI23" s="14">
        <f>IF('Données projet'!$A$62&gt;35,AI22+AH23-AQ22,IF(A23&lt;'Données projet'!$A$62,$AF$205^A23,IF(A23='Données projet'!$A$62,'Données projet'!$B$62,AI22+AH23-AQ22)))</f>
        <v>84.999999999999986</v>
      </c>
      <c r="AJ23" s="14">
        <f>AI23*VLOOKUP('Données projet'!$B$10,Paramètres!$A$1:$I$89,3,0)*VLOOKUP('Données projet'!$B$10,Paramètres!$A$1:$I$89,5,0)</f>
        <v>66.3</v>
      </c>
      <c r="AK23" s="14">
        <f t="shared" si="35"/>
        <v>18.751733344032118</v>
      </c>
      <c r="AL23" s="22">
        <f t="shared" si="4"/>
        <v>148.13176890752257</v>
      </c>
      <c r="AM23" s="62">
        <f t="shared" si="5"/>
        <v>429.24288001863374</v>
      </c>
      <c r="AN23" s="62">
        <f ca="1">AVERAGE(OFFSET($AM$3,0,0,'Données projet'!$E$10+1,1))-AVERAGE(OFFSET($H$3,0,0,'Données projet'!$E$10+1,1))</f>
        <v>288.82868507674738</v>
      </c>
      <c r="AO23" s="62">
        <f t="shared" si="36"/>
        <v>283.48738729114024</v>
      </c>
      <c r="AP23" s="16">
        <f>IF(ISNA(VLOOKUP(A23,'Données projet'!$A$61:$I$81,3,0)),0,VLOOKUP(A23,'Données projet'!$A$61:$I$81,3,0))</f>
        <v>2</v>
      </c>
      <c r="AQ23" s="16">
        <f>IF(ISNA(VLOOKUP(A23,'Données projet'!$A$61:$I$81,4,0)),0,VLOOKUP(A23,'Données projet'!$A$61:$I$81,4,0))</f>
        <v>25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2.84</v>
      </c>
      <c r="N24" s="14">
        <f>IF('Données projet'!$A$36&gt;35,N23+M24-V23,IF(A24&lt;'Données projet'!$A$36,$K$205^A24,IF(A24='Données projet'!$A$36,'Données projet'!$B$36,N23+M24-V23)))</f>
        <v>35.896905597183761</v>
      </c>
      <c r="O24" s="14">
        <f>N24*VLOOKUP('Données projet'!$B$9,Paramètres!$A$1:$I$89,3,0)*VLOOKUP('Données projet'!$B$9,Paramètres!$A$1:$I$89,5,0)</f>
        <v>32.479520184331868</v>
      </c>
      <c r="P24" s="14">
        <f t="shared" si="33"/>
        <v>9.9818332765986337</v>
      </c>
      <c r="Q24" s="22">
        <f t="shared" si="2"/>
        <v>73.953523944453949</v>
      </c>
      <c r="R24" s="62">
        <f t="shared" si="0"/>
        <v>356.28685727778725</v>
      </c>
      <c r="S24" s="62">
        <f ca="1">AVERAGE(OFFSET($R$3,0,0,'Données projet'!$E$9+1,1))-AVERAGE(OFFSET($H$3,0,0,'Données projet'!$E$9+1,1))</f>
        <v>371.95849973474657</v>
      </c>
      <c r="T24" s="62">
        <f t="shared" si="34"/>
        <v>233.32640143610547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10.6</v>
      </c>
      <c r="AI24" s="14">
        <f>IF('Données projet'!$A$62&gt;35,AI23+AH24-AQ23,IF(A24&lt;'Données projet'!$A$62,$AF$205^A24,IF(A24='Données projet'!$A$62,'Données projet'!$B$62,AI23+AH24-AQ23)))</f>
        <v>70.59999999999998</v>
      </c>
      <c r="AJ24" s="14">
        <f>AI24*VLOOKUP('Données projet'!$B$10,Paramètres!$A$1:$I$89,3,0)*VLOOKUP('Données projet'!$B$10,Paramètres!$A$1:$I$89,5,0)</f>
        <v>55.067999999999984</v>
      </c>
      <c r="AK24" s="14">
        <f t="shared" si="35"/>
        <v>15.915148294580479</v>
      </c>
      <c r="AL24" s="22">
        <f t="shared" si="4"/>
        <v>123.62898327972762</v>
      </c>
      <c r="AM24" s="62">
        <f t="shared" si="5"/>
        <v>405.96231661306092</v>
      </c>
      <c r="AN24" s="62">
        <f ca="1">AVERAGE(OFFSET($AM$3,0,0,'Données projet'!$E$10+1,1))-AVERAGE(OFFSET($H$3,0,0,'Données projet'!$E$10+1,1))</f>
        <v>288.82868507674738</v>
      </c>
      <c r="AO24" s="62">
        <f t="shared" si="36"/>
        <v>283.48738729114024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2.84</v>
      </c>
      <c r="N25" s="14">
        <f>IF('Données projet'!$A$36&gt;35,N24+M25-V24,IF(A25&lt;'Données projet'!$A$36,$K$205^A25,IF(A25='Données projet'!$A$36,'Données projet'!$B$36,N24+M25-V24)))</f>
        <v>42.570362355521766</v>
      </c>
      <c r="O25" s="14">
        <f>N25*VLOOKUP('Données projet'!$B$9,Paramètres!$A$1:$I$89,3,0)*VLOOKUP('Données projet'!$B$9,Paramètres!$A$1:$I$89,5,0)</f>
        <v>38.517663859276098</v>
      </c>
      <c r="P25" s="14">
        <f t="shared" si="33"/>
        <v>11.604894236587789</v>
      </c>
      <c r="Q25" s="22">
        <f t="shared" si="2"/>
        <v>87.2967886836296</v>
      </c>
      <c r="R25" s="62">
        <f t="shared" si="0"/>
        <v>370.85234423918513</v>
      </c>
      <c r="S25" s="62">
        <f ca="1">AVERAGE(OFFSET($R$3,0,0,'Données projet'!$E$9+1,1))-AVERAGE(OFFSET($H$3,0,0,'Données projet'!$E$9+1,1))</f>
        <v>371.95849973474657</v>
      </c>
      <c r="T25" s="62">
        <f t="shared" si="34"/>
        <v>233.32640143610547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10.6</v>
      </c>
      <c r="AI25" s="14">
        <f>IF('Données projet'!$A$62&gt;35,AI24+AH25-AQ24,IF(A25&lt;'Données projet'!$A$62,$AF$205^A25,IF(A25='Données projet'!$A$62,'Données projet'!$B$62,AI24+AH25-AQ24)))</f>
        <v>81.199999999999974</v>
      </c>
      <c r="AJ25" s="14">
        <f>AI25*VLOOKUP('Données projet'!$B$10,Paramètres!$A$1:$I$89,3,0)*VLOOKUP('Données projet'!$B$10,Paramètres!$A$1:$I$89,5,0)</f>
        <v>63.335999999999984</v>
      </c>
      <c r="AK25" s="14">
        <f t="shared" si="35"/>
        <v>18.009040022946227</v>
      </c>
      <c r="AL25" s="22">
        <f t="shared" si="4"/>
        <v>141.67594470663133</v>
      </c>
      <c r="AM25" s="62">
        <f t="shared" si="5"/>
        <v>425.23150026218684</v>
      </c>
      <c r="AN25" s="62">
        <f ca="1">AVERAGE(OFFSET($AM$3,0,0,'Données projet'!$E$10+1,1))-AVERAGE(OFFSET($H$3,0,0,'Données projet'!$E$10+1,1))</f>
        <v>288.82868507674738</v>
      </c>
      <c r="AO25" s="62">
        <f t="shared" si="36"/>
        <v>283.48738729114024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2.84</v>
      </c>
      <c r="N26" s="14">
        <f>IF('Données projet'!$A$36&gt;35,N25+M26-V25,IF(A26&lt;'Données projet'!$A$36,$K$205^A26,IF(A26='Données projet'!$A$36,'Données projet'!$B$36,N25+M26-V25)))</f>
        <v>50.484455997861858</v>
      </c>
      <c r="O26" s="14">
        <f>N26*VLOOKUP('Données projet'!$B$9,Paramètres!$A$1:$I$89,3,0)*VLOOKUP('Données projet'!$B$9,Paramètres!$A$1:$I$89,5,0)</f>
        <v>45.678335786865411</v>
      </c>
      <c r="P26" s="14">
        <f t="shared" si="33"/>
        <v>13.491867326427556</v>
      </c>
      <c r="Q26" s="22">
        <f t="shared" si="2"/>
        <v>103.0547704223186</v>
      </c>
      <c r="R26" s="62">
        <f t="shared" si="0"/>
        <v>387.83254820009637</v>
      </c>
      <c r="S26" s="62">
        <f ca="1">AVERAGE(OFFSET($R$3,0,0,'Données projet'!$E$9+1,1))-AVERAGE(OFFSET($H$3,0,0,'Données projet'!$E$9+1,1))</f>
        <v>371.95849973474657</v>
      </c>
      <c r="T26" s="62">
        <f t="shared" si="34"/>
        <v>233.32640143610547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10.6</v>
      </c>
      <c r="AI26" s="14">
        <f>IF('Données projet'!$A$62&gt;35,AI25+AH26-AQ25,IF(A26&lt;'Données projet'!$A$62,$AF$205^A26,IF(A26='Données projet'!$A$62,'Données projet'!$B$62,AI25+AH26-AQ25)))</f>
        <v>91.799999999999969</v>
      </c>
      <c r="AJ26" s="14">
        <f>AI26*VLOOKUP('Données projet'!$B$10,Paramètres!$A$1:$I$89,3,0)*VLOOKUP('Données projet'!$B$10,Paramètres!$A$1:$I$89,5,0)</f>
        <v>71.603999999999985</v>
      </c>
      <c r="AK26" s="14">
        <f t="shared" si="35"/>
        <v>20.071260561992585</v>
      </c>
      <c r="AL26" s="22">
        <f t="shared" si="4"/>
        <v>159.66774547880371</v>
      </c>
      <c r="AM26" s="62">
        <f t="shared" si="5"/>
        <v>444.44552325658151</v>
      </c>
      <c r="AN26" s="62">
        <f ca="1">AVERAGE(OFFSET($AM$3,0,0,'Données projet'!$E$10+1,1))-AVERAGE(OFFSET($H$3,0,0,'Données projet'!$E$10+1,1))</f>
        <v>288.82868507674738</v>
      </c>
      <c r="AO26" s="62">
        <f t="shared" si="36"/>
        <v>283.48738729114024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2.84</v>
      </c>
      <c r="N27" s="14">
        <f>IF('Données projet'!$A$36&gt;35,N26+M27-V26,IF(A27&lt;'Données projet'!$A$36,$K$205^A27,IF(A27='Données projet'!$A$36,'Données projet'!$B$36,N26+M27-V26)))</f>
        <v>59.869828593776646</v>
      </c>
      <c r="O27" s="14">
        <f>N27*VLOOKUP('Données projet'!$B$9,Paramètres!$A$1:$I$89,3,0)*VLOOKUP('Données projet'!$B$9,Paramètres!$A$1:$I$89,5,0)</f>
        <v>54.17022091164911</v>
      </c>
      <c r="P27" s="14">
        <f t="shared" si="33"/>
        <v>15.685665051562438</v>
      </c>
      <c r="Q27" s="22">
        <f t="shared" si="2"/>
        <v>121.66566805259345</v>
      </c>
      <c r="R27" s="62">
        <f t="shared" si="0"/>
        <v>407.66566805259345</v>
      </c>
      <c r="S27" s="62">
        <f ca="1">AVERAGE(OFFSET($R$3,0,0,'Données projet'!$E$9+1,1))-AVERAGE(OFFSET($H$3,0,0,'Données projet'!$E$9+1,1))</f>
        <v>371.95849973474657</v>
      </c>
      <c r="T27" s="62">
        <f t="shared" si="34"/>
        <v>233.32640143610547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10.6</v>
      </c>
      <c r="AI27" s="14">
        <f>IF('Données projet'!$A$62&gt;35,AI26+AH27-AQ26,IF(A27&lt;'Données projet'!$A$62,$AF$205^A27,IF(A27='Données projet'!$A$62,'Données projet'!$B$62,AI26+AH27-AQ26)))</f>
        <v>102.39999999999996</v>
      </c>
      <c r="AJ27" s="14">
        <f>AI27*VLOOKUP('Données projet'!$B$10,Paramètres!$A$1:$I$89,3,0)*VLOOKUP('Données projet'!$B$10,Paramètres!$A$1:$I$89,5,0)</f>
        <v>79.871999999999971</v>
      </c>
      <c r="AK27" s="14">
        <f t="shared" si="35"/>
        <v>22.105884547145401</v>
      </c>
      <c r="AL27" s="22">
        <f t="shared" si="4"/>
        <v>177.61148225294485</v>
      </c>
      <c r="AM27" s="62">
        <f t="shared" si="5"/>
        <v>463.61148225294482</v>
      </c>
      <c r="AN27" s="62">
        <f ca="1">AVERAGE(OFFSET($AM$3,0,0,'Données projet'!$E$10+1,1))-AVERAGE(OFFSET($H$3,0,0,'Données projet'!$E$10+1,1))</f>
        <v>288.82868507674738</v>
      </c>
      <c r="AO27" s="62">
        <f t="shared" si="36"/>
        <v>283.48738729114024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71</v>
      </c>
      <c r="L28" s="13">
        <f>VLOOKUP(A28,'Données projet'!$A$35:$I$55,9,0)</f>
        <v>2.84</v>
      </c>
      <c r="M28" s="13">
        <f t="array" ref="M28">INDEX(L:L,MIN(IF(ISNUMBER(L28:L224),ROW(L28:L224),"")))</f>
        <v>2.84</v>
      </c>
      <c r="N28" s="14">
        <f>IF('Données projet'!$A$36&gt;35,N27+M28-V27,IF(A28&lt;'Données projet'!$A$36,$K$205^A28,IF(A28='Données projet'!$A$36,'Données projet'!$B$36,N27+M28-V27)))</f>
        <v>71</v>
      </c>
      <c r="O28" s="14">
        <f>N28*VLOOKUP('Données projet'!$B$9,Paramètres!$A$1:$I$89,3,0)*VLOOKUP('Données projet'!$B$9,Paramètres!$A$1:$I$89,5,0)</f>
        <v>64.240800000000007</v>
      </c>
      <c r="P28" s="14">
        <f t="shared" si="33"/>
        <v>18.236177554745847</v>
      </c>
      <c r="Q28" s="22">
        <f t="shared" si="2"/>
        <v>143.6474025745157</v>
      </c>
      <c r="R28" s="62">
        <f t="shared" si="0"/>
        <v>430.86962479673792</v>
      </c>
      <c r="S28" s="62">
        <f ca="1">AVERAGE(OFFSET($R$3,0,0,'Données projet'!$E$9+1,1))-AVERAGE(OFFSET($H$3,0,0,'Données projet'!$E$9+1,1))</f>
        <v>371.95849973474657</v>
      </c>
      <c r="T28" s="62">
        <f t="shared" si="34"/>
        <v>233.32640143610547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113</v>
      </c>
      <c r="AG28" s="13">
        <f>VLOOKUP(A28,'Données projet'!$A$61:$I$81,9,0)</f>
        <v>10.6</v>
      </c>
      <c r="AH28" s="13">
        <f t="array" ref="AH28">INDEX(AG:AG,MIN(IF(ISNUMBER(AG28:AG224),ROW(AG28:AG224),"")))</f>
        <v>10.6</v>
      </c>
      <c r="AI28" s="14">
        <f>IF('Données projet'!$A$62&gt;35,AI27+AH28-AQ27,IF(A28&lt;'Données projet'!$A$62,$AF$205^A28,IF(A28='Données projet'!$A$62,'Données projet'!$B$62,AI27+AH28-AQ27)))</f>
        <v>112.99999999999996</v>
      </c>
      <c r="AJ28" s="14">
        <f>AI28*VLOOKUP('Données projet'!$B$10,Paramètres!$A$1:$I$89,3,0)*VLOOKUP('Données projet'!$B$10,Paramètres!$A$1:$I$89,5,0)</f>
        <v>88.139999999999972</v>
      </c>
      <c r="AK28" s="14">
        <f t="shared" si="35"/>
        <v>24.116094026318823</v>
      </c>
      <c r="AL28" s="22">
        <f t="shared" si="4"/>
        <v>195.51269709583855</v>
      </c>
      <c r="AM28" s="62">
        <f t="shared" si="5"/>
        <v>482.73491931806075</v>
      </c>
      <c r="AN28" s="62">
        <f ca="1">AVERAGE(OFFSET($AM$3,0,0,'Données projet'!$E$10+1,1))-AVERAGE(OFFSET($H$3,0,0,'Données projet'!$E$10+1,1))</f>
        <v>288.82868507674738</v>
      </c>
      <c r="AO28" s="62">
        <f t="shared" si="36"/>
        <v>283.48738729114024</v>
      </c>
      <c r="AP28" s="16">
        <f>IF(ISNA(VLOOKUP(A28,'Données projet'!$A$61:$I$81,3,0)),0,VLOOKUP(A28,'Données projet'!$A$61:$I$81,3,0))</f>
        <v>3</v>
      </c>
      <c r="AQ28" s="16">
        <f>IF(ISNA(VLOOKUP(A28,'Données projet'!$A$61:$I$81,4,0)),0,VLOOKUP(A28,'Données projet'!$A$61:$I$81,4,0))</f>
        <v>27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8.6000000000000007E-2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1.9943003723478601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1.9943003723478601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70</v>
      </c>
      <c r="O29" s="14">
        <f>N29*VLOOKUP('Données projet'!$B$9,Paramètres!$A$1:$I$89,3,0)*VLOOKUP('Données projet'!$B$9,Paramètres!$A$1:$I$89,5,0)</f>
        <v>63.335999999999991</v>
      </c>
      <c r="P29" s="14">
        <f t="shared" si="33"/>
        <v>18.009040022946227</v>
      </c>
      <c r="Q29" s="22">
        <f t="shared" si="2"/>
        <v>141.67594470663133</v>
      </c>
      <c r="R29" s="62">
        <f t="shared" si="0"/>
        <v>430.12038915107576</v>
      </c>
      <c r="S29" s="62">
        <f ca="1">AVERAGE(OFFSET($R$3,0,0,'Données projet'!$E$9+1,1))-AVERAGE(OFFSET($H$3,0,0,'Données projet'!$E$9+1,1))</f>
        <v>371.95849973474657</v>
      </c>
      <c r="T29" s="62">
        <f t="shared" si="34"/>
        <v>233.32640143610547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11.5</v>
      </c>
      <c r="AI29" s="14">
        <f>IF('Données projet'!$A$62&gt;35,AI28+AH29-AQ28,IF(A29&lt;'Données projet'!$A$62,$AF$205^A29,IF(A29='Données projet'!$A$62,'Données projet'!$B$62,AI28+AH29-AQ28)))</f>
        <v>97.499999999999957</v>
      </c>
      <c r="AJ29" s="14">
        <f>AI29*VLOOKUP('Données projet'!$B$10,Paramètres!$A$1:$I$89,3,0)*VLOOKUP('Données projet'!$B$10,Paramètres!$A$1:$I$89,5,0)</f>
        <v>76.049999999999969</v>
      </c>
      <c r="AK29" s="14">
        <f t="shared" si="35"/>
        <v>21.168560890749262</v>
      </c>
      <c r="AL29" s="22">
        <f t="shared" si="4"/>
        <v>169.32232688472158</v>
      </c>
      <c r="AM29" s="62">
        <f t="shared" si="5"/>
        <v>457.76677132916603</v>
      </c>
      <c r="AN29" s="62">
        <f ca="1">AVERAGE(OFFSET($AM$3,0,0,'Données projet'!$E$10+1,1))-AVERAGE(OFFSET($H$3,0,0,'Données projet'!$E$10+1,1))</f>
        <v>288.82868507674738</v>
      </c>
      <c r="AO29" s="62">
        <f t="shared" si="36"/>
        <v>283.48738729114024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1.9397661237903092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1.9397661237903092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77</v>
      </c>
      <c r="O30" s="14">
        <f>N30*VLOOKUP('Données projet'!$B$9,Paramètres!$A$1:$I$89,3,0)*VLOOKUP('Données projet'!$B$9,Paramètres!$A$1:$I$89,5,0)</f>
        <v>69.669600000000003</v>
      </c>
      <c r="P30" s="14">
        <f t="shared" si="33"/>
        <v>19.591385027476957</v>
      </c>
      <c r="Q30" s="22">
        <f t="shared" si="2"/>
        <v>155.46288225618903</v>
      </c>
      <c r="R30" s="62">
        <f t="shared" si="0"/>
        <v>445.12954892285575</v>
      </c>
      <c r="S30" s="62">
        <f ca="1">AVERAGE(OFFSET($R$3,0,0,'Données projet'!$E$9+1,1))-AVERAGE(OFFSET($H$3,0,0,'Données projet'!$E$9+1,1))</f>
        <v>371.95849973474657</v>
      </c>
      <c r="T30" s="62">
        <f t="shared" si="34"/>
        <v>233.32640143610547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11.5</v>
      </c>
      <c r="AI30" s="14">
        <f>IF('Données projet'!$A$62&gt;35,AI29+AH30-AQ29,IF(A30&lt;'Données projet'!$A$62,$AF$205^A30,IF(A30='Données projet'!$A$62,'Données projet'!$B$62,AI29+AH30-AQ29)))</f>
        <v>108.99999999999996</v>
      </c>
      <c r="AJ30" s="14">
        <f>AI30*VLOOKUP('Données projet'!$B$10,Paramètres!$A$1:$I$89,3,0)*VLOOKUP('Données projet'!$B$10,Paramètres!$A$1:$I$89,5,0)</f>
        <v>85.019999999999968</v>
      </c>
      <c r="AK30" s="14">
        <f t="shared" si="35"/>
        <v>23.360218970693097</v>
      </c>
      <c r="AL30" s="22">
        <f t="shared" si="4"/>
        <v>188.76221470729038</v>
      </c>
      <c r="AM30" s="62">
        <f t="shared" si="5"/>
        <v>478.4288813739571</v>
      </c>
      <c r="AN30" s="62">
        <f ca="1">AVERAGE(OFFSET($AM$3,0,0,'Données projet'!$E$10+1,1))-AVERAGE(OFFSET($H$3,0,0,'Données projet'!$E$10+1,1))</f>
        <v>288.82868507674738</v>
      </c>
      <c r="AO30" s="62">
        <f t="shared" si="36"/>
        <v>283.48738729114024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1.8867231171273962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1.8867231171273962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84</v>
      </c>
      <c r="O31" s="14">
        <f>N31*VLOOKUP('Données projet'!$B$9,Paramètres!$A$1:$I$89,3,0)*VLOOKUP('Données projet'!$B$9,Paramètres!$A$1:$I$89,5,0)</f>
        <v>76.003200000000007</v>
      </c>
      <c r="P31" s="14">
        <f t="shared" si="33"/>
        <v>21.157049992000456</v>
      </c>
      <c r="Q31" s="22">
        <f t="shared" si="2"/>
        <v>169.22076873606747</v>
      </c>
      <c r="R31" s="62">
        <f t="shared" si="0"/>
        <v>460.1096576249563</v>
      </c>
      <c r="S31" s="62">
        <f ca="1">AVERAGE(OFFSET($R$3,0,0,'Données projet'!$E$9+1,1))-AVERAGE(OFFSET($H$3,0,0,'Données projet'!$E$9+1,1))</f>
        <v>371.95849973474657</v>
      </c>
      <c r="T31" s="62">
        <f t="shared" si="34"/>
        <v>233.32640143610547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11.5</v>
      </c>
      <c r="AI31" s="14">
        <f>IF('Données projet'!$A$62&gt;35,AI30+AH31-AQ30,IF(A31&lt;'Données projet'!$A$62,$AF$205^A31,IF(A31='Données projet'!$A$62,'Données projet'!$B$62,AI30+AH31-AQ30)))</f>
        <v>120.49999999999996</v>
      </c>
      <c r="AJ31" s="14">
        <f>AI31*VLOOKUP('Données projet'!$B$10,Paramètres!$A$1:$I$89,3,0)*VLOOKUP('Données projet'!$B$10,Paramètres!$A$1:$I$89,5,0)</f>
        <v>93.989999999999966</v>
      </c>
      <c r="AK31" s="14">
        <f t="shared" si="35"/>
        <v>25.525074036970054</v>
      </c>
      <c r="AL31" s="22">
        <f t="shared" si="4"/>
        <v>208.15542061438944</v>
      </c>
      <c r="AM31" s="62">
        <f t="shared" si="5"/>
        <v>499.04430950327833</v>
      </c>
      <c r="AN31" s="62">
        <f ca="1">AVERAGE(OFFSET($AM$3,0,0,'Données projet'!$E$10+1,1))-AVERAGE(OFFSET($H$3,0,0,'Données projet'!$E$10+1,1))</f>
        <v>288.82868507674738</v>
      </c>
      <c r="AO31" s="62">
        <f t="shared" si="36"/>
        <v>283.48738729114024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1.8351305742710908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1.8351305742710908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91</v>
      </c>
      <c r="O32" s="14">
        <f>N32*VLOOKUP('Données projet'!$B$9,Paramètres!$A$1:$I$89,3,0)*VLOOKUP('Données projet'!$B$9,Paramètres!$A$1:$I$89,5,0)</f>
        <v>82.336799999999997</v>
      </c>
      <c r="P32" s="14">
        <f t="shared" si="33"/>
        <v>22.707582950885364</v>
      </c>
      <c r="Q32" s="22">
        <f t="shared" si="2"/>
        <v>182.95230030612535</v>
      </c>
      <c r="R32" s="62">
        <f t="shared" si="0"/>
        <v>475.06341141723647</v>
      </c>
      <c r="S32" s="62">
        <f ca="1">AVERAGE(OFFSET($R$3,0,0,'Données projet'!$E$9+1,1))-AVERAGE(OFFSET($H$3,0,0,'Données projet'!$E$9+1,1))</f>
        <v>371.95849973474657</v>
      </c>
      <c r="T32" s="62">
        <f t="shared" si="34"/>
        <v>233.32640143610547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11.5</v>
      </c>
      <c r="AI32" s="14">
        <f>IF('Données projet'!$A$62&gt;35,AI31+AH32-AQ31,IF(A32&lt;'Données projet'!$A$62,$AF$205^A32,IF(A32='Données projet'!$A$62,'Données projet'!$B$62,AI31+AH32-AQ31)))</f>
        <v>131.99999999999994</v>
      </c>
      <c r="AJ32" s="14">
        <f>AI32*VLOOKUP('Données projet'!$B$10,Paramètres!$A$1:$I$89,3,0)*VLOOKUP('Données projet'!$B$10,Paramètres!$A$1:$I$89,5,0)</f>
        <v>102.95999999999997</v>
      </c>
      <c r="AK32" s="14">
        <f t="shared" si="35"/>
        <v>27.665975080374633</v>
      </c>
      <c r="AL32" s="22">
        <f t="shared" si="4"/>
        <v>227.50690659831903</v>
      </c>
      <c r="AM32" s="62">
        <f t="shared" si="5"/>
        <v>519.61801770943021</v>
      </c>
      <c r="AN32" s="62">
        <f ca="1">AVERAGE(OFFSET($AM$3,0,0,'Données projet'!$E$10+1,1))-AVERAGE(OFFSET($H$3,0,0,'Données projet'!$E$10+1,1))</f>
        <v>288.82868507674738</v>
      </c>
      <c r="AO32" s="62">
        <f t="shared" si="36"/>
        <v>283.48738729114024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1.7849488322123253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1.7849488322123253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98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98</v>
      </c>
      <c r="O33" s="14">
        <f>N33*VLOOKUP('Données projet'!$B$9,Paramètres!$A$1:$I$89,3,0)*VLOOKUP('Données projet'!$B$9,Paramètres!$A$1:$I$89,5,0)</f>
        <v>88.670400000000001</v>
      </c>
      <c r="P33" s="14">
        <f t="shared" si="33"/>
        <v>24.244280250395512</v>
      </c>
      <c r="Q33" s="22">
        <f t="shared" si="2"/>
        <v>196.65973476943884</v>
      </c>
      <c r="R33" s="62">
        <f t="shared" si="0"/>
        <v>489.99306810277216</v>
      </c>
      <c r="S33" s="62">
        <f ca="1">AVERAGE(OFFSET($R$3,0,0,'Données projet'!$E$9+1,1))-AVERAGE(OFFSET($H$3,0,0,'Données projet'!$E$9+1,1))</f>
        <v>371.95849973474657</v>
      </c>
      <c r="T33" s="62">
        <f t="shared" si="34"/>
        <v>233.32640143610547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21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11.5</v>
      </c>
      <c r="AI33" s="14">
        <f>IF('Données projet'!$A$62&gt;35,AI32+AH33-AQ32,IF(A33&lt;'Données projet'!$A$62,$AF$205^A33,IF(A33='Données projet'!$A$62,'Données projet'!$B$62,AI32+AH33-AQ32)))</f>
        <v>143.49999999999994</v>
      </c>
      <c r="AJ33" s="14">
        <f>AI33*VLOOKUP('Données projet'!$B$10,Paramètres!$A$1:$I$89,3,0)*VLOOKUP('Données projet'!$B$10,Paramètres!$A$1:$I$89,5,0)</f>
        <v>111.92999999999996</v>
      </c>
      <c r="AK33" s="14">
        <f t="shared" si="35"/>
        <v>29.785246291563833</v>
      </c>
      <c r="AL33" s="22">
        <f t="shared" si="4"/>
        <v>246.82072062447358</v>
      </c>
      <c r="AM33" s="62">
        <f t="shared" si="5"/>
        <v>540.15405395780692</v>
      </c>
      <c r="AN33" s="62">
        <f ca="1">AVERAGE(OFFSET($AM$3,0,0,'Données projet'!$E$10+1,1))-AVERAGE(OFFSET($H$3,0,0,'Données projet'!$E$10+1,1))</f>
        <v>288.82868507674738</v>
      </c>
      <c r="AO33" s="62">
        <f t="shared" si="36"/>
        <v>283.48738729114024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1.7361393125290996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1.7361393125290996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7.8</v>
      </c>
      <c r="N34" s="14">
        <f>IF('Données projet'!$A$36&gt;35,N33+M34-V33,IF(A34&lt;'Données projet'!$A$36,$K$205^A34,IF(A34='Données projet'!$A$36,'Données projet'!$B$36,N33+M34-V33)))</f>
        <v>84.8</v>
      </c>
      <c r="O34" s="14">
        <f>N34*VLOOKUP('Données projet'!$B$9,Paramètres!$A$1:$I$89,3,0)*VLOOKUP('Données projet'!$B$9,Paramètres!$A$1:$I$89,5,0)</f>
        <v>76.727040000000002</v>
      </c>
      <c r="P34" s="14">
        <f t="shared" si="33"/>
        <v>21.334993267156708</v>
      </c>
      <c r="Q34" s="22">
        <f t="shared" si="2"/>
        <v>170.79137460696458</v>
      </c>
      <c r="R34" s="62">
        <f t="shared" si="0"/>
        <v>464.12470794029787</v>
      </c>
      <c r="S34" s="62">
        <f ca="1">AVERAGE(OFFSET($R$3,0,0,'Données projet'!$E$9+1,1))-AVERAGE(OFFSET($H$3,0,0,'Données projet'!$E$9+1,1))</f>
        <v>371.95849973474657</v>
      </c>
      <c r="T34" s="62">
        <f t="shared" si="34"/>
        <v>233.32640143610547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>
        <f>VLOOKUP(A34,'Données projet'!$A$61:$I$81,2,0)</f>
        <v>155</v>
      </c>
      <c r="AG34" s="13">
        <f>VLOOKUP(A34,'Données projet'!$A$61:$I$81,9,0)</f>
        <v>11.5</v>
      </c>
      <c r="AH34" s="13">
        <f t="array" ref="AH34">INDEX(AG:AG,MIN(IF(ISNUMBER(AG34:AG230),ROW(AG34:AG230),"")))</f>
        <v>11.5</v>
      </c>
      <c r="AI34" s="14">
        <f>IF('Données projet'!$A$62&gt;35,AI33+AH34-AQ33,IF(A34&lt;'Données projet'!$A$62,$AF$205^A34,IF(A34='Données projet'!$A$62,'Données projet'!$B$62,AI33+AH34-AQ33)))</f>
        <v>154.99999999999994</v>
      </c>
      <c r="AJ34" s="14">
        <f>AI34*VLOOKUP('Données projet'!$B$10,Paramètres!$A$1:$I$89,3,0)*VLOOKUP('Données projet'!$B$10,Paramètres!$A$1:$I$89,5,0)</f>
        <v>120.89999999999996</v>
      </c>
      <c r="AK34" s="14">
        <f t="shared" si="35"/>
        <v>31.884818143351602</v>
      </c>
      <c r="AL34" s="22">
        <f t="shared" si="4"/>
        <v>266.10022493300397</v>
      </c>
      <c r="AM34" s="62">
        <f t="shared" si="5"/>
        <v>559.43355826633729</v>
      </c>
      <c r="AN34" s="62">
        <f ca="1">AVERAGE(OFFSET($AM$3,0,0,'Données projet'!$E$10+1,1))-AVERAGE(OFFSET($H$3,0,0,'Données projet'!$E$10+1,1))</f>
        <v>288.82868507674738</v>
      </c>
      <c r="AO34" s="62">
        <f t="shared" si="36"/>
        <v>283.48738729114024</v>
      </c>
      <c r="AP34" s="16">
        <f>IF(ISNA(VLOOKUP(A34,'Données projet'!$A$61:$I$81,3,0)),0,VLOOKUP(A34,'Données projet'!$A$61:$I$81,3,0))</f>
        <v>4</v>
      </c>
      <c r="AQ34" s="16">
        <f>IF(ISNA(VLOOKUP(A34,'Données projet'!$A$61:$I$81,4,0)),0,VLOOKUP(A34,'Données projet'!$A$61:$I$81,4,0))</f>
        <v>36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1.6886644917283928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1.6886644917283928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7.8</v>
      </c>
      <c r="N35" s="14">
        <f>IF('Données projet'!$A$36&gt;35,N34+M35-V34,IF(A35&lt;'Données projet'!$A$36,$K$205^A35,IF(A35='Données projet'!$A$36,'Données projet'!$B$36,N34+M35-V34)))</f>
        <v>92.6</v>
      </c>
      <c r="O35" s="14">
        <f>N35*VLOOKUP('Données projet'!$B$9,Paramètres!$A$1:$I$89,3,0)*VLOOKUP('Données projet'!$B$9,Paramètres!$A$1:$I$89,5,0)</f>
        <v>83.784479999999988</v>
      </c>
      <c r="P35" s="14">
        <f t="shared" si="33"/>
        <v>23.06000530770384</v>
      </c>
      <c r="Q35" s="22">
        <f t="shared" ref="Q35:Q66" si="53">(O35+P35)*0.475*44/12</f>
        <v>186.08747857758416</v>
      </c>
      <c r="R35" s="62">
        <f t="shared" si="0"/>
        <v>479.42081191091745</v>
      </c>
      <c r="S35" s="62">
        <f ca="1">AVERAGE(OFFSET($R$3,0,0,'Données projet'!$E$9+1,1))-AVERAGE(OFFSET($H$3,0,0,'Données projet'!$E$9+1,1))</f>
        <v>371.95849973474657</v>
      </c>
      <c r="T35" s="62">
        <f t="shared" si="34"/>
        <v>233.32640143610547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11.5</v>
      </c>
      <c r="AI35" s="14">
        <f>IF('Données projet'!$A$62&gt;35,AI34+AH35-AQ34,IF(A35&lt;'Données projet'!$A$62,$AF$205^A35,IF(A35='Données projet'!$A$62,'Données projet'!$B$62,AI34+AH35-AQ34)))</f>
        <v>130.49999999999994</v>
      </c>
      <c r="AJ35" s="14">
        <f>AI35*VLOOKUP('Données projet'!$B$10,Paramètres!$A$1:$I$89,3,0)*VLOOKUP('Données projet'!$B$10,Paramètres!$A$1:$I$89,5,0)</f>
        <v>101.78999999999996</v>
      </c>
      <c r="AK35" s="14">
        <f t="shared" si="35"/>
        <v>27.38799903683508</v>
      </c>
      <c r="AL35" s="22">
        <f t="shared" si="4"/>
        <v>224.98501498915437</v>
      </c>
      <c r="AM35" s="62">
        <f t="shared" si="5"/>
        <v>518.31834832248774</v>
      </c>
      <c r="AN35" s="62">
        <f ca="1">AVERAGE(OFFSET($AM$3,0,0,'Données projet'!$E$10+1,1))-AVERAGE(OFFSET($H$3,0,0,'Données projet'!$E$10+1,1))</f>
        <v>288.82868507674738</v>
      </c>
      <c r="AO35" s="62">
        <f t="shared" si="36"/>
        <v>283.48738729114024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1.6424878723990739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1.6424878723990739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7.8</v>
      </c>
      <c r="N36" s="14">
        <f>IF('Données projet'!$A$36&gt;35,N35+M36-V35,IF(A36&lt;'Données projet'!$A$36,$K$205^A36,IF(A36='Données projet'!$A$36,'Données projet'!$B$36,N35+M36-V35)))</f>
        <v>100.39999999999999</v>
      </c>
      <c r="O36" s="14">
        <f>N36*VLOOKUP('Données projet'!$B$9,Paramètres!$A$1:$I$89,3,0)*VLOOKUP('Données projet'!$B$9,Paramètres!$A$1:$I$89,5,0)</f>
        <v>90.841919999999988</v>
      </c>
      <c r="P36" s="14">
        <f t="shared" si="33"/>
        <v>24.768165658148625</v>
      </c>
      <c r="Q36" s="22">
        <f t="shared" si="53"/>
        <v>201.35423252127552</v>
      </c>
      <c r="R36" s="62">
        <f t="shared" si="0"/>
        <v>494.68756585460881</v>
      </c>
      <c r="S36" s="62">
        <f ca="1">AVERAGE(OFFSET($R$3,0,0,'Données projet'!$E$9+1,1))-AVERAGE(OFFSET($H$3,0,0,'Données projet'!$E$9+1,1))</f>
        <v>371.95849973474657</v>
      </c>
      <c r="T36" s="62">
        <f t="shared" si="34"/>
        <v>233.32640143610547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11.5</v>
      </c>
      <c r="AI36" s="14">
        <f>IF('Données projet'!$A$62&gt;35,AI35+AH36-AQ35,IF(A36&lt;'Données projet'!$A$62,$AF$205^A36,IF(A36='Données projet'!$A$62,'Données projet'!$B$62,AI35+AH36-AQ35)))</f>
        <v>141.99999999999994</v>
      </c>
      <c r="AJ36" s="14">
        <f>AI36*VLOOKUP('Données projet'!$B$10,Paramètres!$A$1:$I$89,3,0)*VLOOKUP('Données projet'!$B$10,Paramètres!$A$1:$I$89,5,0)</f>
        <v>110.75999999999996</v>
      </c>
      <c r="AK36" s="14">
        <f t="shared" si="35"/>
        <v>29.509974682362923</v>
      </c>
      <c r="AL36" s="22">
        <f t="shared" si="4"/>
        <v>244.30353923844871</v>
      </c>
      <c r="AM36" s="62">
        <f t="shared" si="5"/>
        <v>537.63687257178208</v>
      </c>
      <c r="AN36" s="62">
        <f ca="1">AVERAGE(OFFSET($AM$3,0,0,'Données projet'!$E$10+1,1))-AVERAGE(OFFSET($H$3,0,0,'Données projet'!$E$10+1,1))</f>
        <v>288.82868507674738</v>
      </c>
      <c r="AO36" s="62">
        <f t="shared" si="36"/>
        <v>283.48738729114024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1.5975739551536379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1.5975739551536379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7.8</v>
      </c>
      <c r="N37" s="14">
        <f>IF('Données projet'!$A$36&gt;35,N36+M37-V36,IF(A37&lt;'Données projet'!$A$36,$K$205^A37,IF(A37='Données projet'!$A$36,'Données projet'!$B$36,N36+M37-V36)))</f>
        <v>108.19999999999999</v>
      </c>
      <c r="O37" s="14">
        <f>N37*VLOOKUP('Données projet'!$B$9,Paramètres!$A$1:$I$89,3,0)*VLOOKUP('Données projet'!$B$9,Paramètres!$A$1:$I$89,5,0)</f>
        <v>97.899359999999987</v>
      </c>
      <c r="P37" s="14">
        <f t="shared" si="33"/>
        <v>26.460932364201845</v>
      </c>
      <c r="Q37" s="22">
        <f t="shared" si="53"/>
        <v>216.59417586765153</v>
      </c>
      <c r="R37" s="62">
        <f t="shared" si="0"/>
        <v>509.92750920098484</v>
      </c>
      <c r="S37" s="62">
        <f ca="1">AVERAGE(OFFSET($R$3,0,0,'Données projet'!$E$9+1,1))-AVERAGE(OFFSET($H$3,0,0,'Données projet'!$E$9+1,1))</f>
        <v>371.95849973474657</v>
      </c>
      <c r="T37" s="62">
        <f t="shared" si="34"/>
        <v>233.32640143610547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11.5</v>
      </c>
      <c r="AI37" s="14">
        <f>IF('Données projet'!$A$62&gt;35,AI36+AH37-AQ36,IF(A37&lt;'Données projet'!$A$62,$AF$205^A37,IF(A37='Données projet'!$A$62,'Données projet'!$B$62,AI36+AH37-AQ36)))</f>
        <v>153.49999999999994</v>
      </c>
      <c r="AJ37" s="14">
        <f>AI37*VLOOKUP('Données projet'!$B$10,Paramètres!$A$1:$I$89,3,0)*VLOOKUP('Données projet'!$B$10,Paramètres!$A$1:$I$89,5,0)</f>
        <v>119.72999999999996</v>
      </c>
      <c r="AK37" s="14">
        <f t="shared" si="35"/>
        <v>31.612017974790529</v>
      </c>
      <c r="AL37" s="22">
        <f t="shared" si="4"/>
        <v>263.58734797276003</v>
      </c>
      <c r="AM37" s="62">
        <f t="shared" si="5"/>
        <v>556.92068130609334</v>
      </c>
      <c r="AN37" s="62">
        <f ca="1">AVERAGE(OFFSET($AM$3,0,0,'Données projet'!$E$10+1,1))-AVERAGE(OFFSET($H$3,0,0,'Données projet'!$E$10+1,1))</f>
        <v>288.82868507674738</v>
      </c>
      <c r="AO37" s="62">
        <f t="shared" si="36"/>
        <v>283.48738729114024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1.5538882113371986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1.5538882113371986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7.8</v>
      </c>
      <c r="M38" s="13">
        <f t="array" ref="M38">INDEX(L:L,MIN(IF(ISNUMBER(L38:L234),ROW(L38:L234),"")))</f>
        <v>7.8</v>
      </c>
      <c r="N38" s="14">
        <f>IF('Données projet'!$A$36&gt;35,N37+M38-V37,IF(A38&lt;'Données projet'!$A$36,$K$205^A38,IF(A38='Données projet'!$A$36,'Données projet'!$B$36,N37+M38-V37)))</f>
        <v>115.99999999999999</v>
      </c>
      <c r="O38" s="14">
        <f>N38*VLOOKUP('Données projet'!$B$9,Paramètres!$A$1:$I$89,3,0)*VLOOKUP('Données projet'!$B$9,Paramètres!$A$1:$I$89,5,0)</f>
        <v>104.95679999999999</v>
      </c>
      <c r="P38" s="14">
        <f t="shared" si="33"/>
        <v>28.139541339232373</v>
      </c>
      <c r="Q38" s="22">
        <f t="shared" si="53"/>
        <v>231.8094611658297</v>
      </c>
      <c r="R38" s="62">
        <f t="shared" si="0"/>
        <v>525.14279449916307</v>
      </c>
      <c r="S38" s="62">
        <f ca="1">AVERAGE(OFFSET($R$3,0,0,'Données projet'!$E$9+1,1))-AVERAGE(OFFSET($H$3,0,0,'Données projet'!$E$9+1,1))</f>
        <v>371.95849973474657</v>
      </c>
      <c r="T38" s="62">
        <f t="shared" si="34"/>
        <v>233.32640143610547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21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11.5</v>
      </c>
      <c r="AI38" s="14">
        <f>IF('Données projet'!$A$62&gt;35,AI37+AH38-AQ37,IF(A38&lt;'Données projet'!$A$62,$AF$205^A38,IF(A38='Données projet'!$A$62,'Données projet'!$B$62,AI37+AH38-AQ37)))</f>
        <v>164.99999999999994</v>
      </c>
      <c r="AJ38" s="14">
        <f>AI38*VLOOKUP('Données projet'!$B$10,Paramètres!$A$1:$I$89,3,0)*VLOOKUP('Données projet'!$B$10,Paramètres!$A$1:$I$89,5,0)</f>
        <v>128.69999999999996</v>
      </c>
      <c r="AK38" s="14">
        <f t="shared" si="35"/>
        <v>33.695792019186115</v>
      </c>
      <c r="AL38" s="22">
        <f t="shared" si="4"/>
        <v>282.83933776674911</v>
      </c>
      <c r="AM38" s="62">
        <f t="shared" si="5"/>
        <v>576.17267110008243</v>
      </c>
      <c r="AN38" s="62">
        <f ca="1">AVERAGE(OFFSET($AM$3,0,0,'Données projet'!$E$10+1,1))-AVERAGE(OFFSET($H$3,0,0,'Données projet'!$E$10+1,1))</f>
        <v>288.82868507674738</v>
      </c>
      <c r="AO38" s="62">
        <f t="shared" si="36"/>
        <v>283.48738729114024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1.5113970564827532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1.5113970564827532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103.39999999999999</v>
      </c>
      <c r="O39" s="14">
        <f>N39*VLOOKUP('Données projet'!$B$9,Paramètres!$A$1:$I$89,3,0)*VLOOKUP('Données projet'!$B$9,Paramètres!$A$1:$I$89,5,0)</f>
        <v>93.556319999999999</v>
      </c>
      <c r="P39" s="14">
        <f t="shared" si="33"/>
        <v>25.420979659258073</v>
      </c>
      <c r="Q39" s="22">
        <f t="shared" si="53"/>
        <v>207.21879690654114</v>
      </c>
      <c r="R39" s="62">
        <f t="shared" si="0"/>
        <v>500.55213023987449</v>
      </c>
      <c r="S39" s="62">
        <f ca="1">AVERAGE(OFFSET($R$3,0,0,'Données projet'!$E$9+1,1))-AVERAGE(OFFSET($H$3,0,0,'Données projet'!$E$9+1,1))</f>
        <v>371.95849973474657</v>
      </c>
      <c r="T39" s="62">
        <f t="shared" si="34"/>
        <v>233.32640143610547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11.5</v>
      </c>
      <c r="AI39" s="14">
        <f>IF('Données projet'!$A$62&gt;35,AI38+AH39-AQ38,IF(A39&lt;'Données projet'!$A$62,$AF$205^A39,IF(A39='Données projet'!$A$62,'Données projet'!$B$62,AI38+AH39-AQ38)))</f>
        <v>176.49999999999994</v>
      </c>
      <c r="AJ39" s="14">
        <f>AI39*VLOOKUP('Données projet'!$B$10,Paramètres!$A$1:$I$89,3,0)*VLOOKUP('Données projet'!$B$10,Paramètres!$A$1:$I$89,5,0)</f>
        <v>137.66999999999996</v>
      </c>
      <c r="AK39" s="14">
        <f t="shared" si="35"/>
        <v>35.762714965854656</v>
      </c>
      <c r="AL39" s="22">
        <f t="shared" si="4"/>
        <v>302.06197856553007</v>
      </c>
      <c r="AM39" s="62">
        <f t="shared" si="5"/>
        <v>595.39531189886338</v>
      </c>
      <c r="AN39" s="62">
        <f ca="1">AVERAGE(OFFSET($AM$3,0,0,'Données projet'!$E$10+1,1))-AVERAGE(OFFSET($H$3,0,0,'Données projet'!$E$10+1,1))</f>
        <v>288.82868507674738</v>
      </c>
      <c r="AO39" s="62">
        <f t="shared" si="36"/>
        <v>283.48738729114024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1.4700678244923155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1.4700678244923155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111.8</v>
      </c>
      <c r="O40" s="14">
        <f>N40*VLOOKUP('Données projet'!$B$9,Paramètres!$A$1:$I$89,3,0)*VLOOKUP('Données projet'!$B$9,Paramètres!$A$1:$I$89,5,0)</f>
        <v>101.15664</v>
      </c>
      <c r="P40" s="14">
        <f t="shared" si="33"/>
        <v>27.237366379381644</v>
      </c>
      <c r="Q40" s="22">
        <f t="shared" si="53"/>
        <v>223.61956111075634</v>
      </c>
      <c r="R40" s="62">
        <f t="shared" si="0"/>
        <v>516.95289444408968</v>
      </c>
      <c r="S40" s="62">
        <f ca="1">AVERAGE(OFFSET($R$3,0,0,'Données projet'!$E$9+1,1))-AVERAGE(OFFSET($H$3,0,0,'Données projet'!$E$9+1,1))</f>
        <v>371.95849973474657</v>
      </c>
      <c r="T40" s="62">
        <f t="shared" si="34"/>
        <v>233.32640143610547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>
        <f>VLOOKUP(A40,'Données projet'!$A$61:$I$81,2,0)</f>
        <v>188</v>
      </c>
      <c r="AG40" s="13">
        <f>VLOOKUP(A40,'Données projet'!$A$61:$I$81,9,0)</f>
        <v>11.5</v>
      </c>
      <c r="AH40" s="13">
        <f t="array" ref="AH40">INDEX(AG:AG,MIN(IF(ISNUMBER(AG40:AG236),ROW(AG40:AG236),"")))</f>
        <v>11.5</v>
      </c>
      <c r="AI40" s="14">
        <f>IF('Données projet'!$A$62&gt;35,AI39+AH40-AQ39,IF(A40&lt;'Données projet'!$A$62,$AF$205^A40,IF(A40='Données projet'!$A$62,'Données projet'!$B$62,AI39+AH40-AQ39)))</f>
        <v>187.99999999999994</v>
      </c>
      <c r="AJ40" s="14">
        <f>AI40*VLOOKUP('Données projet'!$B$10,Paramètres!$A$1:$I$89,3,0)*VLOOKUP('Données projet'!$B$10,Paramètres!$A$1:$I$89,5,0)</f>
        <v>146.63999999999996</v>
      </c>
      <c r="AK40" s="14">
        <f t="shared" si="35"/>
        <v>37.814009712703026</v>
      </c>
      <c r="AL40" s="22">
        <f t="shared" si="4"/>
        <v>321.25740024962437</v>
      </c>
      <c r="AM40" s="62">
        <f t="shared" si="5"/>
        <v>614.59073358295768</v>
      </c>
      <c r="AN40" s="62">
        <f ca="1">AVERAGE(OFFSET($AM$3,0,0,'Données projet'!$E$10+1,1))-AVERAGE(OFFSET($H$3,0,0,'Données projet'!$E$10+1,1))</f>
        <v>288.82868507674738</v>
      </c>
      <c r="AO40" s="62">
        <f t="shared" si="36"/>
        <v>283.48738729114024</v>
      </c>
      <c r="AP40" s="16">
        <f>IF(ISNA(VLOOKUP(A40,'Données projet'!$A$61:$I$81,3,0)),0,VLOOKUP(A40,'Données projet'!$A$61:$I$81,3,0))</f>
        <v>5</v>
      </c>
      <c r="AQ40" s="16">
        <f>IF(ISNA(VLOOKUP(A40,'Données projet'!$A$61:$I$81,4,0)),0,VLOOKUP(A40,'Données projet'!$A$61:$I$81,4,0))</f>
        <v>36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1.4298687425240661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1.4298687425240661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120.2</v>
      </c>
      <c r="O41" s="14">
        <f>N41*VLOOKUP('Données projet'!$B$9,Paramètres!$A$1:$I$89,3,0)*VLOOKUP('Données projet'!$B$9,Paramètres!$A$1:$I$89,5,0)</f>
        <v>108.75695999999999</v>
      </c>
      <c r="P41" s="14">
        <f t="shared" si="33"/>
        <v>29.037921223305585</v>
      </c>
      <c r="Q41" s="22">
        <f t="shared" si="53"/>
        <v>239.99275146392384</v>
      </c>
      <c r="R41" s="62">
        <f t="shared" si="0"/>
        <v>533.32608479725718</v>
      </c>
      <c r="S41" s="62">
        <f ca="1">AVERAGE(OFFSET($R$3,0,0,'Données projet'!$E$9+1,1))-AVERAGE(OFFSET($H$3,0,0,'Données projet'!$E$9+1,1))</f>
        <v>371.95849973474657</v>
      </c>
      <c r="T41" s="62">
        <f t="shared" si="34"/>
        <v>233.32640143610547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11.142857142857142</v>
      </c>
      <c r="AI41" s="14">
        <f>IF('Données projet'!$A$62&gt;35,AI40+AH41-AQ40,IF(A41&lt;'Données projet'!$A$62,$AF$205^A41,IF(A41='Données projet'!$A$62,'Données projet'!$B$62,AI40+AH41-AQ40)))</f>
        <v>163.14285714285708</v>
      </c>
      <c r="AJ41" s="14">
        <f>AI41*VLOOKUP('Données projet'!$B$10,Paramètres!$A$1:$I$89,3,0)*VLOOKUP('Données projet'!$B$10,Paramètres!$A$1:$I$89,5,0)</f>
        <v>127.25142857142853</v>
      </c>
      <c r="AK41" s="14">
        <f t="shared" si="35"/>
        <v>33.360457439554281</v>
      </c>
      <c r="AL41" s="22">
        <f t="shared" si="4"/>
        <v>279.73236813579501</v>
      </c>
      <c r="AM41" s="62">
        <f t="shared" si="5"/>
        <v>573.06570146912827</v>
      </c>
      <c r="AN41" s="62">
        <f ca="1">AVERAGE(OFFSET($AM$3,0,0,'Données projet'!$E$10+1,1))-AVERAGE(OFFSET($H$3,0,0,'Données projet'!$E$10+1,1))</f>
        <v>288.82868507674738</v>
      </c>
      <c r="AO41" s="62">
        <f t="shared" si="36"/>
        <v>283.48738729114024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1.3907689065662163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1.3907689065662163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</v>
      </c>
      <c r="O42" s="14">
        <f>N42*VLOOKUP('Données projet'!$B$9,Paramètres!$A$1:$I$89,3,0)*VLOOKUP('Données projet'!$B$9,Paramètres!$A$1:$I$89,5,0)</f>
        <v>116.35727999999999</v>
      </c>
      <c r="P42" s="14">
        <f t="shared" si="33"/>
        <v>30.823876427820704</v>
      </c>
      <c r="Q42" s="22">
        <f t="shared" si="53"/>
        <v>256.34051411178768</v>
      </c>
      <c r="R42" s="62">
        <f t="shared" si="0"/>
        <v>549.67384744512105</v>
      </c>
      <c r="S42" s="62">
        <f ca="1">AVERAGE(OFFSET($R$3,0,0,'Données projet'!$E$9+1,1))-AVERAGE(OFFSET($H$3,0,0,'Données projet'!$E$9+1,1))</f>
        <v>371.95849973474657</v>
      </c>
      <c r="T42" s="62">
        <f t="shared" si="34"/>
        <v>233.32640143610547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11.142857142857142</v>
      </c>
      <c r="AI42" s="14">
        <f>IF('Données projet'!$A$62&gt;35,AI41+AH42-AQ41,IF(A42&lt;'Données projet'!$A$62,$AF$205^A42,IF(A42='Données projet'!$A$62,'Données projet'!$B$62,AI41+AH42-AQ41)))</f>
        <v>174.28571428571422</v>
      </c>
      <c r="AJ42" s="14">
        <f>AI42*VLOOKUP('Données projet'!$B$10,Paramètres!$A$1:$I$89,3,0)*VLOOKUP('Données projet'!$B$10,Paramètres!$A$1:$I$89,5,0)</f>
        <v>135.94285714285709</v>
      </c>
      <c r="AK42" s="14">
        <f t="shared" si="35"/>
        <v>35.365986273808367</v>
      </c>
      <c r="AL42" s="22">
        <f t="shared" si="4"/>
        <v>298.36290228402567</v>
      </c>
      <c r="AM42" s="62">
        <f t="shared" si="5"/>
        <v>591.69623561735898</v>
      </c>
      <c r="AN42" s="62">
        <f ca="1">AVERAGE(OFFSET($AM$3,0,0,'Données projet'!$E$10+1,1))-AVERAGE(OFFSET($H$3,0,0,'Données projet'!$E$10+1,1))</f>
        <v>288.82868507674738</v>
      </c>
      <c r="AO42" s="62">
        <f t="shared" si="36"/>
        <v>283.48738729114024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1.352738257678805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1.352738257678805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</v>
      </c>
      <c r="O43" s="14">
        <f>N43*VLOOKUP('Données projet'!$B$9,Paramètres!$A$1:$I$89,3,0)*VLOOKUP('Données projet'!$B$9,Paramètres!$A$1:$I$89,5,0)</f>
        <v>123.9576</v>
      </c>
      <c r="P43" s="14">
        <f t="shared" si="33"/>
        <v>32.59629414926458</v>
      </c>
      <c r="Q43" s="22">
        <f t="shared" si="53"/>
        <v>272.6646989766358</v>
      </c>
      <c r="R43" s="62">
        <f t="shared" si="0"/>
        <v>565.99803230996918</v>
      </c>
      <c r="S43" s="62">
        <f ca="1">AVERAGE(OFFSET($R$3,0,0,'Données projet'!$E$9+1,1))-AVERAGE(OFFSET($H$3,0,0,'Données projet'!$E$9+1,1))</f>
        <v>371.95849973474657</v>
      </c>
      <c r="T43" s="62">
        <f t="shared" si="34"/>
        <v>233.32640143610547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21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11.142857142857142</v>
      </c>
      <c r="AI43" s="14">
        <f>IF('Données projet'!$A$62&gt;35,AI42+AH43-AQ42,IF(A43&lt;'Données projet'!$A$62,$AF$205^A43,IF(A43='Données projet'!$A$62,'Données projet'!$B$62,AI42+AH43-AQ42)))</f>
        <v>185.42857142857136</v>
      </c>
      <c r="AJ43" s="14">
        <f>AI43*VLOOKUP('Données projet'!$B$10,Paramètres!$A$1:$I$89,3,0)*VLOOKUP('Données projet'!$B$10,Paramètres!$A$1:$I$89,5,0)</f>
        <v>144.63428571428565</v>
      </c>
      <c r="AK43" s="14">
        <f t="shared" si="35"/>
        <v>37.356634728420524</v>
      </c>
      <c r="AL43" s="22">
        <f t="shared" si="4"/>
        <v>316.96751977104657</v>
      </c>
      <c r="AM43" s="62">
        <f t="shared" si="5"/>
        <v>610.30085310437994</v>
      </c>
      <c r="AN43" s="62">
        <f ca="1">AVERAGE(OFFSET($AM$3,0,0,'Données projet'!$E$10+1,1))-AVERAGE(OFFSET($H$3,0,0,'Données projet'!$E$10+1,1))</f>
        <v>288.82868507674738</v>
      </c>
      <c r="AO43" s="62">
        <f t="shared" si="36"/>
        <v>283.48738729114024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1.3157475588851648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1.3157475588851648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</v>
      </c>
      <c r="O44" s="14">
        <f>N44*VLOOKUP('Données projet'!$B$9,Paramètres!$A$1:$I$89,3,0)*VLOOKUP('Données projet'!$B$9,Paramètres!$A$1:$I$89,5,0)</f>
        <v>112.55712000000001</v>
      </c>
      <c r="P44" s="14">
        <f t="shared" si="33"/>
        <v>29.932653834140599</v>
      </c>
      <c r="Q44" s="22">
        <f t="shared" si="53"/>
        <v>248.16968942779488</v>
      </c>
      <c r="R44" s="62">
        <f t="shared" si="0"/>
        <v>541.50302276112825</v>
      </c>
      <c r="S44" s="62">
        <f ca="1">AVERAGE(OFFSET($R$3,0,0,'Données projet'!$E$9+1,1))-AVERAGE(OFFSET($H$3,0,0,'Données projet'!$E$9+1,1))</f>
        <v>371.95849973474657</v>
      </c>
      <c r="T44" s="62">
        <f t="shared" si="34"/>
        <v>233.32640143610547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11.142857142857142</v>
      </c>
      <c r="AI44" s="14">
        <f>IF('Données projet'!$A$62&gt;35,AI43+AH44-AQ43,IF(A44&lt;'Données projet'!$A$62,$AF$205^A44,IF(A44='Données projet'!$A$62,'Données projet'!$B$62,AI43+AH44-AQ43)))</f>
        <v>196.5714285714285</v>
      </c>
      <c r="AJ44" s="14">
        <f>AI44*VLOOKUP('Données projet'!$B$10,Paramètres!$A$1:$I$89,3,0)*VLOOKUP('Données projet'!$B$10,Paramètres!$A$1:$I$89,5,0)</f>
        <v>153.32571428571424</v>
      </c>
      <c r="AK44" s="14">
        <f t="shared" si="35"/>
        <v>39.333398837614155</v>
      </c>
      <c r="AL44" s="22">
        <f t="shared" si="4"/>
        <v>335.5479553564636</v>
      </c>
      <c r="AM44" s="62">
        <f t="shared" si="5"/>
        <v>628.88128868979697</v>
      </c>
      <c r="AN44" s="62">
        <f ca="1">AVERAGE(OFFSET($AM$3,0,0,'Données projet'!$E$10+1,1))-AVERAGE(OFFSET($H$3,0,0,'Données projet'!$E$10+1,1))</f>
        <v>288.82868507674738</v>
      </c>
      <c r="AO44" s="62">
        <f t="shared" si="36"/>
        <v>283.48738729114024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1.2797683726952931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1.2797683726952931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132.80000000000001</v>
      </c>
      <c r="O45" s="14">
        <f>N45*VLOOKUP('Données projet'!$B$9,Paramètres!$A$1:$I$89,3,0)*VLOOKUP('Données projet'!$B$9,Paramètres!$A$1:$I$89,5,0)</f>
        <v>120.15744000000001</v>
      </c>
      <c r="P45" s="14">
        <f t="shared" si="33"/>
        <v>31.711716786129845</v>
      </c>
      <c r="Q45" s="22">
        <f t="shared" si="53"/>
        <v>264.50544806917611</v>
      </c>
      <c r="R45" s="62">
        <f t="shared" si="0"/>
        <v>557.83878140250943</v>
      </c>
      <c r="S45" s="62">
        <f ca="1">AVERAGE(OFFSET($R$3,0,0,'Données projet'!$E$9+1,1))-AVERAGE(OFFSET($H$3,0,0,'Données projet'!$E$9+1,1))</f>
        <v>371.95849973474657</v>
      </c>
      <c r="T45" s="62">
        <f t="shared" si="34"/>
        <v>233.32640143610547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11.142857142857142</v>
      </c>
      <c r="AI45" s="14">
        <f>IF('Données projet'!$A$62&gt;35,AI44+AH45-AQ44,IF(A45&lt;'Données projet'!$A$62,$AF$205^A45,IF(A45='Données projet'!$A$62,'Données projet'!$B$62,AI44+AH45-AQ44)))</f>
        <v>207.71428571428564</v>
      </c>
      <c r="AJ45" s="14">
        <f>AI45*VLOOKUP('Données projet'!$B$10,Paramètres!$A$1:$I$89,3,0)*VLOOKUP('Données projet'!$B$10,Paramètres!$A$1:$I$89,5,0)</f>
        <v>162.0171428571428</v>
      </c>
      <c r="AK45" s="14">
        <f t="shared" si="35"/>
        <v>41.29715533509664</v>
      </c>
      <c r="AL45" s="22">
        <f t="shared" si="4"/>
        <v>354.10573601815037</v>
      </c>
      <c r="AM45" s="62">
        <f t="shared" si="5"/>
        <v>647.43906935148368</v>
      </c>
      <c r="AN45" s="62">
        <f ca="1">AVERAGE(OFFSET($AM$3,0,0,'Données projet'!$E$10+1,1))-AVERAGE(OFFSET($H$3,0,0,'Données projet'!$E$10+1,1))</f>
        <v>288.82868507674738</v>
      </c>
      <c r="AO45" s="62">
        <f t="shared" si="36"/>
        <v>283.48738729114024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1.2447730392438465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1.2447730392438465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141.20000000000002</v>
      </c>
      <c r="O46" s="14">
        <f>N46*VLOOKUP('Données projet'!$B$9,Paramètres!$A$1:$I$89,3,0)*VLOOKUP('Données projet'!$B$9,Paramètres!$A$1:$I$89,5,0)</f>
        <v>127.75776</v>
      </c>
      <c r="P46" s="14">
        <f t="shared" si="33"/>
        <v>33.477720030956604</v>
      </c>
      <c r="Q46" s="22">
        <f t="shared" si="53"/>
        <v>280.81846105391611</v>
      </c>
      <c r="R46" s="62">
        <f t="shared" si="0"/>
        <v>574.15179438724942</v>
      </c>
      <c r="S46" s="62">
        <f ca="1">AVERAGE(OFFSET($R$3,0,0,'Données projet'!$E$9+1,1))-AVERAGE(OFFSET($H$3,0,0,'Données projet'!$E$9+1,1))</f>
        <v>371.95849973474657</v>
      </c>
      <c r="T46" s="62">
        <f t="shared" si="34"/>
        <v>233.32640143610547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11.142857142857142</v>
      </c>
      <c r="AI46" s="14">
        <f>IF('Données projet'!$A$62&gt;35,AI45+AH46-AQ45,IF(A46&lt;'Données projet'!$A$62,$AF$205^A46,IF(A46='Données projet'!$A$62,'Données projet'!$B$62,AI45+AH46-AQ45)))</f>
        <v>218.85714285714278</v>
      </c>
      <c r="AJ46" s="14">
        <f>AI46*VLOOKUP('Données projet'!$B$10,Paramètres!$A$1:$I$89,3,0)*VLOOKUP('Données projet'!$B$10,Paramètres!$A$1:$I$89,5,0)</f>
        <v>170.70857142857136</v>
      </c>
      <c r="AK46" s="14">
        <f t="shared" si="35"/>
        <v>43.248681576985376</v>
      </c>
      <c r="AL46" s="22">
        <f t="shared" si="4"/>
        <v>372.64221565134466</v>
      </c>
      <c r="AM46" s="62">
        <f t="shared" si="5"/>
        <v>665.97554898467797</v>
      </c>
      <c r="AN46" s="62">
        <f ca="1">AVERAGE(OFFSET($AM$3,0,0,'Données projet'!$E$10+1,1))-AVERAGE(OFFSET($H$3,0,0,'Données projet'!$E$10+1,1))</f>
        <v>288.82868507674738</v>
      </c>
      <c r="AO46" s="62">
        <f t="shared" si="36"/>
        <v>283.48738729114024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1.2107346550259543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1.2107346550259543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149.60000000000002</v>
      </c>
      <c r="O47" s="14">
        <f>N47*VLOOKUP('Données projet'!$B$9,Paramètres!$A$1:$I$89,3,0)*VLOOKUP('Données projet'!$B$9,Paramètres!$A$1:$I$89,5,0)</f>
        <v>135.35808</v>
      </c>
      <c r="P47" s="14">
        <f t="shared" si="33"/>
        <v>35.231528980112834</v>
      </c>
      <c r="Q47" s="22">
        <f t="shared" si="53"/>
        <v>297.11023564036316</v>
      </c>
      <c r="R47" s="62">
        <f t="shared" si="0"/>
        <v>590.44356897369653</v>
      </c>
      <c r="S47" s="62">
        <f ca="1">AVERAGE(OFFSET($R$3,0,0,'Données projet'!$E$9+1,1))-AVERAGE(OFFSET($H$3,0,0,'Données projet'!$E$9+1,1))</f>
        <v>371.95849973474657</v>
      </c>
      <c r="T47" s="62">
        <f t="shared" si="34"/>
        <v>233.32640143610547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>
        <f>VLOOKUP(A47,'Données projet'!$A$61:$I$81,2,0)</f>
        <v>230</v>
      </c>
      <c r="AG47" s="13">
        <f>VLOOKUP(A47,'Données projet'!$A$61:$I$81,9,0)</f>
        <v>11.142857142857142</v>
      </c>
      <c r="AH47" s="13">
        <f t="array" ref="AH47">INDEX(AG:AG,MIN(IF(ISNUMBER(AG47:AG243),ROW(AG47:AG243),"")))</f>
        <v>11.142857142857142</v>
      </c>
      <c r="AI47" s="14">
        <f>IF('Données projet'!$A$62&gt;35,AI46+AH47-AQ46,IF(A47&lt;'Données projet'!$A$62,$AF$205^A47,IF(A47='Données projet'!$A$62,'Données projet'!$B$62,AI46+AH47-AQ46)))</f>
        <v>229.99999999999991</v>
      </c>
      <c r="AJ47" s="14">
        <f>AI47*VLOOKUP('Données projet'!$B$10,Paramètres!$A$1:$I$89,3,0)*VLOOKUP('Données projet'!$B$10,Paramètres!$A$1:$I$89,5,0)</f>
        <v>179.39999999999995</v>
      </c>
      <c r="AK47" s="14">
        <f t="shared" si="35"/>
        <v>45.188671291872232</v>
      </c>
      <c r="AL47" s="22">
        <f t="shared" si="4"/>
        <v>391.15860250001066</v>
      </c>
      <c r="AM47" s="62">
        <f t="shared" si="5"/>
        <v>684.49193583334397</v>
      </c>
      <c r="AN47" s="62">
        <f ca="1">AVERAGE(OFFSET($AM$3,0,0,'Données projet'!$E$10+1,1))-AVERAGE(OFFSET($H$3,0,0,'Données projet'!$E$10+1,1))</f>
        <v>288.82868507674738</v>
      </c>
      <c r="AO47" s="62">
        <f t="shared" si="36"/>
        <v>283.48738729114024</v>
      </c>
      <c r="AP47" s="16">
        <f>IF(ISNA(VLOOKUP(A47,'Données projet'!$A$61:$I$81,3,0)),0,VLOOKUP(A47,'Données projet'!$A$61:$I$81,3,0))</f>
        <v>6</v>
      </c>
      <c r="AQ47" s="16">
        <f>IF(ISNA(VLOOKUP(A47,'Données projet'!$A$61:$I$81,4,0)),0,VLOOKUP(A47,'Données projet'!$A$61:$I$81,4,0))</f>
        <v>43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1.1776270522145014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1.1776270522145014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158.00000000000003</v>
      </c>
      <c r="O48" s="14">
        <f>N48*VLOOKUP('Données projet'!$B$9,Paramètres!$A$1:$I$89,3,0)*VLOOKUP('Données projet'!$B$9,Paramètres!$A$1:$I$89,5,0)</f>
        <v>142.95840000000004</v>
      </c>
      <c r="P48" s="14">
        <f t="shared" si="33"/>
        <v>36.973906370811264</v>
      </c>
      <c r="Q48" s="22">
        <f t="shared" si="53"/>
        <v>313.38210026249641</v>
      </c>
      <c r="R48" s="62">
        <f t="shared" si="0"/>
        <v>606.71543359582972</v>
      </c>
      <c r="S48" s="62">
        <f ca="1">AVERAGE(OFFSET($R$3,0,0,'Données projet'!$E$9+1,1))-AVERAGE(OFFSET($H$3,0,0,'Données projet'!$E$9+1,1))</f>
        <v>371.95849973474657</v>
      </c>
      <c r="T48" s="62">
        <f t="shared" si="34"/>
        <v>233.32640143610547</v>
      </c>
      <c r="U48" s="16">
        <f>IF(ISNA(VLOOKUP(A48,'Données projet'!$A$35:$I$55,3,0)),0,VLOOKUP(A48,'Données projet'!$A$35:$I$55,3,0))</f>
        <v>5</v>
      </c>
      <c r="V48" s="16">
        <f>IF(ISNA(VLOOKUP(A48,'Données projet'!$A$35:$I$55,4,0)),0,VLOOKUP(A48,'Données projet'!$A$35:$I$55,4,0))</f>
        <v>21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10.375</v>
      </c>
      <c r="AI48" s="14">
        <f>IF('Données projet'!$A$62&gt;35,AI47+AH48-AQ47,IF(A48&lt;'Données projet'!$A$62,$AF$205^A48,IF(A48='Données projet'!$A$62,'Données projet'!$B$62,AI47+AH48-AQ47)))</f>
        <v>197.37499999999991</v>
      </c>
      <c r="AJ48" s="14">
        <f>AI48*VLOOKUP('Données projet'!$B$10,Paramètres!$A$1:$I$89,3,0)*VLOOKUP('Données projet'!$B$10,Paramètres!$A$1:$I$89,5,0)</f>
        <v>153.95249999999993</v>
      </c>
      <c r="AK48" s="14">
        <f t="shared" si="35"/>
        <v>39.475441267837361</v>
      </c>
      <c r="AL48" s="22">
        <f t="shared" si="4"/>
        <v>336.88699770814992</v>
      </c>
      <c r="AM48" s="62">
        <f t="shared" si="5"/>
        <v>630.22033104148318</v>
      </c>
      <c r="AN48" s="62">
        <f ca="1">AVERAGE(OFFSET($AM$3,0,0,'Données projet'!$E$10+1,1))-AVERAGE(OFFSET($H$3,0,0,'Données projet'!$E$10+1,1))</f>
        <v>288.82868507674738</v>
      </c>
      <c r="AO48" s="62">
        <f t="shared" si="36"/>
        <v>283.48738729114024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1.1454247785429807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1.1454247785429807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8.4</v>
      </c>
      <c r="N49" s="14">
        <f>IF('Données projet'!$A$36&gt;35,N48+M49-V48,IF(A49&lt;'Données projet'!$A$36,$K$205^A49,IF(A49='Données projet'!$A$36,'Données projet'!$B$36,N48+M49-V48)))</f>
        <v>145.40000000000003</v>
      </c>
      <c r="O49" s="14">
        <f>N49*VLOOKUP('Données projet'!$B$9,Paramètres!$A$1:$I$89,3,0)*VLOOKUP('Données projet'!$B$9,Paramètres!$A$1:$I$89,5,0)</f>
        <v>131.55792000000002</v>
      </c>
      <c r="P49" s="14">
        <f t="shared" si="33"/>
        <v>34.3560989338864</v>
      </c>
      <c r="Q49" s="22">
        <f t="shared" si="53"/>
        <v>288.96691630985219</v>
      </c>
      <c r="R49" s="62">
        <f t="shared" si="0"/>
        <v>582.30024964318545</v>
      </c>
      <c r="S49" s="62">
        <f ca="1">AVERAGE(OFFSET($R$3,0,0,'Données projet'!$E$9+1,1))-AVERAGE(OFFSET($H$3,0,0,'Données projet'!$E$9+1,1))</f>
        <v>371.95849973474657</v>
      </c>
      <c r="T49" s="62">
        <f t="shared" si="34"/>
        <v>233.32640143610547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10.375</v>
      </c>
      <c r="AI49" s="14">
        <f>IF('Données projet'!$A$62&gt;35,AI48+AH49-AQ48,IF(A49&lt;'Données projet'!$A$62,$AF$205^A49,IF(A49='Données projet'!$A$62,'Données projet'!$B$62,AI48+AH49-AQ48)))</f>
        <v>207.74999999999991</v>
      </c>
      <c r="AJ49" s="14">
        <f>AI49*VLOOKUP('Données projet'!$B$10,Paramètres!$A$1:$I$89,3,0)*VLOOKUP('Données projet'!$B$10,Paramètres!$A$1:$I$89,5,0)</f>
        <v>162.04499999999993</v>
      </c>
      <c r="AK49" s="14">
        <f t="shared" si="35"/>
        <v>41.303429372463391</v>
      </c>
      <c r="AL49" s="22">
        <f t="shared" si="4"/>
        <v>354.16518115704025</v>
      </c>
      <c r="AM49" s="62">
        <f t="shared" si="5"/>
        <v>647.49851449037351</v>
      </c>
      <c r="AN49" s="62">
        <f ca="1">AVERAGE(OFFSET($AM$3,0,0,'Données projet'!$E$10+1,1))-AVERAGE(OFFSET($H$3,0,0,'Données projet'!$E$10+1,1))</f>
        <v>288.82868507674738</v>
      </c>
      <c r="AO49" s="62">
        <f t="shared" si="36"/>
        <v>283.48738729114024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1.1141030777384517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1.1141030777384517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8.4</v>
      </c>
      <c r="N50" s="14">
        <f>IF('Données projet'!$A$36&gt;35,N49+M50-V49,IF(A50&lt;'Données projet'!$A$36,$K$205^A50,IF(A50='Données projet'!$A$36,'Données projet'!$B$36,N49+M50-V49)))</f>
        <v>153.80000000000004</v>
      </c>
      <c r="O50" s="14">
        <f>N50*VLOOKUP('Données projet'!$B$9,Paramètres!$A$1:$I$89,3,0)*VLOOKUP('Données projet'!$B$9,Paramètres!$A$1:$I$89,5,0)</f>
        <v>139.15824000000003</v>
      </c>
      <c r="P50" s="14">
        <f t="shared" si="33"/>
        <v>36.104102468715482</v>
      </c>
      <c r="Q50" s="22">
        <f t="shared" si="53"/>
        <v>305.24857979967953</v>
      </c>
      <c r="R50" s="62">
        <f t="shared" si="0"/>
        <v>598.5819131330129</v>
      </c>
      <c r="S50" s="62">
        <f ca="1">AVERAGE(OFFSET($R$3,0,0,'Données projet'!$E$9+1,1))-AVERAGE(OFFSET($H$3,0,0,'Données projet'!$E$9+1,1))</f>
        <v>371.95849973474657</v>
      </c>
      <c r="T50" s="62">
        <f t="shared" si="34"/>
        <v>233.32640143610547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10.375</v>
      </c>
      <c r="AI50" s="14">
        <f>IF('Données projet'!$A$62&gt;35,AI49+AH50-AQ49,IF(A50&lt;'Données projet'!$A$62,$AF$205^A50,IF(A50='Données projet'!$A$62,'Données projet'!$B$62,AI49+AH50-AQ49)))</f>
        <v>218.12499999999991</v>
      </c>
      <c r="AJ50" s="14">
        <f>AI50*VLOOKUP('Données projet'!$B$10,Paramètres!$A$1:$I$89,3,0)*VLOOKUP('Données projet'!$B$10,Paramètres!$A$1:$I$89,5,0)</f>
        <v>170.13749999999993</v>
      </c>
      <c r="AK50" s="14">
        <f t="shared" si="35"/>
        <v>43.120817562072375</v>
      </c>
      <c r="AL50" s="22">
        <f t="shared" si="4"/>
        <v>371.42490308727588</v>
      </c>
      <c r="AM50" s="62">
        <f t="shared" si="5"/>
        <v>664.75823642060914</v>
      </c>
      <c r="AN50" s="62">
        <f ca="1">AVERAGE(OFFSET($AM$3,0,0,'Données projet'!$E$10+1,1))-AVERAGE(OFFSET($H$3,0,0,'Données projet'!$E$10+1,1))</f>
        <v>288.82868507674738</v>
      </c>
      <c r="AO50" s="62">
        <f t="shared" si="36"/>
        <v>283.48738729114024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1.0836378704895593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1.0836378704895593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8.4</v>
      </c>
      <c r="N51" s="14">
        <f>IF('Données projet'!$A$36&gt;35,N50+M51-V50,IF(A51&lt;'Données projet'!$A$36,$K$205^A51,IF(A51='Données projet'!$A$36,'Données projet'!$B$36,N50+M51-V50)))</f>
        <v>162.20000000000005</v>
      </c>
      <c r="O51" s="14">
        <f>N51*VLOOKUP('Données projet'!$B$9,Paramètres!$A$1:$I$89,3,0)*VLOOKUP('Données projet'!$B$9,Paramètres!$A$1:$I$89,5,0)</f>
        <v>146.75856000000005</v>
      </c>
      <c r="P51" s="14">
        <f t="shared" si="33"/>
        <v>37.841022770456242</v>
      </c>
      <c r="Q51" s="22">
        <f t="shared" si="53"/>
        <v>321.51093999187805</v>
      </c>
      <c r="R51" s="62">
        <f t="shared" si="0"/>
        <v>614.84427332521136</v>
      </c>
      <c r="S51" s="62">
        <f ca="1">AVERAGE(OFFSET($R$3,0,0,'Données projet'!$E$9+1,1))-AVERAGE(OFFSET($H$3,0,0,'Données projet'!$E$9+1,1))</f>
        <v>371.95849973474657</v>
      </c>
      <c r="T51" s="62">
        <f t="shared" si="34"/>
        <v>233.32640143610547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10.375</v>
      </c>
      <c r="AI51" s="14">
        <f>IF('Données projet'!$A$62&gt;35,AI50+AH51-AQ50,IF(A51&lt;'Données projet'!$A$62,$AF$205^A51,IF(A51='Données projet'!$A$62,'Données projet'!$B$62,AI50+AH51-AQ50)))</f>
        <v>228.49999999999991</v>
      </c>
      <c r="AJ51" s="14">
        <f>AI51*VLOOKUP('Données projet'!$B$10,Paramètres!$A$1:$I$89,3,0)*VLOOKUP('Données projet'!$B$10,Paramètres!$A$1:$I$89,5,0)</f>
        <v>178.22999999999993</v>
      </c>
      <c r="AK51" s="14">
        <f t="shared" si="35"/>
        <v>44.928167580487852</v>
      </c>
      <c r="AL51" s="22">
        <f t="shared" si="4"/>
        <v>388.66714186934951</v>
      </c>
      <c r="AM51" s="62">
        <f t="shared" si="5"/>
        <v>682.00047520268276</v>
      </c>
      <c r="AN51" s="62">
        <f ca="1">AVERAGE(OFFSET($AM$3,0,0,'Données projet'!$E$10+1,1))-AVERAGE(OFFSET($H$3,0,0,'Données projet'!$E$10+1,1))</f>
        <v>288.82868507674738</v>
      </c>
      <c r="AO51" s="62">
        <f t="shared" si="36"/>
        <v>283.48738729114024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1.0540057359349833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1.0540057359349833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8.4</v>
      </c>
      <c r="N52" s="14">
        <f>IF('Données projet'!$A$36&gt;35,N51+M52-V51,IF(A52&lt;'Données projet'!$A$36,$K$205^A52,IF(A52='Données projet'!$A$36,'Données projet'!$B$36,N51+M52-V51)))</f>
        <v>170.60000000000005</v>
      </c>
      <c r="O52" s="14">
        <f>N52*VLOOKUP('Données projet'!$B$9,Paramètres!$A$1:$I$89,3,0)*VLOOKUP('Données projet'!$B$9,Paramètres!$A$1:$I$89,5,0)</f>
        <v>154.35888000000003</v>
      </c>
      <c r="P52" s="14">
        <f t="shared" si="33"/>
        <v>39.567499286120309</v>
      </c>
      <c r="Q52" s="22">
        <f t="shared" si="53"/>
        <v>337.75511058999291</v>
      </c>
      <c r="R52" s="62">
        <f t="shared" si="0"/>
        <v>631.08844392332617</v>
      </c>
      <c r="S52" s="62">
        <f ca="1">AVERAGE(OFFSET($R$3,0,0,'Données projet'!$E$9+1,1))-AVERAGE(OFFSET($H$3,0,0,'Données projet'!$E$9+1,1))</f>
        <v>371.95849973474657</v>
      </c>
      <c r="T52" s="62">
        <f t="shared" si="34"/>
        <v>233.32640143610547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10.375</v>
      </c>
      <c r="AI52" s="14">
        <f>IF('Données projet'!$A$62&gt;35,AI51+AH52-AQ51,IF(A52&lt;'Données projet'!$A$62,$AF$205^A52,IF(A52='Données projet'!$A$62,'Données projet'!$B$62,AI51+AH52-AQ51)))</f>
        <v>238.87499999999991</v>
      </c>
      <c r="AJ52" s="14">
        <f>AI52*VLOOKUP('Données projet'!$B$10,Paramètres!$A$1:$I$89,3,0)*VLOOKUP('Données projet'!$B$10,Paramètres!$A$1:$I$89,5,0)</f>
        <v>186.32249999999993</v>
      </c>
      <c r="AK52" s="14">
        <f t="shared" si="35"/>
        <v>46.725987276254116</v>
      </c>
      <c r="AL52" s="22">
        <f t="shared" si="4"/>
        <v>405.8927820061424</v>
      </c>
      <c r="AM52" s="62">
        <f t="shared" si="5"/>
        <v>699.22611533947565</v>
      </c>
      <c r="AN52" s="62">
        <f ca="1">AVERAGE(OFFSET($AM$3,0,0,'Données projet'!$E$10+1,1))-AVERAGE(OFFSET($H$3,0,0,'Données projet'!$E$10+1,1))</f>
        <v>288.82868507674738</v>
      </c>
      <c r="AO52" s="62">
        <f t="shared" si="36"/>
        <v>283.48738729114024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1.0251838936580884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1.0251838936580884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179</v>
      </c>
      <c r="L53" s="13">
        <f>VLOOKUP(A53,'Données projet'!$A$35:$I$55,9,0)</f>
        <v>8.4</v>
      </c>
      <c r="M53" s="13">
        <f t="array" ref="M53">INDEX(L:L,MIN(IF(ISNUMBER(L53:L249),ROW(L53:L249),"")))</f>
        <v>8.4</v>
      </c>
      <c r="N53" s="14">
        <f>IF('Données projet'!$A$36&gt;35,N52+M53-V52,IF(A53&lt;'Données projet'!$A$36,$K$205^A53,IF(A53='Données projet'!$A$36,'Données projet'!$B$36,N52+M53-V52)))</f>
        <v>179.00000000000006</v>
      </c>
      <c r="O53" s="14">
        <f>N53*VLOOKUP('Données projet'!$B$9,Paramètres!$A$1:$I$89,3,0)*VLOOKUP('Données projet'!$B$9,Paramètres!$A$1:$I$89,5,0)</f>
        <v>161.95920000000004</v>
      </c>
      <c r="P53" s="14">
        <f t="shared" si="33"/>
        <v>41.284104935125725</v>
      </c>
      <c r="Q53" s="22">
        <f t="shared" si="53"/>
        <v>353.9820894286774</v>
      </c>
      <c r="R53" s="62">
        <f t="shared" si="0"/>
        <v>647.31542276201071</v>
      </c>
      <c r="S53" s="62">
        <f ca="1">AVERAGE(OFFSET($R$3,0,0,'Données projet'!$E$9+1,1))-AVERAGE(OFFSET($H$3,0,0,'Données projet'!$E$9+1,1))</f>
        <v>371.95849973474657</v>
      </c>
      <c r="T53" s="62">
        <f t="shared" si="34"/>
        <v>233.32640143610547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21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10.375</v>
      </c>
      <c r="AI53" s="14">
        <f>IF('Données projet'!$A$62&gt;35,AI52+AH53-AQ52,IF(A53&lt;'Données projet'!$A$62,$AF$205^A53,IF(A53='Données projet'!$A$62,'Données projet'!$B$62,AI52+AH53-AQ52)))</f>
        <v>249.24999999999991</v>
      </c>
      <c r="AJ53" s="14">
        <f>AI53*VLOOKUP('Données projet'!$B$10,Paramètres!$A$1:$I$89,3,0)*VLOOKUP('Données projet'!$B$10,Paramètres!$A$1:$I$89,5,0)</f>
        <v>194.41499999999994</v>
      </c>
      <c r="AK53" s="14">
        <f t="shared" si="35"/>
        <v>48.514737888684927</v>
      </c>
      <c r="AL53" s="22">
        <f t="shared" si="4"/>
        <v>423.10262682279273</v>
      </c>
      <c r="AM53" s="62">
        <f t="shared" si="5"/>
        <v>716.43596015612604</v>
      </c>
      <c r="AN53" s="62">
        <f ca="1">AVERAGE(OFFSET($AM$3,0,0,'Données projet'!$E$10+1,1))-AVERAGE(OFFSET($H$3,0,0,'Données projet'!$E$10+1,1))</f>
        <v>288.82868507674738</v>
      </c>
      <c r="AO53" s="62">
        <f t="shared" si="36"/>
        <v>283.48738729114024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0.99715018617393003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0.99715018617393003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166.00000000000006</v>
      </c>
      <c r="O54" s="14">
        <f>N54*VLOOKUP('Données projet'!$B$9,Paramètres!$A$1:$I$89,3,0)*VLOOKUP('Données projet'!$B$9,Paramètres!$A$1:$I$89,5,0)</f>
        <v>150.19680000000005</v>
      </c>
      <c r="P54" s="14">
        <f t="shared" si="33"/>
        <v>38.623305713694506</v>
      </c>
      <c r="Q54" s="22">
        <f t="shared" si="53"/>
        <v>328.86168411801799</v>
      </c>
      <c r="R54" s="62">
        <f t="shared" si="0"/>
        <v>622.1950174513513</v>
      </c>
      <c r="S54" s="62">
        <f ca="1">AVERAGE(OFFSET($R$3,0,0,'Données projet'!$E$9+1,1))-AVERAGE(OFFSET($H$3,0,0,'Données projet'!$E$9+1,1))</f>
        <v>371.95849973474657</v>
      </c>
      <c r="T54" s="62">
        <f t="shared" si="34"/>
        <v>233.32640143610547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10.375</v>
      </c>
      <c r="AI54" s="14">
        <f>IF('Données projet'!$A$62&gt;35,AI53+AH54-AQ53,IF(A54&lt;'Données projet'!$A$62,$AF$205^A54,IF(A54='Données projet'!$A$62,'Données projet'!$B$62,AI53+AH54-AQ53)))</f>
        <v>259.62499999999989</v>
      </c>
      <c r="AJ54" s="14">
        <f>AI54*VLOOKUP('Données projet'!$B$10,Paramètres!$A$1:$I$89,3,0)*VLOOKUP('Données projet'!$B$10,Paramètres!$A$1:$I$89,5,0)</f>
        <v>202.50749999999991</v>
      </c>
      <c r="AK54" s="14">
        <f t="shared" si="35"/>
        <v>50.294840086606349</v>
      </c>
      <c r="AL54" s="22">
        <f t="shared" si="4"/>
        <v>440.29740898417253</v>
      </c>
      <c r="AM54" s="62">
        <f t="shared" si="5"/>
        <v>733.63074231750579</v>
      </c>
      <c r="AN54" s="62">
        <f ca="1">AVERAGE(OFFSET($AM$3,0,0,'Données projet'!$E$10+1,1))-AVERAGE(OFFSET($H$3,0,0,'Données projet'!$E$10+1,1))</f>
        <v>288.82868507674738</v>
      </c>
      <c r="AO54" s="62">
        <f t="shared" si="36"/>
        <v>283.48738729114024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0.96988306189515461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0.96988306189515461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174.00000000000006</v>
      </c>
      <c r="O55" s="14">
        <f>N55*VLOOKUP('Données projet'!$B$9,Paramètres!$A$1:$I$89,3,0)*VLOOKUP('Données projet'!$B$9,Paramètres!$A$1:$I$89,5,0)</f>
        <v>157.43520000000007</v>
      </c>
      <c r="P55" s="14">
        <f t="shared" si="33"/>
        <v>40.263474653179919</v>
      </c>
      <c r="Q55" s="22">
        <f t="shared" si="53"/>
        <v>344.32519168762178</v>
      </c>
      <c r="R55" s="62">
        <f t="shared" si="0"/>
        <v>637.65852502095504</v>
      </c>
      <c r="S55" s="62">
        <f ca="1">AVERAGE(OFFSET($R$3,0,0,'Données projet'!$E$9+1,1))-AVERAGE(OFFSET($H$3,0,0,'Données projet'!$E$9+1,1))</f>
        <v>371.95849973474657</v>
      </c>
      <c r="T55" s="62">
        <f t="shared" si="34"/>
        <v>233.32640143610547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>
        <f>VLOOKUP(A55,'Données projet'!$A$61:$I$81,2,0)</f>
        <v>270</v>
      </c>
      <c r="AG55" s="13">
        <f>VLOOKUP(A55,'Données projet'!$A$61:$I$81,9,0)</f>
        <v>10.375</v>
      </c>
      <c r="AH55" s="13">
        <f t="array" ref="AH55">INDEX(AG:AG,MIN(IF(ISNUMBER(AG55:AG251),ROW(AG55:AG251),"")))</f>
        <v>10.375</v>
      </c>
      <c r="AI55" s="14">
        <f>IF('Données projet'!$A$62&gt;35,AI54+AH55-AQ54,IF(A55&lt;'Données projet'!$A$62,$AF$205^A55,IF(A55='Données projet'!$A$62,'Données projet'!$B$62,AI54+AH55-AQ54)))</f>
        <v>269.99999999999989</v>
      </c>
      <c r="AJ55" s="14">
        <f>AI55*VLOOKUP('Données projet'!$B$10,Paramètres!$A$1:$I$89,3,0)*VLOOKUP('Données projet'!$B$10,Paramètres!$A$1:$I$89,5,0)</f>
        <v>210.59999999999991</v>
      </c>
      <c r="AK55" s="14">
        <f t="shared" si="35"/>
        <v>52.066679014659961</v>
      </c>
      <c r="AL55" s="22">
        <f t="shared" si="4"/>
        <v>457.47779928386586</v>
      </c>
      <c r="AM55" s="62">
        <f t="shared" si="5"/>
        <v>750.81113261719918</v>
      </c>
      <c r="AN55" s="62">
        <f ca="1">AVERAGE(OFFSET($AM$3,0,0,'Données projet'!$E$10+1,1))-AVERAGE(OFFSET($H$3,0,0,'Données projet'!$E$10+1,1))</f>
        <v>288.82868507674738</v>
      </c>
      <c r="AO55" s="62">
        <f t="shared" si="36"/>
        <v>283.48738729114024</v>
      </c>
      <c r="AP55" s="16">
        <f>IF(ISNA(VLOOKUP(A55,'Données projet'!$A$61:$I$81,3,0)),0,VLOOKUP(A55,'Données projet'!$A$61:$I$81,3,0))</f>
        <v>7</v>
      </c>
      <c r="AQ55" s="16">
        <f>IF(ISNA(VLOOKUP(A55,'Données projet'!$A$61:$I$81,4,0)),0,VLOOKUP(A55,'Données projet'!$A$61:$I$81,4,0))</f>
        <v>48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0.94336155856369808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0.94336155856369808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182.00000000000006</v>
      </c>
      <c r="O56" s="14">
        <f>N56*VLOOKUP('Données projet'!$B$9,Paramètres!$A$1:$I$89,3,0)*VLOOKUP('Données projet'!$B$9,Paramètres!$A$1:$I$89,5,0)</f>
        <v>164.67360000000005</v>
      </c>
      <c r="P56" s="14">
        <f t="shared" si="33"/>
        <v>41.894886049197019</v>
      </c>
      <c r="Q56" s="22">
        <f t="shared" si="53"/>
        <v>359.77344653568485</v>
      </c>
      <c r="R56" s="62">
        <f t="shared" si="0"/>
        <v>653.10677986901817</v>
      </c>
      <c r="S56" s="62">
        <f ca="1">AVERAGE(OFFSET($R$3,0,0,'Données projet'!$E$9+1,1))-AVERAGE(OFFSET($H$3,0,0,'Données projet'!$E$9+1,1))</f>
        <v>371.95849973474657</v>
      </c>
      <c r="T56" s="62">
        <f t="shared" si="34"/>
        <v>233.32640143610547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9.375</v>
      </c>
      <c r="AI56" s="14">
        <f>IF('Données projet'!$A$62&gt;35,AI55+AH56-AQ55,IF(A56&lt;'Données projet'!$A$62,$AF$205^A56,IF(A56='Données projet'!$A$62,'Données projet'!$B$62,AI55+AH56-AQ55)))</f>
        <v>231.37499999999989</v>
      </c>
      <c r="AJ56" s="14">
        <f>AI56*VLOOKUP('Données projet'!$B$10,Paramètres!$A$1:$I$89,3,0)*VLOOKUP('Données projet'!$B$10,Paramètres!$A$1:$I$89,5,0)</f>
        <v>180.47249999999991</v>
      </c>
      <c r="AK56" s="14">
        <f t="shared" si="35"/>
        <v>45.427292666837829</v>
      </c>
      <c r="AL56" s="22">
        <f t="shared" si="4"/>
        <v>393.44213889474241</v>
      </c>
      <c r="AM56" s="62">
        <f t="shared" si="5"/>
        <v>686.77547222807573</v>
      </c>
      <c r="AN56" s="62">
        <f ca="1">AVERAGE(OFFSET($AM$3,0,0,'Données projet'!$E$10+1,1))-AVERAGE(OFFSET($H$3,0,0,'Données projet'!$E$10+1,1))</f>
        <v>288.82868507674738</v>
      </c>
      <c r="AO56" s="62">
        <f t="shared" si="36"/>
        <v>283.48738729114024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0.91756528713554542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0.91756528713554542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190.00000000000006</v>
      </c>
      <c r="O57" s="14">
        <f>N57*VLOOKUP('Données projet'!$B$9,Paramètres!$A$1:$I$89,3,0)*VLOOKUP('Données projet'!$B$9,Paramètres!$A$1:$I$89,5,0)</f>
        <v>171.91200000000006</v>
      </c>
      <c r="P57" s="14">
        <f t="shared" si="33"/>
        <v>43.51796884103733</v>
      </c>
      <c r="Q57" s="22">
        <f t="shared" si="53"/>
        <v>375.2071957314734</v>
      </c>
      <c r="R57" s="62">
        <f t="shared" si="0"/>
        <v>668.54052906480672</v>
      </c>
      <c r="S57" s="62">
        <f ca="1">AVERAGE(OFFSET($R$3,0,0,'Données projet'!$E$9+1,1))-AVERAGE(OFFSET($H$3,0,0,'Données projet'!$E$9+1,1))</f>
        <v>371.95849973474657</v>
      </c>
      <c r="T57" s="62">
        <f t="shared" si="34"/>
        <v>233.32640143610547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9.375</v>
      </c>
      <c r="AI57" s="14">
        <f>IF('Données projet'!$A$62&gt;35,AI56+AH57-AQ56,IF(A57&lt;'Données projet'!$A$62,$AF$205^A57,IF(A57='Données projet'!$A$62,'Données projet'!$B$62,AI56+AH57-AQ56)))</f>
        <v>240.74999999999989</v>
      </c>
      <c r="AJ57" s="14">
        <f>AI57*VLOOKUP('Données projet'!$B$10,Paramètres!$A$1:$I$89,3,0)*VLOOKUP('Données projet'!$B$10,Paramètres!$A$1:$I$89,5,0)</f>
        <v>187.78499999999991</v>
      </c>
      <c r="AK57" s="14">
        <f t="shared" si="35"/>
        <v>47.049914090154054</v>
      </c>
      <c r="AL57" s="22">
        <f t="shared" si="4"/>
        <v>409.0041420403515</v>
      </c>
      <c r="AM57" s="62">
        <f t="shared" si="5"/>
        <v>702.33747537368481</v>
      </c>
      <c r="AN57" s="62">
        <f ca="1">AVERAGE(OFFSET($AM$3,0,0,'Données projet'!$E$10+1,1))-AVERAGE(OFFSET($H$3,0,0,'Données projet'!$E$10+1,1))</f>
        <v>288.82868507674738</v>
      </c>
      <c r="AO57" s="62">
        <f t="shared" si="36"/>
        <v>283.48738729114024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0.89247441610616263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0.89247441610616263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198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198.00000000000006</v>
      </c>
      <c r="O58" s="14">
        <f>N58*VLOOKUP('Données projet'!$B$9,Paramètres!$A$1:$I$89,3,0)*VLOOKUP('Données projet'!$B$9,Paramètres!$A$1:$I$89,5,0)</f>
        <v>179.15040000000005</v>
      </c>
      <c r="P58" s="14">
        <f t="shared" si="33"/>
        <v>45.133113803437347</v>
      </c>
      <c r="Q58" s="22">
        <f t="shared" si="53"/>
        <v>390.62711987432004</v>
      </c>
      <c r="R58" s="62">
        <f t="shared" si="0"/>
        <v>683.96045320765336</v>
      </c>
      <c r="S58" s="62">
        <f ca="1">AVERAGE(OFFSET($R$3,0,0,'Données projet'!$E$9+1,1))-AVERAGE(OFFSET($H$3,0,0,'Données projet'!$E$9+1,1))</f>
        <v>371.95849973474657</v>
      </c>
      <c r="T58" s="62">
        <f t="shared" si="34"/>
        <v>233.32640143610547</v>
      </c>
      <c r="U58" s="16">
        <f>IF(ISNA(VLOOKUP(A58,'Données projet'!$A$35:$I$55,3,0)),0,VLOOKUP(A58,'Données projet'!$A$35:$I$55,3,0))</f>
        <v>7</v>
      </c>
      <c r="V58" s="16">
        <f>IF(ISNA(VLOOKUP(A58,'Données projet'!$A$35:$I$55,4,0)),0,VLOOKUP(A58,'Données projet'!$A$35:$I$55,4,0))</f>
        <v>21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9.375</v>
      </c>
      <c r="AI58" s="14">
        <f>IF('Données projet'!$A$62&gt;35,AI57+AH58-AQ57,IF(A58&lt;'Données projet'!$A$62,$AF$205^A58,IF(A58='Données projet'!$A$62,'Données projet'!$B$62,AI57+AH58-AQ57)))</f>
        <v>250.12499999999989</v>
      </c>
      <c r="AJ58" s="14">
        <f>AI58*VLOOKUP('Données projet'!$B$10,Paramètres!$A$1:$I$89,3,0)*VLOOKUP('Données projet'!$B$10,Paramètres!$A$1:$I$89,5,0)</f>
        <v>195.09749999999991</v>
      </c>
      <c r="AK58" s="14">
        <f t="shared" si="35"/>
        <v>48.66519532492579</v>
      </c>
      <c r="AL58" s="22">
        <f t="shared" si="4"/>
        <v>424.55336102424553</v>
      </c>
      <c r="AM58" s="62">
        <f t="shared" si="5"/>
        <v>717.88669435757879</v>
      </c>
      <c r="AN58" s="62">
        <f ca="1">AVERAGE(OFFSET($AM$3,0,0,'Données projet'!$E$10+1,1))-AVERAGE(OFFSET($H$3,0,0,'Données projet'!$E$10+1,1))</f>
        <v>288.82868507674738</v>
      </c>
      <c r="AO58" s="62">
        <f t="shared" si="36"/>
        <v>283.48738729114024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0.86806965626454979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0.86806965626454979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7.4</v>
      </c>
      <c r="N59" s="14">
        <f>IF('Données projet'!$A$36&gt;35,N58+M59-V58,IF(A59&lt;'Données projet'!$A$36,$K$205^A59,IF(A59='Données projet'!$A$36,'Données projet'!$B$36,N58+M59-V58)))</f>
        <v>184.40000000000006</v>
      </c>
      <c r="O59" s="14">
        <f>N59*VLOOKUP('Données projet'!$B$9,Paramètres!$A$1:$I$89,3,0)*VLOOKUP('Données projet'!$B$9,Paramètres!$A$1:$I$89,5,0)</f>
        <v>166.84512000000004</v>
      </c>
      <c r="P59" s="14">
        <f t="shared" si="33"/>
        <v>42.382666918050084</v>
      </c>
      <c r="Q59" s="22">
        <f t="shared" si="53"/>
        <v>364.40506221560395</v>
      </c>
      <c r="R59" s="62">
        <f t="shared" si="0"/>
        <v>657.73839554893721</v>
      </c>
      <c r="S59" s="62">
        <f ca="1">AVERAGE(OFFSET($R$3,0,0,'Données projet'!$E$9+1,1))-AVERAGE(OFFSET($H$3,0,0,'Données projet'!$E$9+1,1))</f>
        <v>371.95849973474657</v>
      </c>
      <c r="T59" s="62">
        <f t="shared" si="34"/>
        <v>233.32640143610547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9.375</v>
      </c>
      <c r="AI59" s="14">
        <f>IF('Données projet'!$A$62&gt;35,AI58+AH59-AQ58,IF(A59&lt;'Données projet'!$A$62,$AF$205^A59,IF(A59='Données projet'!$A$62,'Données projet'!$B$62,AI58+AH59-AQ58)))</f>
        <v>259.49999999999989</v>
      </c>
      <c r="AJ59" s="14">
        <f>AI59*VLOOKUP('Données projet'!$B$10,Paramètres!$A$1:$I$89,3,0)*VLOOKUP('Données projet'!$B$10,Paramètres!$A$1:$I$89,5,0)</f>
        <v>202.40999999999991</v>
      </c>
      <c r="AK59" s="14">
        <f t="shared" si="35"/>
        <v>50.273442991661817</v>
      </c>
      <c r="AL59" s="22">
        <f t="shared" si="4"/>
        <v>440.09032987714414</v>
      </c>
      <c r="AM59" s="62">
        <f t="shared" si="5"/>
        <v>733.42366321047746</v>
      </c>
      <c r="AN59" s="62">
        <f ca="1">AVERAGE(OFFSET($AM$3,0,0,'Données projet'!$E$10+1,1))-AVERAGE(OFFSET($H$3,0,0,'Données projet'!$E$10+1,1))</f>
        <v>288.82868507674738</v>
      </c>
      <c r="AO59" s="62">
        <f t="shared" si="36"/>
        <v>283.48738729114024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0.84433224586419642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0.84433224586419642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7.4</v>
      </c>
      <c r="N60" s="14">
        <f>IF('Données projet'!$A$36&gt;35,N59+M60-V59,IF(A60&lt;'Données projet'!$A$36,$K$205^A60,IF(A60='Données projet'!$A$36,'Données projet'!$B$36,N59+M60-V59)))</f>
        <v>191.80000000000007</v>
      </c>
      <c r="O60" s="14">
        <f>N60*VLOOKUP('Données projet'!$B$9,Paramètres!$A$1:$I$89,3,0)*VLOOKUP('Données projet'!$B$9,Paramètres!$A$1:$I$89,5,0)</f>
        <v>173.54064000000005</v>
      </c>
      <c r="P60" s="14">
        <f t="shared" si="33"/>
        <v>43.882055316228445</v>
      </c>
      <c r="Q60" s="22">
        <f t="shared" si="53"/>
        <v>378.67786100909797</v>
      </c>
      <c r="R60" s="62">
        <f t="shared" si="0"/>
        <v>672.01119434243128</v>
      </c>
      <c r="S60" s="62">
        <f ca="1">AVERAGE(OFFSET($R$3,0,0,'Données projet'!$E$9+1,1))-AVERAGE(OFFSET($H$3,0,0,'Données projet'!$E$9+1,1))</f>
        <v>371.95849973474657</v>
      </c>
      <c r="T60" s="62">
        <f t="shared" si="34"/>
        <v>233.32640143610547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9.375</v>
      </c>
      <c r="AI60" s="14">
        <f>IF('Données projet'!$A$62&gt;35,AI59+AH60-AQ59,IF(A60&lt;'Données projet'!$A$62,$AF$205^A60,IF(A60='Données projet'!$A$62,'Données projet'!$B$62,AI59+AH60-AQ59)))</f>
        <v>268.87499999999989</v>
      </c>
      <c r="AJ60" s="14">
        <f>AI60*VLOOKUP('Données projet'!$B$10,Paramètres!$A$1:$I$89,3,0)*VLOOKUP('Données projet'!$B$10,Paramètres!$A$1:$I$89,5,0)</f>
        <v>209.72249999999991</v>
      </c>
      <c r="AK60" s="14">
        <f t="shared" si="35"/>
        <v>51.874940300502246</v>
      </c>
      <c r="AL60" s="22">
        <f t="shared" si="4"/>
        <v>455.61554185670792</v>
      </c>
      <c r="AM60" s="62">
        <f t="shared" si="5"/>
        <v>748.94887519004124</v>
      </c>
      <c r="AN60" s="62">
        <f ca="1">AVERAGE(OFFSET($AM$3,0,0,'Données projet'!$E$10+1,1))-AVERAGE(OFFSET($H$3,0,0,'Données projet'!$E$10+1,1))</f>
        <v>288.82868507674738</v>
      </c>
      <c r="AO60" s="62">
        <f t="shared" si="36"/>
        <v>283.48738729114024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0.82124393619953695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0.82124393619953695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7.4</v>
      </c>
      <c r="N61" s="14">
        <f>IF('Données projet'!$A$36&gt;35,N60+M61-V60,IF(A61&lt;'Données projet'!$A$36,$K$205^A61,IF(A61='Données projet'!$A$36,'Données projet'!$B$36,N60+M61-V60)))</f>
        <v>199.20000000000007</v>
      </c>
      <c r="O61" s="14">
        <f>N61*VLOOKUP('Données projet'!$B$9,Paramètres!$A$1:$I$89,3,0)*VLOOKUP('Données projet'!$B$9,Paramètres!$A$1:$I$89,5,0)</f>
        <v>180.23616000000004</v>
      </c>
      <c r="P61" s="14">
        <f t="shared" si="33"/>
        <v>45.374723405565959</v>
      </c>
      <c r="Q61" s="22">
        <f t="shared" si="53"/>
        <v>392.93895526469413</v>
      </c>
      <c r="R61" s="62">
        <f t="shared" si="0"/>
        <v>686.27228859802744</v>
      </c>
      <c r="S61" s="62">
        <f ca="1">AVERAGE(OFFSET($R$3,0,0,'Données projet'!$E$9+1,1))-AVERAGE(OFFSET($H$3,0,0,'Données projet'!$E$9+1,1))</f>
        <v>371.95849973474657</v>
      </c>
      <c r="T61" s="62">
        <f t="shared" si="34"/>
        <v>233.32640143610547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9.375</v>
      </c>
      <c r="AI61" s="14">
        <f>IF('Données projet'!$A$62&gt;35,AI60+AH61-AQ60,IF(A61&lt;'Données projet'!$A$62,$AF$205^A61,IF(A61='Données projet'!$A$62,'Données projet'!$B$62,AI60+AH61-AQ60)))</f>
        <v>278.24999999999989</v>
      </c>
      <c r="AJ61" s="14">
        <f>AI61*VLOOKUP('Données projet'!$B$10,Paramètres!$A$1:$I$89,3,0)*VLOOKUP('Données projet'!$B$10,Paramètres!$A$1:$I$89,5,0)</f>
        <v>217.03499999999991</v>
      </c>
      <c r="AK61" s="14">
        <f t="shared" si="35"/>
        <v>53.469949591969474</v>
      </c>
      <c r="AL61" s="22">
        <f t="shared" si="4"/>
        <v>471.12945387267996</v>
      </c>
      <c r="AM61" s="62">
        <f t="shared" si="5"/>
        <v>764.46278720601322</v>
      </c>
      <c r="AN61" s="62">
        <f ca="1">AVERAGE(OFFSET($AM$3,0,0,'Données projet'!$E$10+1,1))-AVERAGE(OFFSET($H$3,0,0,'Données projet'!$E$10+1,1))</f>
        <v>288.82868507674738</v>
      </c>
      <c r="AO61" s="62">
        <f t="shared" si="36"/>
        <v>283.48738729114024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0.79878697757681894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0.79878697757681894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7.4</v>
      </c>
      <c r="N62" s="14">
        <f>IF('Données projet'!$A$36&gt;35,N61+M62-V61,IF(A62&lt;'Données projet'!$A$36,$K$205^A62,IF(A62='Données projet'!$A$36,'Données projet'!$B$36,N61+M62-V61)))</f>
        <v>206.60000000000008</v>
      </c>
      <c r="O62" s="14">
        <f>N62*VLOOKUP('Données projet'!$B$9,Paramètres!$A$1:$I$89,3,0)*VLOOKUP('Données projet'!$B$9,Paramètres!$A$1:$I$89,5,0)</f>
        <v>186.93168000000006</v>
      </c>
      <c r="P62" s="14">
        <f t="shared" si="33"/>
        <v>46.860949423866458</v>
      </c>
      <c r="Q62" s="22">
        <f t="shared" si="53"/>
        <v>407.18882957990081</v>
      </c>
      <c r="R62" s="62">
        <f t="shared" si="0"/>
        <v>700.52216291323407</v>
      </c>
      <c r="S62" s="62">
        <f ca="1">AVERAGE(OFFSET($R$3,0,0,'Données projet'!$E$9+1,1))-AVERAGE(OFFSET($H$3,0,0,'Données projet'!$E$9+1,1))</f>
        <v>371.95849973474657</v>
      </c>
      <c r="T62" s="62">
        <f t="shared" si="34"/>
        <v>233.32640143610547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9.375</v>
      </c>
      <c r="AI62" s="14">
        <f>IF('Données projet'!$A$62&gt;35,AI61+AH62-AQ61,IF(A62&lt;'Données projet'!$A$62,$AF$205^A62,IF(A62='Données projet'!$A$62,'Données projet'!$B$62,AI61+AH62-AQ61)))</f>
        <v>287.62499999999989</v>
      </c>
      <c r="AJ62" s="14">
        <f>AI62*VLOOKUP('Données projet'!$B$10,Paramètres!$A$1:$I$89,3,0)*VLOOKUP('Données projet'!$B$10,Paramètres!$A$1:$I$89,5,0)</f>
        <v>224.34749999999991</v>
      </c>
      <c r="AK62" s="14">
        <f t="shared" si="35"/>
        <v>55.058714525680429</v>
      </c>
      <c r="AL62" s="22">
        <f t="shared" si="4"/>
        <v>486.63249029889329</v>
      </c>
      <c r="AM62" s="62">
        <f t="shared" si="5"/>
        <v>779.9658236322266</v>
      </c>
      <c r="AN62" s="62">
        <f ca="1">AVERAGE(OFFSET($AM$3,0,0,'Données projet'!$E$10+1,1))-AVERAGE(OFFSET($H$3,0,0,'Données projet'!$E$10+1,1))</f>
        <v>288.82868507674738</v>
      </c>
      <c r="AO62" s="62">
        <f t="shared" si="36"/>
        <v>283.48738729114024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0.77694410566859928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0.77694410566859928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7.4</v>
      </c>
      <c r="M63" s="13">
        <f t="array" ref="M63">INDEX(L:L,MIN(IF(ISNUMBER(L63:L259),ROW(L63:L259),"")))</f>
        <v>7.4</v>
      </c>
      <c r="N63" s="14">
        <f>IF('Données projet'!$A$36&gt;35,N62+M63-V62,IF(A63&lt;'Données projet'!$A$36,$K$205^A63,IF(A63='Données projet'!$A$36,'Données projet'!$B$36,N62+M63-V62)))</f>
        <v>214.00000000000009</v>
      </c>
      <c r="O63" s="14">
        <f>N63*VLOOKUP('Données projet'!$B$9,Paramètres!$A$1:$I$89,3,0)*VLOOKUP('Données projet'!$B$9,Paramètres!$A$1:$I$89,5,0)</f>
        <v>193.62720000000007</v>
      </c>
      <c r="P63" s="14">
        <f t="shared" si="33"/>
        <v>48.340990547231236</v>
      </c>
      <c r="Q63" s="22">
        <f t="shared" si="53"/>
        <v>421.42793186976115</v>
      </c>
      <c r="R63" s="62">
        <f t="shared" si="0"/>
        <v>714.76126520309447</v>
      </c>
      <c r="S63" s="62">
        <f ca="1">AVERAGE(OFFSET($R$3,0,0,'Données projet'!$E$9+1,1))-AVERAGE(OFFSET($H$3,0,0,'Données projet'!$E$9+1,1))</f>
        <v>371.95849973474657</v>
      </c>
      <c r="T63" s="62">
        <f t="shared" si="34"/>
        <v>233.32640143610547</v>
      </c>
      <c r="U63" s="16">
        <f>IF(ISNA(VLOOKUP(A63,'Données projet'!$A$35:$I$55,3,0)),0,VLOOKUP(A63,'Données projet'!$A$35:$I$55,3,0))</f>
        <v>8</v>
      </c>
      <c r="V63" s="16">
        <f>IF(ISNA(VLOOKUP(A63,'Données projet'!$A$35:$I$55,4,0)),0,VLOOKUP(A63,'Données projet'!$A$35:$I$55,4,0))</f>
        <v>21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297</v>
      </c>
      <c r="AG63" s="13">
        <f>VLOOKUP(A63,'Données projet'!$A$61:$I$81,9,0)</f>
        <v>9.375</v>
      </c>
      <c r="AH63" s="13">
        <f t="array" ref="AH63">INDEX(AG:AG,MIN(IF(ISNUMBER(AG63:AG259),ROW(AG63:AG259),"")))</f>
        <v>9.375</v>
      </c>
      <c r="AI63" s="14">
        <f>IF('Données projet'!$A$62&gt;35,AI62+AH63-AQ62,IF(A63&lt;'Données projet'!$A$62,$AF$205^A63,IF(A63='Données projet'!$A$62,'Données projet'!$B$62,AI62+AH63-AQ62)))</f>
        <v>296.99999999999989</v>
      </c>
      <c r="AJ63" s="14">
        <f>AI63*VLOOKUP('Données projet'!$B$10,Paramètres!$A$1:$I$89,3,0)*VLOOKUP('Données projet'!$B$10,Paramètres!$A$1:$I$89,5,0)</f>
        <v>231.65999999999991</v>
      </c>
      <c r="AK63" s="14">
        <f t="shared" si="35"/>
        <v>56.641461975682766</v>
      </c>
      <c r="AL63" s="22">
        <f t="shared" si="4"/>
        <v>502.125046274314</v>
      </c>
      <c r="AM63" s="62">
        <f t="shared" si="5"/>
        <v>795.45837960764732</v>
      </c>
      <c r="AN63" s="62">
        <f ca="1">AVERAGE(OFFSET($AM$3,0,0,'Données projet'!$E$10+1,1))-AVERAGE(OFFSET($H$3,0,0,'Données projet'!$E$10+1,1))</f>
        <v>288.82868507674738</v>
      </c>
      <c r="AO63" s="62">
        <f t="shared" si="36"/>
        <v>283.48738729114024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47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0.75569852824137662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0.75569852824137662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200.20000000000007</v>
      </c>
      <c r="O64" s="14">
        <f>N64*VLOOKUP('Données projet'!$B$9,Paramètres!$A$1:$I$89,3,0)*VLOOKUP('Données projet'!$B$9,Paramètres!$A$1:$I$89,5,0)</f>
        <v>181.14096000000006</v>
      </c>
      <c r="P64" s="14">
        <f t="shared" si="33"/>
        <v>45.575935320610981</v>
      </c>
      <c r="Q64" s="22">
        <f t="shared" si="53"/>
        <v>394.86525935006421</v>
      </c>
      <c r="R64" s="62">
        <f t="shared" si="0"/>
        <v>688.19859268339746</v>
      </c>
      <c r="S64" s="62">
        <f ca="1">AVERAGE(OFFSET($R$3,0,0,'Données projet'!$E$9+1,1))-AVERAGE(OFFSET($H$3,0,0,'Données projet'!$E$9+1,1))</f>
        <v>371.95849973474657</v>
      </c>
      <c r="T64" s="62">
        <f t="shared" si="34"/>
        <v>233.32640143610547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8.6666666666666661</v>
      </c>
      <c r="AI64" s="14">
        <f>IF('Données projet'!$A$62&gt;35,AI63+AH64-AQ63,IF(A64&lt;'Données projet'!$A$62,$AF$205^A64,IF(A64='Données projet'!$A$62,'Données projet'!$B$62,AI63+AH64-AQ63)))</f>
        <v>258.66666666666657</v>
      </c>
      <c r="AJ64" s="14">
        <f>AI64*VLOOKUP('Données projet'!$B$10,Paramètres!$A$1:$I$89,3,0)*VLOOKUP('Données projet'!$B$10,Paramètres!$A$1:$I$89,5,0)</f>
        <v>201.75999999999993</v>
      </c>
      <c r="AK64" s="14">
        <f t="shared" si="35"/>
        <v>50.130765000424169</v>
      </c>
      <c r="AL64" s="22">
        <f t="shared" si="4"/>
        <v>438.70974904240529</v>
      </c>
      <c r="AM64" s="62">
        <f t="shared" si="5"/>
        <v>732.04308237573855</v>
      </c>
      <c r="AN64" s="62">
        <f ca="1">AVERAGE(OFFSET($AM$3,0,0,'Données projet'!$E$10+1,1))-AVERAGE(OFFSET($H$3,0,0,'Données projet'!$E$10+1,1))</f>
        <v>288.82868507674738</v>
      </c>
      <c r="AO64" s="62">
        <f t="shared" si="36"/>
        <v>283.48738729114024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0.73503391224615777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0.73503391224615777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207.40000000000006</v>
      </c>
      <c r="O65" s="14">
        <f>N65*VLOOKUP('Données projet'!$B$9,Paramètres!$A$1:$I$89,3,0)*VLOOKUP('Données projet'!$B$9,Paramètres!$A$1:$I$89,5,0)</f>
        <v>187.65552000000005</v>
      </c>
      <c r="P65" s="14">
        <f t="shared" si="33"/>
        <v>47.021247649900147</v>
      </c>
      <c r="Q65" s="22">
        <f t="shared" si="53"/>
        <v>408.72870365690954</v>
      </c>
      <c r="R65" s="62">
        <f t="shared" si="0"/>
        <v>702.06203699024286</v>
      </c>
      <c r="S65" s="62">
        <f ca="1">AVERAGE(OFFSET($R$3,0,0,'Données projet'!$E$9+1,1))-AVERAGE(OFFSET($H$3,0,0,'Données projet'!$E$9+1,1))</f>
        <v>371.95849973474657</v>
      </c>
      <c r="T65" s="62">
        <f t="shared" si="34"/>
        <v>233.32640143610547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8.6666666666666661</v>
      </c>
      <c r="AI65" s="14">
        <f>IF('Données projet'!$A$62&gt;35,AI64+AH65-AQ64,IF(A65&lt;'Données projet'!$A$62,$AF$205^A65,IF(A65='Données projet'!$A$62,'Données projet'!$B$62,AI64+AH65-AQ64)))</f>
        <v>267.33333333333326</v>
      </c>
      <c r="AJ65" s="14">
        <f>AI65*VLOOKUP('Données projet'!$B$10,Paramètres!$A$1:$I$89,3,0)*VLOOKUP('Données projet'!$B$10,Paramètres!$A$1:$I$89,5,0)</f>
        <v>208.51999999999995</v>
      </c>
      <c r="AK65" s="14">
        <f t="shared" si="35"/>
        <v>51.612035456318459</v>
      </c>
      <c r="AL65" s="22">
        <f t="shared" si="4"/>
        <v>453.06329508642119</v>
      </c>
      <c r="AM65" s="62">
        <f t="shared" si="5"/>
        <v>746.39662841975451</v>
      </c>
      <c r="AN65" s="62">
        <f ca="1">AVERAGE(OFFSET($AM$3,0,0,'Données projet'!$E$10+1,1))-AVERAGE(OFFSET($H$3,0,0,'Données projet'!$E$10+1,1))</f>
        <v>288.82868507674738</v>
      </c>
      <c r="AO65" s="62">
        <f t="shared" si="36"/>
        <v>283.48738729114024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0.71493437126203307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0.71493437126203307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214.60000000000005</v>
      </c>
      <c r="O66" s="14">
        <f>N66*VLOOKUP('Données projet'!$B$9,Paramètres!$A$1:$I$89,3,0)*VLOOKUP('Données projet'!$B$9,Paramètres!$A$1:$I$89,5,0)</f>
        <v>194.17008000000004</v>
      </c>
      <c r="P66" s="14">
        <f t="shared" si="33"/>
        <v>48.460730182351078</v>
      </c>
      <c r="Q66" s="22">
        <f t="shared" si="53"/>
        <v>422.58199440092818</v>
      </c>
      <c r="R66" s="62">
        <f t="shared" si="0"/>
        <v>715.9153277342615</v>
      </c>
      <c r="S66" s="62">
        <f ca="1">AVERAGE(OFFSET($R$3,0,0,'Données projet'!$E$9+1,1))-AVERAGE(OFFSET($H$3,0,0,'Données projet'!$E$9+1,1))</f>
        <v>371.95849973474657</v>
      </c>
      <c r="T66" s="62">
        <f t="shared" si="34"/>
        <v>233.32640143610547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8.6666666666666661</v>
      </c>
      <c r="AI66" s="14">
        <f>IF('Données projet'!$A$62&gt;35,AI65+AH66-AQ65,IF(A66&lt;'Données projet'!$A$62,$AF$205^A66,IF(A66='Données projet'!$A$62,'Données projet'!$B$62,AI65+AH66-AQ65)))</f>
        <v>275.99999999999994</v>
      </c>
      <c r="AJ66" s="14">
        <f>AI66*VLOOKUP('Données projet'!$B$10,Paramètres!$A$1:$I$89,3,0)*VLOOKUP('Données projet'!$B$10,Paramètres!$A$1:$I$89,5,0)</f>
        <v>215.27999999999997</v>
      </c>
      <c r="AK66" s="14">
        <f t="shared" si="35"/>
        <v>53.087725740853138</v>
      </c>
      <c r="AL66" s="22">
        <f t="shared" si="4"/>
        <v>467.40712233198587</v>
      </c>
      <c r="AM66" s="62">
        <f t="shared" si="5"/>
        <v>760.74045566531913</v>
      </c>
      <c r="AN66" s="62">
        <f ca="1">AVERAGE(OFFSET($AM$3,0,0,'Données projet'!$E$10+1,1))-AVERAGE(OFFSET($H$3,0,0,'Données projet'!$E$10+1,1))</f>
        <v>288.82868507674738</v>
      </c>
      <c r="AO66" s="62">
        <f t="shared" si="36"/>
        <v>283.48738729114024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0.69538445328310816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0.69538445328310816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221.80000000000004</v>
      </c>
      <c r="O67" s="14">
        <f>N67*VLOOKUP('Données projet'!$B$9,Paramètres!$A$1:$I$89,3,0)*VLOOKUP('Données projet'!$B$9,Paramètres!$A$1:$I$89,5,0)</f>
        <v>200.68464</v>
      </c>
      <c r="P67" s="14">
        <f t="shared" si="33"/>
        <v>49.894600936700193</v>
      </c>
      <c r="Q67" s="22">
        <f t="shared" ref="Q67:Q98" si="54">(O67+P67)*0.475*44/12</f>
        <v>436.42551129808612</v>
      </c>
      <c r="R67" s="62">
        <f t="shared" ref="R67:R130" si="55">Q67+(I67+J67)*44/12</f>
        <v>729.75884463141938</v>
      </c>
      <c r="S67" s="62">
        <f ca="1">AVERAGE(OFFSET($R$3,0,0,'Données projet'!$E$9+1,1))-AVERAGE(OFFSET($H$3,0,0,'Données projet'!$E$9+1,1))</f>
        <v>371.95849973474657</v>
      </c>
      <c r="T67" s="62">
        <f t="shared" si="34"/>
        <v>233.32640143610547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8.6666666666666661</v>
      </c>
      <c r="AI67" s="14">
        <f>IF('Données projet'!$A$62&gt;35,AI66+AH67-AQ66,IF(A67&lt;'Données projet'!$A$62,$AF$205^A67,IF(A67='Données projet'!$A$62,'Données projet'!$B$62,AI66+AH67-AQ66)))</f>
        <v>284.66666666666663</v>
      </c>
      <c r="AJ67" s="14">
        <f>AI67*VLOOKUP('Données projet'!$B$10,Paramètres!$A$1:$I$89,3,0)*VLOOKUP('Données projet'!$B$10,Paramètres!$A$1:$I$89,5,0)</f>
        <v>222.04</v>
      </c>
      <c r="AK67" s="14">
        <f t="shared" si="35"/>
        <v>54.558031180803546</v>
      </c>
      <c r="AL67" s="22">
        <f t="shared" si="4"/>
        <v>481.74157097323285</v>
      </c>
      <c r="AM67" s="62">
        <f t="shared" si="5"/>
        <v>775.07490430656617</v>
      </c>
      <c r="AN67" s="62">
        <f ca="1">AVERAGE(OFFSET($AM$3,0,0,'Données projet'!$E$10+1,1))-AVERAGE(OFFSET($H$3,0,0,'Données projet'!$E$10+1,1))</f>
        <v>288.82868507674738</v>
      </c>
      <c r="AO67" s="62">
        <f t="shared" si="36"/>
        <v>283.48738729114024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0.67636912883940248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0.67636912883940248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229.00000000000003</v>
      </c>
      <c r="O68" s="14">
        <f>N68*VLOOKUP('Données projet'!$B$9,Paramètres!$A$1:$I$89,3,0)*VLOOKUP('Données projet'!$B$9,Paramètres!$A$1:$I$89,5,0)</f>
        <v>207.19919999999999</v>
      </c>
      <c r="P68" s="14">
        <f t="shared" si="33"/>
        <v>51.32306297366555</v>
      </c>
      <c r="Q68" s="22">
        <f t="shared" si="54"/>
        <v>450.25960801246742</v>
      </c>
      <c r="R68" s="62">
        <f t="shared" si="55"/>
        <v>743.59294134580068</v>
      </c>
      <c r="S68" s="62">
        <f ca="1">AVERAGE(OFFSET($R$3,0,0,'Données projet'!$E$9+1,1))-AVERAGE(OFFSET($H$3,0,0,'Données projet'!$E$9+1,1))</f>
        <v>371.95849973474657</v>
      </c>
      <c r="T68" s="62">
        <f t="shared" si="34"/>
        <v>233.32640143610547</v>
      </c>
      <c r="U68" s="16">
        <f>IF(ISNA(VLOOKUP(A68,'Données projet'!$A$35:$I$55,3,0)),0,VLOOKUP(A68,'Données projet'!$A$35:$I$55,3,0))</f>
        <v>9</v>
      </c>
      <c r="V68" s="16">
        <f>IF(ISNA(VLOOKUP(A68,'Données projet'!$A$35:$I$55,4,0)),0,VLOOKUP(A68,'Données projet'!$A$35:$I$55,4,0))</f>
        <v>21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8.6666666666666661</v>
      </c>
      <c r="AI68" s="14">
        <f>IF('Données projet'!$A$62&gt;35,AI67+AH68-AQ67,IF(A68&lt;'Données projet'!$A$62,$AF$205^A68,IF(A68='Données projet'!$A$62,'Données projet'!$B$62,AI67+AH68-AQ67)))</f>
        <v>293.33333333333331</v>
      </c>
      <c r="AJ68" s="14">
        <f>AI68*VLOOKUP('Données projet'!$B$10,Paramètres!$A$1:$I$89,3,0)*VLOOKUP('Données projet'!$B$10,Paramètres!$A$1:$I$89,5,0)</f>
        <v>228.79999999999998</v>
      </c>
      <c r="AK68" s="14">
        <f t="shared" si="35"/>
        <v>56.023134533701196</v>
      </c>
      <c r="AL68" s="22">
        <f t="shared" ref="AL68:AL131" si="58">(AJ68+AK68)*0.475*44/12</f>
        <v>496.06695931286293</v>
      </c>
      <c r="AM68" s="62">
        <f t="shared" ref="AM68:AM131" si="59">AL68+(AD68+AE68)*44/12</f>
        <v>789.40029264619625</v>
      </c>
      <c r="AN68" s="62">
        <f ca="1">AVERAGE(OFFSET($AM$3,0,0,'Données projet'!$E$10+1,1))-AVERAGE(OFFSET($H$3,0,0,'Données projet'!$E$10+1,1))</f>
        <v>288.82868507674738</v>
      </c>
      <c r="AO68" s="62">
        <f t="shared" si="36"/>
        <v>283.48738729114024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0.65787377944258241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0.65787377944258241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214.80000000000004</v>
      </c>
      <c r="O69" s="14">
        <f>N69*VLOOKUP('Données projet'!$B$9,Paramètres!$A$1:$I$89,3,0)*VLOOKUP('Données projet'!$B$9,Paramètres!$A$1:$I$89,5,0)</f>
        <v>194.35104000000004</v>
      </c>
      <c r="P69" s="14">
        <f t="shared" ref="P69:P132" si="87">EXP(-1.0587+0.8836*LN(O69)+0.284)</f>
        <v>48.500634729810159</v>
      </c>
      <c r="Q69" s="22">
        <f t="shared" si="54"/>
        <v>422.96666682108616</v>
      </c>
      <c r="R69" s="62">
        <f t="shared" si="55"/>
        <v>716.30000015441942</v>
      </c>
      <c r="S69" s="62">
        <f ca="1">AVERAGE(OFFSET($R$3,0,0,'Données projet'!$E$9+1,1))-AVERAGE(OFFSET($H$3,0,0,'Données projet'!$E$9+1,1))</f>
        <v>371.95849973474657</v>
      </c>
      <c r="T69" s="62">
        <f t="shared" ref="T69:T132" si="88">$T$3</f>
        <v>233.32640143610547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8.6666666666666661</v>
      </c>
      <c r="AI69" s="14">
        <f>IF('Données projet'!$A$62&gt;35,AI68+AH69-AQ68,IF(A69&lt;'Données projet'!$A$62,$AF$205^A69,IF(A69='Données projet'!$A$62,'Données projet'!$B$62,AI68+AH69-AQ68)))</f>
        <v>302</v>
      </c>
      <c r="AJ69" s="14">
        <f>AI69*VLOOKUP('Données projet'!$B$10,Paramètres!$A$1:$I$89,3,0)*VLOOKUP('Données projet'!$B$10,Paramètres!$A$1:$I$89,5,0)</f>
        <v>235.56</v>
      </c>
      <c r="AK69" s="14">
        <f t="shared" ref="AK69:AK132" si="89">EXP(-1.0587+0.8836*LN(AJ69)+0.284)</f>
        <v>57.483207143847721</v>
      </c>
      <c r="AL69" s="22">
        <f t="shared" si="58"/>
        <v>510.38358577553481</v>
      </c>
      <c r="AM69" s="62">
        <f t="shared" si="59"/>
        <v>803.71691910886807</v>
      </c>
      <c r="AN69" s="62">
        <f ca="1">AVERAGE(OFFSET($AM$3,0,0,'Données projet'!$E$10+1,1))-AVERAGE(OFFSET($H$3,0,0,'Données projet'!$E$10+1,1))</f>
        <v>288.82868507674738</v>
      </c>
      <c r="AO69" s="62">
        <f t="shared" ref="AO69:AO132" si="90">$AO$3</f>
        <v>283.48738729114024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0.63988418634764654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0.63988418634764654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221.60000000000005</v>
      </c>
      <c r="O70" s="14">
        <f>N70*VLOOKUP('Données projet'!$B$9,Paramètres!$A$1:$I$89,3,0)*VLOOKUP('Données projet'!$B$9,Paramètres!$A$1:$I$89,5,0)</f>
        <v>200.50368000000003</v>
      </c>
      <c r="P70" s="14">
        <f t="shared" si="87"/>
        <v>49.854845135229887</v>
      </c>
      <c r="Q70" s="22">
        <f t="shared" si="54"/>
        <v>436.04109794385869</v>
      </c>
      <c r="R70" s="62">
        <f t="shared" si="55"/>
        <v>729.374431277192</v>
      </c>
      <c r="S70" s="62">
        <f ca="1">AVERAGE(OFFSET($R$3,0,0,'Données projet'!$E$9+1,1))-AVERAGE(OFFSET($H$3,0,0,'Données projet'!$E$9+1,1))</f>
        <v>371.95849973474657</v>
      </c>
      <c r="T70" s="62">
        <f t="shared" si="88"/>
        <v>233.32640143610547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8.6666666666666661</v>
      </c>
      <c r="AI70" s="14">
        <f>IF('Données projet'!$A$62&gt;35,AI69+AH70-AQ69,IF(A70&lt;'Données projet'!$A$62,$AF$205^A70,IF(A70='Données projet'!$A$62,'Données projet'!$B$62,AI69+AH70-AQ69)))</f>
        <v>310.66666666666669</v>
      </c>
      <c r="AJ70" s="14">
        <f>AI70*VLOOKUP('Données projet'!$B$10,Paramètres!$A$1:$I$89,3,0)*VLOOKUP('Données projet'!$B$10,Paramètres!$A$1:$I$89,5,0)</f>
        <v>242.32000000000002</v>
      </c>
      <c r="AK70" s="14">
        <f t="shared" si="89"/>
        <v>58.938409961900859</v>
      </c>
      <c r="AL70" s="22">
        <f t="shared" si="58"/>
        <v>524.69173068364398</v>
      </c>
      <c r="AM70" s="62">
        <f t="shared" si="59"/>
        <v>818.02506401697724</v>
      </c>
      <c r="AN70" s="62">
        <f ca="1">AVERAGE(OFFSET($AM$3,0,0,'Données projet'!$E$10+1,1))-AVERAGE(OFFSET($H$3,0,0,'Données projet'!$E$10+1,1))</f>
        <v>288.82868507674738</v>
      </c>
      <c r="AO70" s="62">
        <f t="shared" si="90"/>
        <v>283.48738729114024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0.62238651962192326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0.62238651962192326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228.40000000000006</v>
      </c>
      <c r="O71" s="14">
        <f>N71*VLOOKUP('Données projet'!$B$9,Paramètres!$A$1:$I$89,3,0)*VLOOKUP('Données projet'!$B$9,Paramètres!$A$1:$I$89,5,0)</f>
        <v>206.65632000000005</v>
      </c>
      <c r="P71" s="14">
        <f t="shared" si="87"/>
        <v>51.20422634371338</v>
      </c>
      <c r="Q71" s="22">
        <f t="shared" si="54"/>
        <v>449.10711821530089</v>
      </c>
      <c r="R71" s="62">
        <f t="shared" si="55"/>
        <v>742.4404515486342</v>
      </c>
      <c r="S71" s="62">
        <f ca="1">AVERAGE(OFFSET($R$3,0,0,'Données projet'!$E$9+1,1))-AVERAGE(OFFSET($H$3,0,0,'Données projet'!$E$9+1,1))</f>
        <v>371.95849973474657</v>
      </c>
      <c r="T71" s="62">
        <f t="shared" si="88"/>
        <v>233.32640143610547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8.6666666666666661</v>
      </c>
      <c r="AI71" s="14">
        <f>IF('Données projet'!$A$62&gt;35,AI70+AH71-AQ70,IF(A71&lt;'Données projet'!$A$62,$AF$205^A71,IF(A71='Données projet'!$A$62,'Données projet'!$B$62,AI70+AH71-AQ70)))</f>
        <v>319.33333333333337</v>
      </c>
      <c r="AJ71" s="14">
        <f>AI71*VLOOKUP('Données projet'!$B$10,Paramètres!$A$1:$I$89,3,0)*VLOOKUP('Données projet'!$B$10,Paramètres!$A$1:$I$89,5,0)</f>
        <v>249.08000000000004</v>
      </c>
      <c r="AK71" s="14">
        <f t="shared" si="89"/>
        <v>60.388894447487807</v>
      </c>
      <c r="AL71" s="22">
        <f t="shared" si="58"/>
        <v>538.99165782937473</v>
      </c>
      <c r="AM71" s="62">
        <f t="shared" si="59"/>
        <v>832.3249911627081</v>
      </c>
      <c r="AN71" s="62">
        <f ca="1">AVERAGE(OFFSET($AM$3,0,0,'Données projet'!$E$10+1,1))-AVERAGE(OFFSET($H$3,0,0,'Données projet'!$E$10+1,1))</f>
        <v>288.82868507674738</v>
      </c>
      <c r="AO71" s="62">
        <f t="shared" si="90"/>
        <v>283.48738729114024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0.60536732751297717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0.60536732751297717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235.20000000000007</v>
      </c>
      <c r="O72" s="14">
        <f>N72*VLOOKUP('Données projet'!$B$9,Paramètres!$A$1:$I$89,3,0)*VLOOKUP('Données projet'!$B$9,Paramètres!$A$1:$I$89,5,0)</f>
        <v>212.80896000000004</v>
      </c>
      <c r="P72" s="14">
        <f t="shared" si="87"/>
        <v>52.54893863748589</v>
      </c>
      <c r="Q72" s="22">
        <f t="shared" si="54"/>
        <v>462.16500679362139</v>
      </c>
      <c r="R72" s="62">
        <f t="shared" si="55"/>
        <v>755.49834012695464</v>
      </c>
      <c r="S72" s="62">
        <f ca="1">AVERAGE(OFFSET($R$3,0,0,'Données projet'!$E$9+1,1))-AVERAGE(OFFSET($H$3,0,0,'Données projet'!$E$9+1,1))</f>
        <v>371.95849973474657</v>
      </c>
      <c r="T72" s="62">
        <f t="shared" si="88"/>
        <v>233.32640143610547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>
        <f>VLOOKUP(A72,'Données projet'!$A$61:$I$81,2,0)</f>
        <v>328</v>
      </c>
      <c r="AG72" s="13">
        <f>VLOOKUP(A72,'Données projet'!$A$61:$I$81,9,0)</f>
        <v>8.6666666666666661</v>
      </c>
      <c r="AH72" s="13">
        <f t="array" ref="AH72">INDEX(AG:AG,MIN(IF(ISNUMBER(AG72:AG268),ROW(AG72:AG268),"")))</f>
        <v>8.6666666666666661</v>
      </c>
      <c r="AI72" s="14">
        <f>IF('Données projet'!$A$62&gt;35,AI71+AH72-AQ71,IF(A72&lt;'Données projet'!$A$62,$AF$205^A72,IF(A72='Données projet'!$A$62,'Données projet'!$B$62,AI71+AH72-AQ71)))</f>
        <v>328.00000000000006</v>
      </c>
      <c r="AJ72" s="14">
        <f>AI72*VLOOKUP('Données projet'!$B$10,Paramètres!$A$1:$I$89,3,0)*VLOOKUP('Données projet'!$B$10,Paramètres!$A$1:$I$89,5,0)</f>
        <v>255.84000000000006</v>
      </c>
      <c r="AK72" s="14">
        <f t="shared" si="89"/>
        <v>61.834803371075836</v>
      </c>
      <c r="AL72" s="22">
        <f t="shared" si="58"/>
        <v>553.28361587129041</v>
      </c>
      <c r="AM72" s="62">
        <f t="shared" si="59"/>
        <v>846.61694920462378</v>
      </c>
      <c r="AN72" s="62">
        <f ca="1">AVERAGE(OFFSET($AM$3,0,0,'Données projet'!$E$10+1,1))-AVERAGE(OFFSET($H$3,0,0,'Données projet'!$E$10+1,1))</f>
        <v>288.82868507674738</v>
      </c>
      <c r="AO72" s="62">
        <f t="shared" si="90"/>
        <v>283.48738729114024</v>
      </c>
      <c r="AP72" s="16">
        <f>IF(ISNA(VLOOKUP(A72,'Données projet'!$A$61:$I$81,3,0)),0,VLOOKUP(A72,'Données projet'!$A$61:$I$81,3,0))</f>
        <v>9</v>
      </c>
      <c r="AQ72" s="16">
        <f>IF(ISNA(VLOOKUP(A72,'Données projet'!$A$61:$I$81,4,0)),0,VLOOKUP(A72,'Données projet'!$A$61:$I$81,4,0))</f>
        <v>328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0.58881352610725068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0.58881352610725068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242.00000000000009</v>
      </c>
      <c r="O73" s="14">
        <f>N73*VLOOKUP('Données projet'!$B$9,Paramètres!$A$1:$I$89,3,0)*VLOOKUP('Données projet'!$B$9,Paramètres!$A$1:$I$89,5,0)</f>
        <v>218.96160000000006</v>
      </c>
      <c r="P73" s="14">
        <f t="shared" si="87"/>
        <v>53.88913250370743</v>
      </c>
      <c r="Q73" s="22">
        <f t="shared" si="54"/>
        <v>475.21502577729046</v>
      </c>
      <c r="R73" s="62">
        <f t="shared" si="55"/>
        <v>768.54835911062378</v>
      </c>
      <c r="S73" s="62">
        <f ca="1">AVERAGE(OFFSET($R$3,0,0,'Données projet'!$E$9+1,1))-AVERAGE(OFFSET($H$3,0,0,'Données projet'!$E$9+1,1))</f>
        <v>371.95849973474657</v>
      </c>
      <c r="T73" s="62">
        <f t="shared" si="88"/>
        <v>233.32640143610547</v>
      </c>
      <c r="U73" s="16">
        <f>IF(ISNA(VLOOKUP(A73,'Données projet'!$A$35:$I$55,3,0)),0,VLOOKUP(A73,'Données projet'!$A$35:$I$55,3,0))</f>
        <v>10</v>
      </c>
      <c r="V73" s="16">
        <f>IF(ISNA(VLOOKUP(A73,'Données projet'!$A$35:$I$55,4,0)),0,VLOOKUP(A73,'Données projet'!$A$35:$I$55,4,0))</f>
        <v>21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5.6843418860808015E-14</v>
      </c>
      <c r="AJ73" s="14">
        <f>AI73*VLOOKUP('Données projet'!$B$10,Paramètres!$A$1:$I$89,3,0)*VLOOKUP('Données projet'!$B$10,Paramètres!$A$1:$I$89,5,0)</f>
        <v>4.4337866711430253E-14</v>
      </c>
      <c r="AK73" s="14">
        <f t="shared" si="89"/>
        <v>7.3222115536967035E-13</v>
      </c>
      <c r="AL73" s="22">
        <f t="shared" si="58"/>
        <v>1.3525069634579169E-12</v>
      </c>
      <c r="AM73" s="62">
        <f t="shared" si="59"/>
        <v>293.33333333333468</v>
      </c>
      <c r="AN73" s="62">
        <f ca="1">AVERAGE(OFFSET($AM$3,0,0,'Données projet'!$E$10+1,1))-AVERAGE(OFFSET($H$3,0,0,'Données projet'!$E$10+1,1))</f>
        <v>288.82868507674738</v>
      </c>
      <c r="AO73" s="62">
        <f t="shared" si="90"/>
        <v>283.48738729114024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0.57271238927149037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0.57271238927149037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6.4</v>
      </c>
      <c r="N74" s="14">
        <f>IF('Données projet'!$A$36&gt;35,N73+M74-V73,IF(A74&lt;'Données projet'!$A$36,$K$205^A74,IF(A74='Données projet'!$A$36,'Données projet'!$B$36,N73+M74-V73)))</f>
        <v>227.40000000000009</v>
      </c>
      <c r="O74" s="14">
        <f>N74*VLOOKUP('Données projet'!$B$9,Paramètres!$A$1:$I$89,3,0)*VLOOKUP('Données projet'!$B$9,Paramètres!$A$1:$I$89,5,0)</f>
        <v>205.75152000000008</v>
      </c>
      <c r="P74" s="14">
        <f t="shared" si="87"/>
        <v>51.006084477955554</v>
      </c>
      <c r="Q74" s="22">
        <f t="shared" si="54"/>
        <v>447.18616113243934</v>
      </c>
      <c r="R74" s="62">
        <f t="shared" si="55"/>
        <v>740.5194944657726</v>
      </c>
      <c r="S74" s="62">
        <f ca="1">AVERAGE(OFFSET($R$3,0,0,'Données projet'!$E$9+1,1))-AVERAGE(OFFSET($H$3,0,0,'Données projet'!$E$9+1,1))</f>
        <v>371.95849973474657</v>
      </c>
      <c r="T74" s="62">
        <f t="shared" si="88"/>
        <v>233.32640143610547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5.6843418860808015E-14</v>
      </c>
      <c r="AJ74" s="14">
        <f>AI74*VLOOKUP('Données projet'!$B$10,Paramètres!$A$1:$I$89,3,0)*VLOOKUP('Données projet'!$B$10,Paramètres!$A$1:$I$89,5,0)</f>
        <v>4.4337866711430253E-14</v>
      </c>
      <c r="AK74" s="14">
        <f t="shared" si="89"/>
        <v>7.3222115536967035E-13</v>
      </c>
      <c r="AL74" s="22">
        <f t="shared" si="58"/>
        <v>1.3525069634579169E-12</v>
      </c>
      <c r="AM74" s="62">
        <f t="shared" si="59"/>
        <v>293.33333333333468</v>
      </c>
      <c r="AN74" s="62">
        <f ca="1">AVERAGE(OFFSET($AM$3,0,0,'Données projet'!$E$10+1,1))-AVERAGE(OFFSET($H$3,0,0,'Données projet'!$E$10+1,1))</f>
        <v>288.82868507674738</v>
      </c>
      <c r="AO74" s="62">
        <f t="shared" si="90"/>
        <v>283.48738729114024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0.55705153886922587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0.55705153886922587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6.4</v>
      </c>
      <c r="N75" s="14">
        <f>IF('Données projet'!$A$36&gt;35,N74+M75-V74,IF(A75&lt;'Données projet'!$A$36,$K$205^A75,IF(A75='Données projet'!$A$36,'Données projet'!$B$36,N74+M75-V74)))</f>
        <v>233.8000000000001</v>
      </c>
      <c r="O75" s="14">
        <f>N75*VLOOKUP('Données projet'!$B$9,Paramètres!$A$1:$I$89,3,0)*VLOOKUP('Données projet'!$B$9,Paramètres!$A$1:$I$89,5,0)</f>
        <v>211.54224000000008</v>
      </c>
      <c r="P75" s="14">
        <f t="shared" si="87"/>
        <v>52.272460284041784</v>
      </c>
      <c r="Q75" s="22">
        <f t="shared" si="54"/>
        <v>459.47726966137287</v>
      </c>
      <c r="R75" s="62">
        <f t="shared" si="55"/>
        <v>752.81060299470619</v>
      </c>
      <c r="S75" s="62">
        <f ca="1">AVERAGE(OFFSET($R$3,0,0,'Données projet'!$E$9+1,1))-AVERAGE(OFFSET($H$3,0,0,'Données projet'!$E$9+1,1))</f>
        <v>371.95849973474657</v>
      </c>
      <c r="T75" s="62">
        <f t="shared" si="88"/>
        <v>233.32640143610547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5.6843418860808015E-14</v>
      </c>
      <c r="AJ75" s="14">
        <f>AI75*VLOOKUP('Données projet'!$B$10,Paramètres!$A$1:$I$89,3,0)*VLOOKUP('Données projet'!$B$10,Paramètres!$A$1:$I$89,5,0)</f>
        <v>4.4337866711430253E-14</v>
      </c>
      <c r="AK75" s="14">
        <f t="shared" si="89"/>
        <v>7.3222115536967035E-13</v>
      </c>
      <c r="AL75" s="22">
        <f t="shared" si="58"/>
        <v>1.3525069634579169E-12</v>
      </c>
      <c r="AM75" s="62">
        <f t="shared" si="59"/>
        <v>293.33333333333468</v>
      </c>
      <c r="AN75" s="62">
        <f ca="1">AVERAGE(OFFSET($AM$3,0,0,'Données projet'!$E$10+1,1))-AVERAGE(OFFSET($H$3,0,0,'Données projet'!$E$10+1,1))</f>
        <v>288.82868507674738</v>
      </c>
      <c r="AO75" s="62">
        <f t="shared" si="90"/>
        <v>283.48738729114024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0.54181893524477964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0.54181893524477964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6.4</v>
      </c>
      <c r="N76" s="14">
        <f>IF('Données projet'!$A$36&gt;35,N75+M76-V75,IF(A76&lt;'Données projet'!$A$36,$K$205^A76,IF(A76='Données projet'!$A$36,'Données projet'!$B$36,N75+M76-V75)))</f>
        <v>240.2000000000001</v>
      </c>
      <c r="O76" s="14">
        <f>N76*VLOOKUP('Données projet'!$B$9,Paramètres!$A$1:$I$89,3,0)*VLOOKUP('Données projet'!$B$9,Paramètres!$A$1:$I$89,5,0)</f>
        <v>217.3329600000001</v>
      </c>
      <c r="P76" s="14">
        <f t="shared" si="87"/>
        <v>53.53480691026855</v>
      </c>
      <c r="Q76" s="22">
        <f t="shared" si="54"/>
        <v>471.76136070205121</v>
      </c>
      <c r="R76" s="62">
        <f t="shared" si="55"/>
        <v>765.09469403538446</v>
      </c>
      <c r="S76" s="62">
        <f ca="1">AVERAGE(OFFSET($R$3,0,0,'Données projet'!$E$9+1,1))-AVERAGE(OFFSET($H$3,0,0,'Données projet'!$E$9+1,1))</f>
        <v>371.95849973474657</v>
      </c>
      <c r="T76" s="62">
        <f t="shared" si="88"/>
        <v>233.32640143610547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5.6843418860808015E-14</v>
      </c>
      <c r="AJ76" s="14">
        <f>AI76*VLOOKUP('Données projet'!$B$10,Paramètres!$A$1:$I$89,3,0)*VLOOKUP('Données projet'!$B$10,Paramètres!$A$1:$I$89,5,0)</f>
        <v>4.4337866711430253E-14</v>
      </c>
      <c r="AK76" s="14">
        <f t="shared" si="89"/>
        <v>7.3222115536967035E-13</v>
      </c>
      <c r="AL76" s="22">
        <f t="shared" si="58"/>
        <v>1.3525069634579169E-12</v>
      </c>
      <c r="AM76" s="62">
        <f t="shared" si="59"/>
        <v>293.33333333333468</v>
      </c>
      <c r="AN76" s="62">
        <f ca="1">AVERAGE(OFFSET($AM$3,0,0,'Données projet'!$E$10+1,1))-AVERAGE(OFFSET($H$3,0,0,'Données projet'!$E$10+1,1))</f>
        <v>288.82868507674738</v>
      </c>
      <c r="AO76" s="62">
        <f t="shared" si="90"/>
        <v>283.48738729114024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0.52700286796749163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0.52700286796749163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6.4</v>
      </c>
      <c r="N77" s="14">
        <f>IF('Données projet'!$A$36&gt;35,N76+M77-V76,IF(A77&lt;'Données projet'!$A$36,$K$205^A77,IF(A77='Données projet'!$A$36,'Données projet'!$B$36,N76+M77-V76)))</f>
        <v>246.60000000000011</v>
      </c>
      <c r="O77" s="14">
        <f>N77*VLOOKUP('Données projet'!$B$9,Paramètres!$A$1:$I$89,3,0)*VLOOKUP('Données projet'!$B$9,Paramètres!$A$1:$I$89,5,0)</f>
        <v>223.12368000000009</v>
      </c>
      <c r="P77" s="14">
        <f t="shared" si="87"/>
        <v>54.793244051140647</v>
      </c>
      <c r="Q77" s="22">
        <f t="shared" si="54"/>
        <v>484.03864272240349</v>
      </c>
      <c r="R77" s="62">
        <f t="shared" si="55"/>
        <v>777.37197605573681</v>
      </c>
      <c r="S77" s="62">
        <f ca="1">AVERAGE(OFFSET($R$3,0,0,'Données projet'!$E$9+1,1))-AVERAGE(OFFSET($H$3,0,0,'Données projet'!$E$9+1,1))</f>
        <v>371.95849973474657</v>
      </c>
      <c r="T77" s="62">
        <f t="shared" si="88"/>
        <v>233.32640143610547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5.6843418860808015E-14</v>
      </c>
      <c r="AJ77" s="14">
        <f>AI77*VLOOKUP('Données projet'!$B$10,Paramètres!$A$1:$I$89,3,0)*VLOOKUP('Données projet'!$B$10,Paramètres!$A$1:$I$89,5,0)</f>
        <v>4.4337866711430253E-14</v>
      </c>
      <c r="AK77" s="14">
        <f t="shared" si="89"/>
        <v>7.3222115536967035E-13</v>
      </c>
      <c r="AL77" s="22">
        <f t="shared" si="58"/>
        <v>1.3525069634579169E-12</v>
      </c>
      <c r="AM77" s="62">
        <f t="shared" si="59"/>
        <v>293.33333333333468</v>
      </c>
      <c r="AN77" s="62">
        <f ca="1">AVERAGE(OFFSET($AM$3,0,0,'Données projet'!$E$10+1,1))-AVERAGE(OFFSET($H$3,0,0,'Données projet'!$E$10+1,1))</f>
        <v>288.82868507674738</v>
      </c>
      <c r="AO77" s="62">
        <f t="shared" si="90"/>
        <v>283.48738729114024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0.51259194682904419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0.51259194682904419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253</v>
      </c>
      <c r="L78" s="13">
        <f>VLOOKUP(A78,'Données projet'!$A$35:$I$55,9,0)</f>
        <v>6.4</v>
      </c>
      <c r="M78" s="13">
        <f t="array" ref="M78">INDEX(L:L,MIN(IF(ISNUMBER(L78:L274),ROW(L78:L274),"")))</f>
        <v>6.4</v>
      </c>
      <c r="N78" s="14">
        <f>IF('Données projet'!$A$36&gt;35,N77+M78-V77,IF(A78&lt;'Données projet'!$A$36,$K$205^A78,IF(A78='Données projet'!$A$36,'Données projet'!$B$36,N77+M78-V77)))</f>
        <v>253.00000000000011</v>
      </c>
      <c r="O78" s="14">
        <f>N78*VLOOKUP('Données projet'!$B$9,Paramètres!$A$1:$I$89,3,0)*VLOOKUP('Données projet'!$B$9,Paramètres!$A$1:$I$89,5,0)</f>
        <v>228.91440000000011</v>
      </c>
      <c r="P78" s="14">
        <f t="shared" si="87"/>
        <v>56.047884834417474</v>
      </c>
      <c r="Q78" s="22">
        <f t="shared" si="54"/>
        <v>496.30931275327725</v>
      </c>
      <c r="R78" s="62">
        <f t="shared" si="55"/>
        <v>789.64264608661051</v>
      </c>
      <c r="S78" s="62">
        <f ca="1">AVERAGE(OFFSET($R$3,0,0,'Données projet'!$E$9+1,1))-AVERAGE(OFFSET($H$3,0,0,'Données projet'!$E$9+1,1))</f>
        <v>371.95849973474657</v>
      </c>
      <c r="T78" s="62">
        <f t="shared" si="88"/>
        <v>233.32640143610547</v>
      </c>
      <c r="U78" s="16">
        <f>IF(ISNA(VLOOKUP(A78,'Données projet'!$A$35:$I$55,3,0)),0,VLOOKUP(A78,'Données projet'!$A$35:$I$55,3,0))</f>
        <v>11</v>
      </c>
      <c r="V78" s="16">
        <f>IF(ISNA(VLOOKUP(A78,'Données projet'!$A$35:$I$55,4,0)),0,VLOOKUP(A78,'Données projet'!$A$35:$I$55,4,0))</f>
        <v>21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5.6843418860808015E-14</v>
      </c>
      <c r="AJ78" s="14">
        <f>AI78*VLOOKUP('Données projet'!$B$10,Paramètres!$A$1:$I$89,3,0)*VLOOKUP('Données projet'!$B$10,Paramètres!$A$1:$I$89,5,0)</f>
        <v>4.4337866711430253E-14</v>
      </c>
      <c r="AK78" s="14">
        <f t="shared" si="89"/>
        <v>7.3222115536967035E-13</v>
      </c>
      <c r="AL78" s="22">
        <f t="shared" si="58"/>
        <v>1.3525069634579169E-12</v>
      </c>
      <c r="AM78" s="62">
        <f t="shared" si="59"/>
        <v>293.33333333333468</v>
      </c>
      <c r="AN78" s="62">
        <f ca="1">AVERAGE(OFFSET($AM$3,0,0,'Données projet'!$E$10+1,1))-AVERAGE(OFFSET($H$3,0,0,'Données projet'!$E$10+1,1))</f>
        <v>288.82868507674738</v>
      </c>
      <c r="AO78" s="62">
        <f t="shared" si="90"/>
        <v>283.48738729114024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0.49857509308696502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0.49857509308696502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238.00000000000011</v>
      </c>
      <c r="O79" s="14">
        <f>N79*VLOOKUP('Données projet'!$B$9,Paramètres!$A$1:$I$89,3,0)*VLOOKUP('Données projet'!$B$9,Paramètres!$A$1:$I$89,5,0)</f>
        <v>215.34240000000008</v>
      </c>
      <c r="P79" s="14">
        <f t="shared" si="87"/>
        <v>53.101322124397257</v>
      </c>
      <c r="Q79" s="22">
        <f t="shared" si="54"/>
        <v>467.53948269999205</v>
      </c>
      <c r="R79" s="62">
        <f t="shared" si="55"/>
        <v>760.87281603332531</v>
      </c>
      <c r="S79" s="62">
        <f ca="1">AVERAGE(OFFSET($R$3,0,0,'Données projet'!$E$9+1,1))-AVERAGE(OFFSET($H$3,0,0,'Données projet'!$E$9+1,1))</f>
        <v>371.95849973474657</v>
      </c>
      <c r="T79" s="62">
        <f t="shared" si="88"/>
        <v>233.32640143610547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5.6843418860808015E-14</v>
      </c>
      <c r="AJ79" s="14">
        <f>AI79*VLOOKUP('Données projet'!$B$10,Paramètres!$A$1:$I$89,3,0)*VLOOKUP('Données projet'!$B$10,Paramètres!$A$1:$I$89,5,0)</f>
        <v>4.4337866711430253E-14</v>
      </c>
      <c r="AK79" s="14">
        <f t="shared" si="89"/>
        <v>7.3222115536967035E-13</v>
      </c>
      <c r="AL79" s="22">
        <f t="shared" si="58"/>
        <v>1.3525069634579169E-12</v>
      </c>
      <c r="AM79" s="62">
        <f t="shared" si="59"/>
        <v>293.33333333333468</v>
      </c>
      <c r="AN79" s="62">
        <f ca="1">AVERAGE(OFFSET($AM$3,0,0,'Données projet'!$E$10+1,1))-AVERAGE(OFFSET($H$3,0,0,'Données projet'!$E$10+1,1))</f>
        <v>288.82868507674738</v>
      </c>
      <c r="AO79" s="62">
        <f t="shared" si="90"/>
        <v>283.48738729114024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0.4849415309475773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0.4849415309475773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244.00000000000011</v>
      </c>
      <c r="O80" s="14">
        <f>N80*VLOOKUP('Données projet'!$B$9,Paramètres!$A$1:$I$89,3,0)*VLOOKUP('Données projet'!$B$9,Paramètres!$A$1:$I$89,5,0)</f>
        <v>220.77120000000011</v>
      </c>
      <c r="P80" s="14">
        <f t="shared" si="87"/>
        <v>54.28246807807983</v>
      </c>
      <c r="Q80" s="22">
        <f t="shared" si="54"/>
        <v>479.05180523598909</v>
      </c>
      <c r="R80" s="62">
        <f t="shared" si="55"/>
        <v>772.38513856932241</v>
      </c>
      <c r="S80" s="62">
        <f ca="1">AVERAGE(OFFSET($R$3,0,0,'Données projet'!$E$9+1,1))-AVERAGE(OFFSET($H$3,0,0,'Données projet'!$E$9+1,1))</f>
        <v>371.95849973474657</v>
      </c>
      <c r="T80" s="62">
        <f t="shared" si="88"/>
        <v>233.32640143610547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5.6843418860808015E-14</v>
      </c>
      <c r="AJ80" s="14">
        <f>AI80*VLOOKUP('Données projet'!$B$10,Paramètres!$A$1:$I$89,3,0)*VLOOKUP('Données projet'!$B$10,Paramètres!$A$1:$I$89,5,0)</f>
        <v>4.4337866711430253E-14</v>
      </c>
      <c r="AK80" s="14">
        <f t="shared" si="89"/>
        <v>7.3222115536967035E-13</v>
      </c>
      <c r="AL80" s="22">
        <f t="shared" si="58"/>
        <v>1.3525069634579169E-12</v>
      </c>
      <c r="AM80" s="62">
        <f t="shared" si="59"/>
        <v>293.33333333333468</v>
      </c>
      <c r="AN80" s="62">
        <f ca="1">AVERAGE(OFFSET($AM$3,0,0,'Données projet'!$E$10+1,1))-AVERAGE(OFFSET($H$3,0,0,'Données projet'!$E$10+1,1))</f>
        <v>288.82868507674738</v>
      </c>
      <c r="AO80" s="62">
        <f t="shared" si="90"/>
        <v>283.48738729114024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0.47168077928184904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0.47168077928184904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250.00000000000011</v>
      </c>
      <c r="O81" s="14">
        <f>N81*VLOOKUP('Données projet'!$B$9,Paramètres!$A$1:$I$89,3,0)*VLOOKUP('Données projet'!$B$9,Paramètres!$A$1:$I$89,5,0)</f>
        <v>226.2000000000001</v>
      </c>
      <c r="P81" s="14">
        <f t="shared" si="87"/>
        <v>55.460237717698156</v>
      </c>
      <c r="Q81" s="22">
        <f t="shared" si="54"/>
        <v>490.55824735832448</v>
      </c>
      <c r="R81" s="62">
        <f t="shared" si="55"/>
        <v>783.89158069165774</v>
      </c>
      <c r="S81" s="62">
        <f ca="1">AVERAGE(OFFSET($R$3,0,0,'Données projet'!$E$9+1,1))-AVERAGE(OFFSET($H$3,0,0,'Données projet'!$E$9+1,1))</f>
        <v>371.95849973474657</v>
      </c>
      <c r="T81" s="62">
        <f t="shared" si="88"/>
        <v>233.32640143610547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5.6843418860808015E-14</v>
      </c>
      <c r="AJ81" s="14">
        <f>AI81*VLOOKUP('Données projet'!$B$10,Paramètres!$A$1:$I$89,3,0)*VLOOKUP('Données projet'!$B$10,Paramètres!$A$1:$I$89,5,0)</f>
        <v>4.4337866711430253E-14</v>
      </c>
      <c r="AK81" s="14">
        <f t="shared" si="89"/>
        <v>7.3222115536967035E-13</v>
      </c>
      <c r="AL81" s="22">
        <f t="shared" si="58"/>
        <v>1.3525069634579169E-12</v>
      </c>
      <c r="AM81" s="62">
        <f t="shared" si="59"/>
        <v>293.33333333333468</v>
      </c>
      <c r="AN81" s="62">
        <f ca="1">AVERAGE(OFFSET($AM$3,0,0,'Données projet'!$E$10+1,1))-AVERAGE(OFFSET($H$3,0,0,'Données projet'!$E$10+1,1))</f>
        <v>288.82868507674738</v>
      </c>
      <c r="AO81" s="62">
        <f t="shared" si="90"/>
        <v>283.48738729114024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0.45878264356777271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0.45878264356777271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256.00000000000011</v>
      </c>
      <c r="O82" s="14">
        <f>N82*VLOOKUP('Données projet'!$B$9,Paramètres!$A$1:$I$89,3,0)*VLOOKUP('Données projet'!$B$9,Paramètres!$A$1:$I$89,5,0)</f>
        <v>231.62880000000007</v>
      </c>
      <c r="P82" s="14">
        <f t="shared" si="87"/>
        <v>56.63472139815827</v>
      </c>
      <c r="Q82" s="22">
        <f t="shared" si="54"/>
        <v>502.05896643512574</v>
      </c>
      <c r="R82" s="62">
        <f t="shared" si="55"/>
        <v>795.392299768459</v>
      </c>
      <c r="S82" s="62">
        <f ca="1">AVERAGE(OFFSET($R$3,0,0,'Données projet'!$E$9+1,1))-AVERAGE(OFFSET($H$3,0,0,'Données projet'!$E$9+1,1))</f>
        <v>371.95849973474657</v>
      </c>
      <c r="T82" s="62">
        <f t="shared" si="88"/>
        <v>233.32640143610547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5.6843418860808015E-14</v>
      </c>
      <c r="AJ82" s="14">
        <f>AI82*VLOOKUP('Données projet'!$B$10,Paramètres!$A$1:$I$89,3,0)*VLOOKUP('Données projet'!$B$10,Paramètres!$A$1:$I$89,5,0)</f>
        <v>4.4337866711430253E-14</v>
      </c>
      <c r="AK82" s="14">
        <f t="shared" si="89"/>
        <v>7.3222115536967035E-13</v>
      </c>
      <c r="AL82" s="22">
        <f t="shared" si="58"/>
        <v>1.3525069634579169E-12</v>
      </c>
      <c r="AM82" s="62">
        <f t="shared" si="59"/>
        <v>293.33333333333468</v>
      </c>
      <c r="AN82" s="62">
        <f ca="1">AVERAGE(OFFSET($AM$3,0,0,'Données projet'!$E$10+1,1))-AVERAGE(OFFSET($H$3,0,0,'Données projet'!$E$10+1,1))</f>
        <v>288.82868507674738</v>
      </c>
      <c r="AO82" s="62">
        <f t="shared" si="90"/>
        <v>283.48738729114024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0.44623720805308131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0.44623720805308131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262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262.00000000000011</v>
      </c>
      <c r="O83" s="14">
        <f>N83*VLOOKUP('Données projet'!$B$9,Paramètres!$A$1:$I$89,3,0)*VLOOKUP('Données projet'!$B$9,Paramètres!$A$1:$I$89,5,0)</f>
        <v>237.05760000000012</v>
      </c>
      <c r="P83" s="14">
        <f t="shared" si="87"/>
        <v>57.806004997354698</v>
      </c>
      <c r="Q83" s="22">
        <f t="shared" si="54"/>
        <v>513.55411203705955</v>
      </c>
      <c r="R83" s="62">
        <f t="shared" si="55"/>
        <v>806.88744537039292</v>
      </c>
      <c r="S83" s="62">
        <f ca="1">AVERAGE(OFFSET($R$3,0,0,'Données projet'!$E$9+1,1))-AVERAGE(OFFSET($H$3,0,0,'Données projet'!$E$9+1,1))</f>
        <v>371.95849973474657</v>
      </c>
      <c r="T83" s="62">
        <f t="shared" si="88"/>
        <v>233.32640143610547</v>
      </c>
      <c r="U83" s="16">
        <f>IF(ISNA(VLOOKUP(A83,'Données projet'!$A$35:$I$55,3,0)),0,VLOOKUP(A83,'Données projet'!$A$35:$I$55,3,0))</f>
        <v>12</v>
      </c>
      <c r="V83" s="16">
        <f>IF(ISNA(VLOOKUP(A83,'Données projet'!$A$35:$I$55,4,0)),0,VLOOKUP(A83,'Données projet'!$A$35:$I$55,4,0))</f>
        <v>21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5.6843418860808015E-14</v>
      </c>
      <c r="AJ83" s="14">
        <f>AI83*VLOOKUP('Données projet'!$B$10,Paramètres!$A$1:$I$89,3,0)*VLOOKUP('Données projet'!$B$10,Paramètres!$A$1:$I$89,5,0)</f>
        <v>4.4337866711430253E-14</v>
      </c>
      <c r="AK83" s="14">
        <f t="shared" si="89"/>
        <v>7.3222115536967035E-13</v>
      </c>
      <c r="AL83" s="22">
        <f t="shared" si="58"/>
        <v>1.3525069634579169E-12</v>
      </c>
      <c r="AM83" s="62">
        <f t="shared" si="59"/>
        <v>293.33333333333468</v>
      </c>
      <c r="AN83" s="62">
        <f ca="1">AVERAGE(OFFSET($AM$3,0,0,'Données projet'!$E$10+1,1))-AVERAGE(OFFSET($H$3,0,0,'Données projet'!$E$10+1,1))</f>
        <v>288.82868507674738</v>
      </c>
      <c r="AO83" s="62">
        <f t="shared" si="90"/>
        <v>283.48738729114024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0.4340348281322749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0.4340348281322749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5.6</v>
      </c>
      <c r="N84" s="14">
        <f>IF('Données projet'!$A$36&gt;35,N83+M84-V83,IF(A84&lt;'Données projet'!$A$36,$K$205^A84,IF(A84='Données projet'!$A$36,'Données projet'!$B$36,N83+M84-V83)))</f>
        <v>246.60000000000014</v>
      </c>
      <c r="O84" s="14">
        <f>N84*VLOOKUP('Données projet'!$B$9,Paramètres!$A$1:$I$89,3,0)*VLOOKUP('Données projet'!$B$9,Paramètres!$A$1:$I$89,5,0)</f>
        <v>223.12368000000012</v>
      </c>
      <c r="P84" s="14">
        <f t="shared" si="87"/>
        <v>54.793244051140647</v>
      </c>
      <c r="Q84" s="22">
        <f t="shared" si="54"/>
        <v>484.03864272240349</v>
      </c>
      <c r="R84" s="62">
        <f t="shared" si="55"/>
        <v>777.37197605573681</v>
      </c>
      <c r="S84" s="62">
        <f ca="1">AVERAGE(OFFSET($R$3,0,0,'Données projet'!$E$9+1,1))-AVERAGE(OFFSET($H$3,0,0,'Données projet'!$E$9+1,1))</f>
        <v>371.95849973474657</v>
      </c>
      <c r="T84" s="62">
        <f t="shared" si="88"/>
        <v>233.32640143610547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5.6843418860808015E-14</v>
      </c>
      <c r="AJ84" s="14">
        <f>AI84*VLOOKUP('Données projet'!$B$10,Paramètres!$A$1:$I$89,3,0)*VLOOKUP('Données projet'!$B$10,Paramètres!$A$1:$I$89,5,0)</f>
        <v>4.4337866711430253E-14</v>
      </c>
      <c r="AK84" s="14">
        <f t="shared" si="89"/>
        <v>7.3222115536967035E-13</v>
      </c>
      <c r="AL84" s="22">
        <f t="shared" si="58"/>
        <v>1.3525069634579169E-12</v>
      </c>
      <c r="AM84" s="62">
        <f t="shared" si="59"/>
        <v>293.33333333333468</v>
      </c>
      <c r="AN84" s="62">
        <f ca="1">AVERAGE(OFFSET($AM$3,0,0,'Données projet'!$E$10+1,1))-AVERAGE(OFFSET($H$3,0,0,'Données projet'!$E$10+1,1))</f>
        <v>288.82868507674738</v>
      </c>
      <c r="AO84" s="62">
        <f t="shared" si="90"/>
        <v>283.48738729114024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0.42216612293209821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0.42216612293209821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5.6</v>
      </c>
      <c r="N85" s="14">
        <f>IF('Données projet'!$A$36&gt;35,N84+M85-V84,IF(A85&lt;'Données projet'!$A$36,$K$205^A85,IF(A85='Données projet'!$A$36,'Données projet'!$B$36,N84+M85-V84)))</f>
        <v>252.20000000000013</v>
      </c>
      <c r="O85" s="14">
        <f>N85*VLOOKUP('Données projet'!$B$9,Paramètres!$A$1:$I$89,3,0)*VLOOKUP('Données projet'!$B$9,Paramètres!$A$1:$I$89,5,0)</f>
        <v>228.19056000000012</v>
      </c>
      <c r="P85" s="14">
        <f t="shared" si="87"/>
        <v>55.891258634424609</v>
      </c>
      <c r="Q85" s="22">
        <f t="shared" si="54"/>
        <v>494.77583412162312</v>
      </c>
      <c r="R85" s="62">
        <f t="shared" si="55"/>
        <v>788.10916745495638</v>
      </c>
      <c r="S85" s="62">
        <f ca="1">AVERAGE(OFFSET($R$3,0,0,'Données projet'!$E$9+1,1))-AVERAGE(OFFSET($H$3,0,0,'Données projet'!$E$9+1,1))</f>
        <v>371.95849973474657</v>
      </c>
      <c r="T85" s="62">
        <f t="shared" si="88"/>
        <v>233.32640143610547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5.6843418860808015E-14</v>
      </c>
      <c r="AJ85" s="14">
        <f>AI85*VLOOKUP('Données projet'!$B$10,Paramètres!$A$1:$I$89,3,0)*VLOOKUP('Données projet'!$B$10,Paramètres!$A$1:$I$89,5,0)</f>
        <v>4.4337866711430253E-14</v>
      </c>
      <c r="AK85" s="14">
        <f t="shared" si="89"/>
        <v>7.3222115536967035E-13</v>
      </c>
      <c r="AL85" s="22">
        <f t="shared" si="58"/>
        <v>1.3525069634579169E-12</v>
      </c>
      <c r="AM85" s="62">
        <f t="shared" si="59"/>
        <v>293.33333333333468</v>
      </c>
      <c r="AN85" s="62">
        <f ca="1">AVERAGE(OFFSET($AM$3,0,0,'Données projet'!$E$10+1,1))-AVERAGE(OFFSET($H$3,0,0,'Données projet'!$E$10+1,1))</f>
        <v>288.82868507674738</v>
      </c>
      <c r="AO85" s="62">
        <f t="shared" si="90"/>
        <v>283.48738729114024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0.41062196809976848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0.41062196809976848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5.6</v>
      </c>
      <c r="N86" s="14">
        <f>IF('Données projet'!$A$36&gt;35,N85+M86-V85,IF(A86&lt;'Données projet'!$A$36,$K$205^A86,IF(A86='Données projet'!$A$36,'Données projet'!$B$36,N85+M86-V85)))</f>
        <v>257.80000000000013</v>
      </c>
      <c r="O86" s="14">
        <f>N86*VLOOKUP('Données projet'!$B$9,Paramètres!$A$1:$I$89,3,0)*VLOOKUP('Données projet'!$B$9,Paramètres!$A$1:$I$89,5,0)</f>
        <v>233.25744000000009</v>
      </c>
      <c r="P86" s="14">
        <f t="shared" si="87"/>
        <v>56.9864386904733</v>
      </c>
      <c r="Q86" s="22">
        <f t="shared" si="54"/>
        <v>505.50808871924113</v>
      </c>
      <c r="R86" s="62">
        <f t="shared" si="55"/>
        <v>798.84142205257444</v>
      </c>
      <c r="S86" s="62">
        <f ca="1">AVERAGE(OFFSET($R$3,0,0,'Données projet'!$E$9+1,1))-AVERAGE(OFFSET($H$3,0,0,'Données projet'!$E$9+1,1))</f>
        <v>371.95849973474657</v>
      </c>
      <c r="T86" s="62">
        <f t="shared" si="88"/>
        <v>233.32640143610547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5.6843418860808015E-14</v>
      </c>
      <c r="AJ86" s="14">
        <f>AI86*VLOOKUP('Données projet'!$B$10,Paramètres!$A$1:$I$89,3,0)*VLOOKUP('Données projet'!$B$10,Paramètres!$A$1:$I$89,5,0)</f>
        <v>4.4337866711430253E-14</v>
      </c>
      <c r="AK86" s="14">
        <f t="shared" si="89"/>
        <v>7.3222115536967035E-13</v>
      </c>
      <c r="AL86" s="22">
        <f t="shared" si="58"/>
        <v>1.3525069634579169E-12</v>
      </c>
      <c r="AM86" s="62">
        <f t="shared" si="59"/>
        <v>293.33333333333468</v>
      </c>
      <c r="AN86" s="62">
        <f ca="1">AVERAGE(OFFSET($AM$3,0,0,'Données projet'!$E$10+1,1))-AVERAGE(OFFSET($H$3,0,0,'Données projet'!$E$10+1,1))</f>
        <v>288.82868507674738</v>
      </c>
      <c r="AO86" s="62">
        <f t="shared" si="90"/>
        <v>283.48738729114024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0.39939348878840947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0.39939348878840947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5.6</v>
      </c>
      <c r="N87" s="14">
        <f>IF('Données projet'!$A$36&gt;35,N86+M87-V86,IF(A87&lt;'Données projet'!$A$36,$K$205^A87,IF(A87='Données projet'!$A$36,'Données projet'!$B$36,N86+M87-V86)))</f>
        <v>263.40000000000015</v>
      </c>
      <c r="O87" s="14">
        <f>N87*VLOOKUP('Données projet'!$B$9,Paramètres!$A$1:$I$89,3,0)*VLOOKUP('Données projet'!$B$9,Paramètres!$A$1:$I$89,5,0)</f>
        <v>238.32432000000011</v>
      </c>
      <c r="P87" s="14">
        <f t="shared" si="87"/>
        <v>58.078852882738808</v>
      </c>
      <c r="Q87" s="22">
        <f t="shared" si="54"/>
        <v>516.23552610410366</v>
      </c>
      <c r="R87" s="62">
        <f t="shared" si="55"/>
        <v>809.56885943743691</v>
      </c>
      <c r="S87" s="62">
        <f ca="1">AVERAGE(OFFSET($R$3,0,0,'Données projet'!$E$9+1,1))-AVERAGE(OFFSET($H$3,0,0,'Données projet'!$E$9+1,1))</f>
        <v>371.95849973474657</v>
      </c>
      <c r="T87" s="62">
        <f t="shared" si="88"/>
        <v>233.32640143610547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5.6843418860808015E-14</v>
      </c>
      <c r="AJ87" s="14">
        <f>AI87*VLOOKUP('Données projet'!$B$10,Paramètres!$A$1:$I$89,3,0)*VLOOKUP('Données projet'!$B$10,Paramètres!$A$1:$I$89,5,0)</f>
        <v>4.4337866711430253E-14</v>
      </c>
      <c r="AK87" s="14">
        <f t="shared" si="89"/>
        <v>7.3222115536967035E-13</v>
      </c>
      <c r="AL87" s="22">
        <f t="shared" si="58"/>
        <v>1.3525069634579169E-12</v>
      </c>
      <c r="AM87" s="62">
        <f t="shared" si="59"/>
        <v>293.33333333333468</v>
      </c>
      <c r="AN87" s="62">
        <f ca="1">AVERAGE(OFFSET($AM$3,0,0,'Données projet'!$E$10+1,1))-AVERAGE(OFFSET($H$3,0,0,'Données projet'!$E$10+1,1))</f>
        <v>288.82868507674738</v>
      </c>
      <c r="AO87" s="62">
        <f t="shared" si="90"/>
        <v>283.48738729114024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0.38847205283429964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0.38847205283429964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269</v>
      </c>
      <c r="L88" s="13">
        <f>VLOOKUP(A88,'Données projet'!$A$35:$I$55,9,0)</f>
        <v>5.6</v>
      </c>
      <c r="M88" s="13">
        <f t="array" ref="M88">INDEX(L:L,MIN(IF(ISNUMBER(L88:L284),ROW(L88:L284),"")))</f>
        <v>5.6</v>
      </c>
      <c r="N88" s="14">
        <f>IF('Données projet'!$A$36&gt;35,N87+M88-V87,IF(A88&lt;'Données projet'!$A$36,$K$205^A88,IF(A88='Données projet'!$A$36,'Données projet'!$B$36,N87+M88-V87)))</f>
        <v>269.00000000000017</v>
      </c>
      <c r="O88" s="14">
        <f>N88*VLOOKUP('Données projet'!$B$9,Paramètres!$A$1:$I$89,3,0)*VLOOKUP('Données projet'!$B$9,Paramètres!$A$1:$I$89,5,0)</f>
        <v>243.39120000000017</v>
      </c>
      <c r="P88" s="14">
        <f t="shared" si="87"/>
        <v>59.168566788241577</v>
      </c>
      <c r="Q88" s="22">
        <f t="shared" si="54"/>
        <v>526.95826048952097</v>
      </c>
      <c r="R88" s="62">
        <f t="shared" si="55"/>
        <v>820.29159382285434</v>
      </c>
      <c r="S88" s="62">
        <f ca="1">AVERAGE(OFFSET($R$3,0,0,'Données projet'!$E$9+1,1))-AVERAGE(OFFSET($H$3,0,0,'Données projet'!$E$9+1,1))</f>
        <v>371.95849973474657</v>
      </c>
      <c r="T88" s="62">
        <f t="shared" si="88"/>
        <v>233.32640143610547</v>
      </c>
      <c r="U88" s="16">
        <f>IF(ISNA(VLOOKUP(A88,'Données projet'!$A$35:$I$55,3,0)),0,VLOOKUP(A88,'Données projet'!$A$35:$I$55,3,0))</f>
        <v>13</v>
      </c>
      <c r="V88" s="16">
        <f>IF(ISNA(VLOOKUP(A88,'Données projet'!$A$35:$I$55,4,0)),0,VLOOKUP(A88,'Données projet'!$A$35:$I$55,4,0))</f>
        <v>21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5.6843418860808015E-14</v>
      </c>
      <c r="AJ88" s="14">
        <f>AI88*VLOOKUP('Données projet'!$B$10,Paramètres!$A$1:$I$89,3,0)*VLOOKUP('Données projet'!$B$10,Paramètres!$A$1:$I$89,5,0)</f>
        <v>4.4337866711430253E-14</v>
      </c>
      <c r="AK88" s="14">
        <f t="shared" si="89"/>
        <v>7.3222115536967035E-13</v>
      </c>
      <c r="AL88" s="22">
        <f t="shared" si="58"/>
        <v>1.3525069634579169E-12</v>
      </c>
      <c r="AM88" s="62">
        <f t="shared" si="59"/>
        <v>293.33333333333468</v>
      </c>
      <c r="AN88" s="62">
        <f ca="1">AVERAGE(OFFSET($AM$3,0,0,'Données projet'!$E$10+1,1))-AVERAGE(OFFSET($H$3,0,0,'Données projet'!$E$10+1,1))</f>
        <v>288.82868507674738</v>
      </c>
      <c r="AO88" s="62">
        <f t="shared" si="90"/>
        <v>283.48738729114024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0.37784926412068831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0.37784926412068831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5.4</v>
      </c>
      <c r="N89" s="14">
        <f>IF('Données projet'!$A$36&gt;35,N88+M89-V88,IF(A89&lt;'Données projet'!$A$36,$K$205^A89,IF(A89='Données projet'!$A$36,'Données projet'!$B$36,N88+M89-V88)))</f>
        <v>253.40000000000015</v>
      </c>
      <c r="O89" s="14">
        <f>N89*VLOOKUP('Données projet'!$B$9,Paramètres!$A$1:$I$89,3,0)*VLOOKUP('Données projet'!$B$9,Paramètres!$A$1:$I$89,5,0)</f>
        <v>229.27632000000011</v>
      </c>
      <c r="P89" s="14">
        <f t="shared" si="87"/>
        <v>56.126176307517476</v>
      </c>
      <c r="Q89" s="22">
        <f t="shared" si="54"/>
        <v>497.07601440225977</v>
      </c>
      <c r="R89" s="62">
        <f t="shared" si="55"/>
        <v>790.40934773559309</v>
      </c>
      <c r="S89" s="62">
        <f ca="1">AVERAGE(OFFSET($R$3,0,0,'Données projet'!$E$9+1,1))-AVERAGE(OFFSET($H$3,0,0,'Données projet'!$E$9+1,1))</f>
        <v>371.95849973474657</v>
      </c>
      <c r="T89" s="62">
        <f t="shared" si="88"/>
        <v>233.32640143610547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5.6843418860808015E-14</v>
      </c>
      <c r="AJ89" s="14">
        <f>AI89*VLOOKUP('Données projet'!$B$10,Paramètres!$A$1:$I$89,3,0)*VLOOKUP('Données projet'!$B$10,Paramètres!$A$1:$I$89,5,0)</f>
        <v>4.4337866711430253E-14</v>
      </c>
      <c r="AK89" s="14">
        <f t="shared" si="89"/>
        <v>7.3222115536967035E-13</v>
      </c>
      <c r="AL89" s="22">
        <f t="shared" si="58"/>
        <v>1.3525069634579169E-12</v>
      </c>
      <c r="AM89" s="62">
        <f t="shared" si="59"/>
        <v>293.33333333333468</v>
      </c>
      <c r="AN89" s="62">
        <f ca="1">AVERAGE(OFFSET($AM$3,0,0,'Données projet'!$E$10+1,1))-AVERAGE(OFFSET($H$3,0,0,'Données projet'!$E$10+1,1))</f>
        <v>288.82868507674738</v>
      </c>
      <c r="AO89" s="62">
        <f t="shared" si="90"/>
        <v>283.48738729114024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0.36751695612307889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0.36751695612307889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5.4</v>
      </c>
      <c r="N90" s="14">
        <f>IF('Données projet'!$A$36&gt;35,N89+M90-V89,IF(A90&lt;'Données projet'!$A$36,$K$205^A90,IF(A90='Données projet'!$A$36,'Données projet'!$B$36,N89+M90-V89)))</f>
        <v>258.80000000000013</v>
      </c>
      <c r="O90" s="14">
        <f>N90*VLOOKUP('Données projet'!$B$9,Paramètres!$A$1:$I$89,3,0)*VLOOKUP('Données projet'!$B$9,Paramètres!$A$1:$I$89,5,0)</f>
        <v>234.16224000000011</v>
      </c>
      <c r="P90" s="14">
        <f t="shared" si="87"/>
        <v>57.181713578143096</v>
      </c>
      <c r="Q90" s="22">
        <f t="shared" si="54"/>
        <v>507.42405248193273</v>
      </c>
      <c r="R90" s="62">
        <f t="shared" si="55"/>
        <v>800.75738581526605</v>
      </c>
      <c r="S90" s="62">
        <f ca="1">AVERAGE(OFFSET($R$3,0,0,'Données projet'!$E$9+1,1))-AVERAGE(OFFSET($H$3,0,0,'Données projet'!$E$9+1,1))</f>
        <v>371.95849973474657</v>
      </c>
      <c r="T90" s="62">
        <f t="shared" si="88"/>
        <v>233.32640143610547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5.6843418860808015E-14</v>
      </c>
      <c r="AJ90" s="14">
        <f>AI90*VLOOKUP('Données projet'!$B$10,Paramètres!$A$1:$I$89,3,0)*VLOOKUP('Données projet'!$B$10,Paramètres!$A$1:$I$89,5,0)</f>
        <v>4.4337866711430253E-14</v>
      </c>
      <c r="AK90" s="14">
        <f t="shared" si="89"/>
        <v>7.3222115536967035E-13</v>
      </c>
      <c r="AL90" s="22">
        <f t="shared" si="58"/>
        <v>1.3525069634579169E-12</v>
      </c>
      <c r="AM90" s="62">
        <f t="shared" si="59"/>
        <v>293.33333333333468</v>
      </c>
      <c r="AN90" s="62">
        <f ca="1">AVERAGE(OFFSET($AM$3,0,0,'Données projet'!$E$10+1,1))-AVERAGE(OFFSET($H$3,0,0,'Données projet'!$E$10+1,1))</f>
        <v>288.82868507674738</v>
      </c>
      <c r="AO90" s="62">
        <f t="shared" si="90"/>
        <v>283.48738729114024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0.35746718563101654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0.35746718563101654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5.4</v>
      </c>
      <c r="N91" s="14">
        <f>IF('Données projet'!$A$36&gt;35,N90+M91-V90,IF(A91&lt;'Données projet'!$A$36,$K$205^A91,IF(A91='Données projet'!$A$36,'Données projet'!$B$36,N90+M91-V90)))</f>
        <v>264.2000000000001</v>
      </c>
      <c r="O91" s="14">
        <f>N91*VLOOKUP('Données projet'!$B$9,Paramètres!$A$1:$I$89,3,0)*VLOOKUP('Données projet'!$B$9,Paramètres!$A$1:$I$89,5,0)</f>
        <v>239.04816000000008</v>
      </c>
      <c r="P91" s="14">
        <f t="shared" si="87"/>
        <v>58.234690128947342</v>
      </c>
      <c r="Q91" s="22">
        <f t="shared" si="54"/>
        <v>517.76763064125009</v>
      </c>
      <c r="R91" s="62">
        <f t="shared" si="55"/>
        <v>811.10096397458346</v>
      </c>
      <c r="S91" s="62">
        <f ca="1">AVERAGE(OFFSET($R$3,0,0,'Données projet'!$E$9+1,1))-AVERAGE(OFFSET($H$3,0,0,'Données projet'!$E$9+1,1))</f>
        <v>371.95849973474657</v>
      </c>
      <c r="T91" s="62">
        <f t="shared" si="88"/>
        <v>233.32640143610547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5.6843418860808015E-14</v>
      </c>
      <c r="AJ91" s="14">
        <f>AI91*VLOOKUP('Données projet'!$B$10,Paramètres!$A$1:$I$89,3,0)*VLOOKUP('Données projet'!$B$10,Paramètres!$A$1:$I$89,5,0)</f>
        <v>4.4337866711430253E-14</v>
      </c>
      <c r="AK91" s="14">
        <f t="shared" si="89"/>
        <v>7.3222115536967035E-13</v>
      </c>
      <c r="AL91" s="22">
        <f t="shared" si="58"/>
        <v>1.3525069634579169E-12</v>
      </c>
      <c r="AM91" s="62">
        <f t="shared" si="59"/>
        <v>293.33333333333468</v>
      </c>
      <c r="AN91" s="62">
        <f ca="1">AVERAGE(OFFSET($AM$3,0,0,'Données projet'!$E$10+1,1))-AVERAGE(OFFSET($H$3,0,0,'Données projet'!$E$10+1,1))</f>
        <v>288.82868507674738</v>
      </c>
      <c r="AO91" s="62">
        <f t="shared" si="90"/>
        <v>283.48738729114024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0.34769222664155408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0.34769222664155408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5.4</v>
      </c>
      <c r="N92" s="14">
        <f>IF('Données projet'!$A$36&gt;35,N91+M92-V91,IF(A92&lt;'Données projet'!$A$36,$K$205^A92,IF(A92='Données projet'!$A$36,'Données projet'!$B$36,N91+M92-V91)))</f>
        <v>269.60000000000008</v>
      </c>
      <c r="O92" s="14">
        <f>N92*VLOOKUP('Données projet'!$B$9,Paramètres!$A$1:$I$89,3,0)*VLOOKUP('Données projet'!$B$9,Paramètres!$A$1:$I$89,5,0)</f>
        <v>243.93408000000005</v>
      </c>
      <c r="P92" s="14">
        <f t="shared" si="87"/>
        <v>59.28516432961765</v>
      </c>
      <c r="Q92" s="22">
        <f t="shared" si="54"/>
        <v>528.10685054075077</v>
      </c>
      <c r="R92" s="62">
        <f t="shared" si="55"/>
        <v>821.44018387408414</v>
      </c>
      <c r="S92" s="62">
        <f ca="1">AVERAGE(OFFSET($R$3,0,0,'Données projet'!$E$9+1,1))-AVERAGE(OFFSET($H$3,0,0,'Données projet'!$E$9+1,1))</f>
        <v>371.95849973474657</v>
      </c>
      <c r="T92" s="62">
        <f t="shared" si="88"/>
        <v>233.32640143610547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5.6843418860808015E-14</v>
      </c>
      <c r="AJ92" s="14">
        <f>AI92*VLOOKUP('Données projet'!$B$10,Paramètres!$A$1:$I$89,3,0)*VLOOKUP('Données projet'!$B$10,Paramètres!$A$1:$I$89,5,0)</f>
        <v>4.4337866711430253E-14</v>
      </c>
      <c r="AK92" s="14">
        <f t="shared" si="89"/>
        <v>7.3222115536967035E-13</v>
      </c>
      <c r="AL92" s="22">
        <f t="shared" si="58"/>
        <v>1.3525069634579169E-12</v>
      </c>
      <c r="AM92" s="62">
        <f t="shared" si="59"/>
        <v>293.33333333333468</v>
      </c>
      <c r="AN92" s="62">
        <f ca="1">AVERAGE(OFFSET($AM$3,0,0,'Données projet'!$E$10+1,1))-AVERAGE(OFFSET($H$3,0,0,'Données projet'!$E$10+1,1))</f>
        <v>288.82868507674738</v>
      </c>
      <c r="AO92" s="62">
        <f t="shared" si="90"/>
        <v>283.48738729114024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0.33818456441970124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0.33818456441970124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275</v>
      </c>
      <c r="L93" s="13">
        <f>VLOOKUP(A93,'Données projet'!$A$35:$I$55,9,0)</f>
        <v>5.4</v>
      </c>
      <c r="M93" s="13">
        <f t="array" ref="M93">INDEX(L:L,MIN(IF(ISNUMBER(L93:L289),ROW(L93:L289),"")))</f>
        <v>5.4</v>
      </c>
      <c r="N93" s="14">
        <f>IF('Données projet'!$A$36&gt;35,N92+M93-V92,IF(A93&lt;'Données projet'!$A$36,$K$205^A93,IF(A93='Données projet'!$A$36,'Données projet'!$B$36,N92+M93-V92)))</f>
        <v>275.00000000000006</v>
      </c>
      <c r="O93" s="14">
        <f>N93*VLOOKUP('Données projet'!$B$9,Paramètres!$A$1:$I$89,3,0)*VLOOKUP('Données projet'!$B$9,Paramètres!$A$1:$I$89,5,0)</f>
        <v>248.82000000000005</v>
      </c>
      <c r="P93" s="14">
        <f t="shared" si="87"/>
        <v>60.333192077890068</v>
      </c>
      <c r="Q93" s="22">
        <f t="shared" si="54"/>
        <v>538.44180953565865</v>
      </c>
      <c r="R93" s="62">
        <f t="shared" si="55"/>
        <v>831.77514286899191</v>
      </c>
      <c r="S93" s="62">
        <f ca="1">AVERAGE(OFFSET($R$3,0,0,'Données projet'!$E$9+1,1))-AVERAGE(OFFSET($H$3,0,0,'Données projet'!$E$9+1,1))</f>
        <v>371.95849973474657</v>
      </c>
      <c r="T93" s="62">
        <f t="shared" si="88"/>
        <v>233.32640143610547</v>
      </c>
      <c r="U93" s="16">
        <f>IF(ISNA(VLOOKUP(A93,'Données projet'!$A$35:$I$55,3,0)),0,VLOOKUP(A93,'Données projet'!$A$35:$I$55,3,0))</f>
        <v>14</v>
      </c>
      <c r="V93" s="16">
        <f>IF(ISNA(VLOOKUP(A93,'Données projet'!$A$35:$I$55,4,0)),0,VLOOKUP(A93,'Données projet'!$A$35:$I$55,4,0))</f>
        <v>21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5.6843418860808015E-14</v>
      </c>
      <c r="AJ93" s="14">
        <f>AI93*VLOOKUP('Données projet'!$B$10,Paramètres!$A$1:$I$89,3,0)*VLOOKUP('Données projet'!$B$10,Paramètres!$A$1:$I$89,5,0)</f>
        <v>4.4337866711430253E-14</v>
      </c>
      <c r="AK93" s="14">
        <f t="shared" si="89"/>
        <v>7.3222115536967035E-13</v>
      </c>
      <c r="AL93" s="22">
        <f t="shared" si="58"/>
        <v>1.3525069634579169E-12</v>
      </c>
      <c r="AM93" s="62">
        <f t="shared" si="59"/>
        <v>293.33333333333468</v>
      </c>
      <c r="AN93" s="62">
        <f ca="1">AVERAGE(OFFSET($AM$3,0,0,'Données projet'!$E$10+1,1))-AVERAGE(OFFSET($H$3,0,0,'Données projet'!$E$10+1,1))</f>
        <v>288.82868507674738</v>
      </c>
      <c r="AO93" s="62">
        <f t="shared" si="90"/>
        <v>283.48738729114024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0.3289368897212912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0.3289368897212912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</v>
      </c>
      <c r="N94" s="14">
        <f>IF('Données projet'!$A$36&gt;35,N93+M94-V93,IF(A94&lt;'Données projet'!$A$36,$K$205^A94,IF(A94='Données projet'!$A$36,'Données projet'!$B$36,N93+M94-V93)))</f>
        <v>259.00000000000006</v>
      </c>
      <c r="O94" s="14">
        <f>N94*VLOOKUP('Données projet'!$B$9,Paramètres!$A$1:$I$89,3,0)*VLOOKUP('Données projet'!$B$9,Paramètres!$A$1:$I$89,5,0)</f>
        <v>234.34320000000005</v>
      </c>
      <c r="P94" s="14">
        <f t="shared" si="87"/>
        <v>57.220758006491664</v>
      </c>
      <c r="Q94" s="22">
        <f t="shared" si="54"/>
        <v>507.80722686130639</v>
      </c>
      <c r="R94" s="62">
        <f t="shared" si="55"/>
        <v>801.14056019463965</v>
      </c>
      <c r="S94" s="62">
        <f ca="1">AVERAGE(OFFSET($R$3,0,0,'Données projet'!$E$9+1,1))-AVERAGE(OFFSET($H$3,0,0,'Données projet'!$E$9+1,1))</f>
        <v>371.95849973474657</v>
      </c>
      <c r="T94" s="62">
        <f t="shared" si="88"/>
        <v>233.32640143610547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5.6843418860808015E-14</v>
      </c>
      <c r="AJ94" s="14">
        <f>AI94*VLOOKUP('Données projet'!$B$10,Paramètres!$A$1:$I$89,3,0)*VLOOKUP('Données projet'!$B$10,Paramètres!$A$1:$I$89,5,0)</f>
        <v>4.4337866711430253E-14</v>
      </c>
      <c r="AK94" s="14">
        <f t="shared" si="89"/>
        <v>7.3222115536967035E-13</v>
      </c>
      <c r="AL94" s="22">
        <f t="shared" si="58"/>
        <v>1.3525069634579169E-12</v>
      </c>
      <c r="AM94" s="62">
        <f t="shared" si="59"/>
        <v>293.33333333333468</v>
      </c>
      <c r="AN94" s="62">
        <f ca="1">AVERAGE(OFFSET($AM$3,0,0,'Données projet'!$E$10+1,1))-AVERAGE(OFFSET($H$3,0,0,'Données projet'!$E$10+1,1))</f>
        <v>288.82868507674738</v>
      </c>
      <c r="AO94" s="62">
        <f t="shared" si="90"/>
        <v>283.48738729114024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0.31994209317382327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0.31994209317382327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</v>
      </c>
      <c r="N95" s="14">
        <f>IF('Données projet'!$A$36&gt;35,N94+M95-V94,IF(A95&lt;'Données projet'!$A$36,$K$205^A95,IF(A95='Données projet'!$A$36,'Données projet'!$B$36,N94+M95-V94)))</f>
        <v>264.00000000000006</v>
      </c>
      <c r="O95" s="14">
        <f>N95*VLOOKUP('Données projet'!$B$9,Paramètres!$A$1:$I$89,3,0)*VLOOKUP('Données projet'!$B$9,Paramètres!$A$1:$I$89,5,0)</f>
        <v>238.86720000000005</v>
      </c>
      <c r="P95" s="14">
        <f t="shared" si="87"/>
        <v>58.195735973104156</v>
      </c>
      <c r="Q95" s="22">
        <f t="shared" si="54"/>
        <v>517.3846134864898</v>
      </c>
      <c r="R95" s="62">
        <f t="shared" si="55"/>
        <v>810.71794681982306</v>
      </c>
      <c r="S95" s="62">
        <f ca="1">AVERAGE(OFFSET($R$3,0,0,'Données projet'!$E$9+1,1))-AVERAGE(OFFSET($H$3,0,0,'Données projet'!$E$9+1,1))</f>
        <v>371.95849973474657</v>
      </c>
      <c r="T95" s="62">
        <f t="shared" si="88"/>
        <v>233.32640143610547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5.6843418860808015E-14</v>
      </c>
      <c r="AJ95" s="14">
        <f>AI95*VLOOKUP('Données projet'!$B$10,Paramètres!$A$1:$I$89,3,0)*VLOOKUP('Données projet'!$B$10,Paramètres!$A$1:$I$89,5,0)</f>
        <v>4.4337866711430253E-14</v>
      </c>
      <c r="AK95" s="14">
        <f t="shared" si="89"/>
        <v>7.3222115536967035E-13</v>
      </c>
      <c r="AL95" s="22">
        <f t="shared" si="58"/>
        <v>1.3525069634579169E-12</v>
      </c>
      <c r="AM95" s="62">
        <f t="shared" si="59"/>
        <v>293.33333333333468</v>
      </c>
      <c r="AN95" s="62">
        <f ca="1">AVERAGE(OFFSET($AM$3,0,0,'Données projet'!$E$10+1,1))-AVERAGE(OFFSET($H$3,0,0,'Données projet'!$E$10+1,1))</f>
        <v>288.82868507674738</v>
      </c>
      <c r="AO95" s="62">
        <f t="shared" si="90"/>
        <v>283.48738729114024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0.31119325981096163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0.31119325981096163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</v>
      </c>
      <c r="N96" s="14">
        <f>IF('Données projet'!$A$36&gt;35,N95+M96-V95,IF(A96&lt;'Données projet'!$A$36,$K$205^A96,IF(A96='Données projet'!$A$36,'Données projet'!$B$36,N95+M96-V95)))</f>
        <v>269.00000000000006</v>
      </c>
      <c r="O96" s="14">
        <f>N96*VLOOKUP('Données projet'!$B$9,Paramètres!$A$1:$I$89,3,0)*VLOOKUP('Données projet'!$B$9,Paramètres!$A$1:$I$89,5,0)</f>
        <v>243.39120000000003</v>
      </c>
      <c r="P96" s="14">
        <f t="shared" si="87"/>
        <v>59.168566788241527</v>
      </c>
      <c r="Q96" s="22">
        <f t="shared" si="54"/>
        <v>526.95826048952074</v>
      </c>
      <c r="R96" s="62">
        <f t="shared" si="55"/>
        <v>820.29159382285411</v>
      </c>
      <c r="S96" s="62">
        <f ca="1">AVERAGE(OFFSET($R$3,0,0,'Données projet'!$E$9+1,1))-AVERAGE(OFFSET($H$3,0,0,'Données projet'!$E$9+1,1))</f>
        <v>371.95849973474657</v>
      </c>
      <c r="T96" s="62">
        <f t="shared" si="88"/>
        <v>233.32640143610547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5.6843418860808015E-14</v>
      </c>
      <c r="AJ96" s="14">
        <f>AI96*VLOOKUP('Données projet'!$B$10,Paramètres!$A$1:$I$89,3,0)*VLOOKUP('Données projet'!$B$10,Paramètres!$A$1:$I$89,5,0)</f>
        <v>4.4337866711430253E-14</v>
      </c>
      <c r="AK96" s="14">
        <f t="shared" si="89"/>
        <v>7.3222115536967035E-13</v>
      </c>
      <c r="AL96" s="22">
        <f t="shared" si="58"/>
        <v>1.3525069634579169E-12</v>
      </c>
      <c r="AM96" s="62">
        <f t="shared" si="59"/>
        <v>293.33333333333468</v>
      </c>
      <c r="AN96" s="62">
        <f ca="1">AVERAGE(OFFSET($AM$3,0,0,'Données projet'!$E$10+1,1))-AVERAGE(OFFSET($H$3,0,0,'Données projet'!$E$10+1,1))</f>
        <v>288.82868507674738</v>
      </c>
      <c r="AO96" s="62">
        <f t="shared" si="90"/>
        <v>283.48738729114024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0.30268366375648859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0.30268366375648859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</v>
      </c>
      <c r="N97" s="14">
        <f>IF('Données projet'!$A$36&gt;35,N96+M97-V96,IF(A97&lt;'Données projet'!$A$36,$K$205^A97,IF(A97='Données projet'!$A$36,'Données projet'!$B$36,N96+M97-V96)))</f>
        <v>274.00000000000006</v>
      </c>
      <c r="O97" s="14">
        <f>N97*VLOOKUP('Données projet'!$B$9,Paramètres!$A$1:$I$89,3,0)*VLOOKUP('Données projet'!$B$9,Paramètres!$A$1:$I$89,5,0)</f>
        <v>247.91520000000003</v>
      </c>
      <c r="P97" s="14">
        <f t="shared" si="87"/>
        <v>60.139294964297406</v>
      </c>
      <c r="Q97" s="22">
        <f t="shared" si="54"/>
        <v>536.52824539615131</v>
      </c>
      <c r="R97" s="62">
        <f t="shared" si="55"/>
        <v>829.86157872948456</v>
      </c>
      <c r="S97" s="62">
        <f ca="1">AVERAGE(OFFSET($R$3,0,0,'Données projet'!$E$9+1,1))-AVERAGE(OFFSET($H$3,0,0,'Données projet'!$E$9+1,1))</f>
        <v>371.95849973474657</v>
      </c>
      <c r="T97" s="62">
        <f t="shared" si="88"/>
        <v>233.32640143610547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5.6843418860808015E-14</v>
      </c>
      <c r="AJ97" s="14">
        <f>AI97*VLOOKUP('Données projet'!$B$10,Paramètres!$A$1:$I$89,3,0)*VLOOKUP('Données projet'!$B$10,Paramètres!$A$1:$I$89,5,0)</f>
        <v>4.4337866711430253E-14</v>
      </c>
      <c r="AK97" s="14">
        <f t="shared" si="89"/>
        <v>7.3222115536967035E-13</v>
      </c>
      <c r="AL97" s="22">
        <f t="shared" si="58"/>
        <v>1.3525069634579169E-12</v>
      </c>
      <c r="AM97" s="62">
        <f t="shared" si="59"/>
        <v>293.33333333333468</v>
      </c>
      <c r="AN97" s="62">
        <f ca="1">AVERAGE(OFFSET($AM$3,0,0,'Données projet'!$E$10+1,1))-AVERAGE(OFFSET($H$3,0,0,'Données projet'!$E$10+1,1))</f>
        <v>288.82868507674738</v>
      </c>
      <c r="AO97" s="62">
        <f t="shared" si="90"/>
        <v>283.48738729114024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0.29440676305362534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0.29440676305362534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279</v>
      </c>
      <c r="L98" s="13">
        <f>VLOOKUP(A98,'Données projet'!$A$35:$I$55,9,0)</f>
        <v>5</v>
      </c>
      <c r="M98" s="13">
        <f t="array" ref="M98">INDEX(L:L,MIN(IF(ISNUMBER(L98:L294),ROW(L98:L294),"")))</f>
        <v>5</v>
      </c>
      <c r="N98" s="14">
        <f>IF('Données projet'!$A$36&gt;35,N97+M98-V97,IF(A98&lt;'Données projet'!$A$36,$K$205^A98,IF(A98='Données projet'!$A$36,'Données projet'!$B$36,N97+M98-V97)))</f>
        <v>279.00000000000006</v>
      </c>
      <c r="O98" s="14">
        <f>N98*VLOOKUP('Données projet'!$B$9,Paramètres!$A$1:$I$89,3,0)*VLOOKUP('Données projet'!$B$9,Paramètres!$A$1:$I$89,5,0)</f>
        <v>252.43920000000006</v>
      </c>
      <c r="P98" s="14">
        <f t="shared" si="87"/>
        <v>61.107963296116274</v>
      </c>
      <c r="Q98" s="22">
        <f t="shared" si="54"/>
        <v>546.09464274073594</v>
      </c>
      <c r="R98" s="62">
        <f t="shared" si="55"/>
        <v>839.42797607406919</v>
      </c>
      <c r="S98" s="62">
        <f ca="1">AVERAGE(OFFSET($R$3,0,0,'Données projet'!$E$9+1,1))-AVERAGE(OFFSET($H$3,0,0,'Données projet'!$E$9+1,1))</f>
        <v>371.95849973474657</v>
      </c>
      <c r="T98" s="62">
        <f t="shared" si="88"/>
        <v>233.32640143610547</v>
      </c>
      <c r="U98" s="16">
        <f>IF(ISNA(VLOOKUP(A98,'Données projet'!$A$35:$I$55,3,0)),0,VLOOKUP(A98,'Données projet'!$A$35:$I$55,3,0))</f>
        <v>15</v>
      </c>
      <c r="V98" s="16">
        <f>IF(ISNA(VLOOKUP(A98,'Données projet'!$A$35:$I$55,4,0)),0,VLOOKUP(A98,'Données projet'!$A$35:$I$55,4,0))</f>
        <v>21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5.6843418860808015E-14</v>
      </c>
      <c r="AJ98" s="14">
        <f>AI98*VLOOKUP('Données projet'!$B$10,Paramètres!$A$1:$I$89,3,0)*VLOOKUP('Données projet'!$B$10,Paramètres!$A$1:$I$89,5,0)</f>
        <v>4.4337866711430253E-14</v>
      </c>
      <c r="AK98" s="14">
        <f t="shared" si="89"/>
        <v>7.3222115536967035E-13</v>
      </c>
      <c r="AL98" s="22">
        <f t="shared" si="58"/>
        <v>1.3525069634579169E-12</v>
      </c>
      <c r="AM98" s="62">
        <f t="shared" si="59"/>
        <v>293.33333333333468</v>
      </c>
      <c r="AN98" s="62">
        <f ca="1">AVERAGE(OFFSET($AM$3,0,0,'Données projet'!$E$10+1,1))-AVERAGE(OFFSET($H$3,0,0,'Données projet'!$E$10+1,1))</f>
        <v>288.82868507674738</v>
      </c>
      <c r="AO98" s="62">
        <f t="shared" si="90"/>
        <v>283.48738729114024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0.28635619463574519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0.28635619463574519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4.8</v>
      </c>
      <c r="N99" s="14">
        <f>IF('Données projet'!$A$36&gt;35,N98+M99-V98,IF(A99&lt;'Données projet'!$A$36,$K$205^A99,IF(A99='Données projet'!$A$36,'Données projet'!$B$36,N98+M99-V98)))</f>
        <v>262.80000000000007</v>
      </c>
      <c r="O99" s="14">
        <f>N99*VLOOKUP('Données projet'!$B$9,Paramètres!$A$1:$I$89,3,0)*VLOOKUP('Données projet'!$B$9,Paramètres!$A$1:$I$89,5,0)</f>
        <v>237.78144000000006</v>
      </c>
      <c r="P99" s="14">
        <f t="shared" si="87"/>
        <v>57.96193879691095</v>
      </c>
      <c r="Q99" s="22">
        <f t="shared" ref="Q99:Q130" si="107">(O99+P99)*0.475*44/12</f>
        <v>515.08638473795338</v>
      </c>
      <c r="R99" s="62">
        <f t="shared" si="55"/>
        <v>808.41971807128675</v>
      </c>
      <c r="S99" s="62">
        <f ca="1">AVERAGE(OFFSET($R$3,0,0,'Données projet'!$E$9+1,1))-AVERAGE(OFFSET($H$3,0,0,'Données projet'!$E$9+1,1))</f>
        <v>371.95849973474657</v>
      </c>
      <c r="T99" s="62">
        <f t="shared" si="88"/>
        <v>233.32640143610547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5.6843418860808015E-14</v>
      </c>
      <c r="AJ99" s="14">
        <f>AI99*VLOOKUP('Données projet'!$B$10,Paramètres!$A$1:$I$89,3,0)*VLOOKUP('Données projet'!$B$10,Paramètres!$A$1:$I$89,5,0)</f>
        <v>4.4337866711430253E-14</v>
      </c>
      <c r="AK99" s="14">
        <f t="shared" si="89"/>
        <v>7.3222115536967035E-13</v>
      </c>
      <c r="AL99" s="22">
        <f t="shared" si="58"/>
        <v>1.3525069634579169E-12</v>
      </c>
      <c r="AM99" s="62">
        <f t="shared" si="59"/>
        <v>293.33333333333468</v>
      </c>
      <c r="AN99" s="62">
        <f ca="1">AVERAGE(OFFSET($AM$3,0,0,'Données projet'!$E$10+1,1))-AVERAGE(OFFSET($H$3,0,0,'Données projet'!$E$10+1,1))</f>
        <v>288.82868507674738</v>
      </c>
      <c r="AO99" s="62">
        <f t="shared" si="90"/>
        <v>283.48738729114024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0.27852576943461294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0.27852576943461294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4.8</v>
      </c>
      <c r="N100" s="14">
        <f>IF('Données projet'!$A$36&gt;35,N99+M100-V99,IF(A100&lt;'Données projet'!$A$36,$K$205^A100,IF(A100='Données projet'!$A$36,'Données projet'!$B$36,N99+M100-V99)))</f>
        <v>267.60000000000008</v>
      </c>
      <c r="O100" s="14">
        <f>N100*VLOOKUP('Données projet'!$B$9,Paramètres!$A$1:$I$89,3,0)*VLOOKUP('Données projet'!$B$9,Paramètres!$A$1:$I$89,5,0)</f>
        <v>242.12448000000006</v>
      </c>
      <c r="P100" s="14">
        <f t="shared" si="87"/>
        <v>58.896387987806008</v>
      </c>
      <c r="Q100" s="22">
        <f t="shared" si="107"/>
        <v>524.2780117454289</v>
      </c>
      <c r="R100" s="62">
        <f t="shared" si="55"/>
        <v>817.61134507876227</v>
      </c>
      <c r="S100" s="62">
        <f ca="1">AVERAGE(OFFSET($R$3,0,0,'Données projet'!$E$9+1,1))-AVERAGE(OFFSET($H$3,0,0,'Données projet'!$E$9+1,1))</f>
        <v>371.95849973474657</v>
      </c>
      <c r="T100" s="62">
        <f t="shared" si="88"/>
        <v>233.32640143610547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5.6843418860808015E-14</v>
      </c>
      <c r="AJ100" s="14">
        <f>AI100*VLOOKUP('Données projet'!$B$10,Paramètres!$A$1:$I$89,3,0)*VLOOKUP('Données projet'!$B$10,Paramètres!$A$1:$I$89,5,0)</f>
        <v>4.4337866711430253E-14</v>
      </c>
      <c r="AK100" s="14">
        <f t="shared" si="89"/>
        <v>7.3222115536967035E-13</v>
      </c>
      <c r="AL100" s="22">
        <f t="shared" si="58"/>
        <v>1.3525069634579169E-12</v>
      </c>
      <c r="AM100" s="62">
        <f t="shared" si="59"/>
        <v>293.33333333333468</v>
      </c>
      <c r="AN100" s="62">
        <f ca="1">AVERAGE(OFFSET($AM$3,0,0,'Données projet'!$E$10+1,1))-AVERAGE(OFFSET($H$3,0,0,'Données projet'!$E$10+1,1))</f>
        <v>288.82868507674738</v>
      </c>
      <c r="AO100" s="62">
        <f t="shared" si="90"/>
        <v>283.48738729114024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0.27090946762238982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0.27090946762238982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4.8</v>
      </c>
      <c r="N101" s="14">
        <f>IF('Données projet'!$A$36&gt;35,N100+M101-V100,IF(A101&lt;'Données projet'!$A$36,$K$205^A101,IF(A101='Données projet'!$A$36,'Données projet'!$B$36,N100+M101-V100)))</f>
        <v>272.40000000000009</v>
      </c>
      <c r="O101" s="14">
        <f>N101*VLOOKUP('Données projet'!$B$9,Paramètres!$A$1:$I$89,3,0)*VLOOKUP('Données projet'!$B$9,Paramètres!$A$1:$I$89,5,0)</f>
        <v>246.46752000000009</v>
      </c>
      <c r="P101" s="14">
        <f t="shared" si="87"/>
        <v>59.828888074217033</v>
      </c>
      <c r="Q101" s="22">
        <f t="shared" si="107"/>
        <v>533.4662440625948</v>
      </c>
      <c r="R101" s="62">
        <f t="shared" si="55"/>
        <v>826.79957739592805</v>
      </c>
      <c r="S101" s="62">
        <f ca="1">AVERAGE(OFFSET($R$3,0,0,'Données projet'!$E$9+1,1))-AVERAGE(OFFSET($H$3,0,0,'Données projet'!$E$9+1,1))</f>
        <v>371.95849973474657</v>
      </c>
      <c r="T101" s="62">
        <f t="shared" si="88"/>
        <v>233.32640143610547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5.6843418860808015E-14</v>
      </c>
      <c r="AJ101" s="14">
        <f>AI101*VLOOKUP('Données projet'!$B$10,Paramètres!$A$1:$I$89,3,0)*VLOOKUP('Données projet'!$B$10,Paramètres!$A$1:$I$89,5,0)</f>
        <v>4.4337866711430253E-14</v>
      </c>
      <c r="AK101" s="14">
        <f t="shared" si="89"/>
        <v>7.3222115536967035E-13</v>
      </c>
      <c r="AL101" s="22">
        <f t="shared" si="58"/>
        <v>1.3525069634579169E-12</v>
      </c>
      <c r="AM101" s="62">
        <f t="shared" si="59"/>
        <v>293.33333333333468</v>
      </c>
      <c r="AN101" s="62">
        <f ca="1">AVERAGE(OFFSET($AM$3,0,0,'Données projet'!$E$10+1,1))-AVERAGE(OFFSET($H$3,0,0,'Données projet'!$E$10+1,1))</f>
        <v>288.82868507674738</v>
      </c>
      <c r="AO101" s="62">
        <f t="shared" si="90"/>
        <v>283.48738729114024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0.26350143398374581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0.26350143398374581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4.8</v>
      </c>
      <c r="N102" s="14">
        <f>IF('Données projet'!$A$36&gt;35,N101+M102-V101,IF(A102&lt;'Données projet'!$A$36,$K$205^A102,IF(A102='Données projet'!$A$36,'Données projet'!$B$36,N101+M102-V101)))</f>
        <v>277.2000000000001</v>
      </c>
      <c r="O102" s="14">
        <f>N102*VLOOKUP('Données projet'!$B$9,Paramètres!$A$1:$I$89,3,0)*VLOOKUP('Données projet'!$B$9,Paramètres!$A$1:$I$89,5,0)</f>
        <v>250.81056000000007</v>
      </c>
      <c r="P102" s="14">
        <f t="shared" si="87"/>
        <v>60.75947736410874</v>
      </c>
      <c r="Q102" s="22">
        <f t="shared" si="107"/>
        <v>542.65114840915612</v>
      </c>
      <c r="R102" s="62">
        <f t="shared" si="55"/>
        <v>835.98448174248938</v>
      </c>
      <c r="S102" s="62">
        <f ca="1">AVERAGE(OFFSET($R$3,0,0,'Données projet'!$E$9+1,1))-AVERAGE(OFFSET($H$3,0,0,'Données projet'!$E$9+1,1))</f>
        <v>371.95849973474657</v>
      </c>
      <c r="T102" s="62">
        <f t="shared" si="88"/>
        <v>233.32640143610547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5.6843418860808015E-14</v>
      </c>
      <c r="AJ102" s="14">
        <f>AI102*VLOOKUP('Données projet'!$B$10,Paramètres!$A$1:$I$89,3,0)*VLOOKUP('Données projet'!$B$10,Paramètres!$A$1:$I$89,5,0)</f>
        <v>4.4337866711430253E-14</v>
      </c>
      <c r="AK102" s="14">
        <f t="shared" si="89"/>
        <v>7.3222115536967035E-13</v>
      </c>
      <c r="AL102" s="22">
        <f t="shared" si="58"/>
        <v>1.3525069634579169E-12</v>
      </c>
      <c r="AM102" s="62">
        <f t="shared" si="59"/>
        <v>293.33333333333468</v>
      </c>
      <c r="AN102" s="62">
        <f ca="1">AVERAGE(OFFSET($AM$3,0,0,'Données projet'!$E$10+1,1))-AVERAGE(OFFSET($H$3,0,0,'Données projet'!$E$10+1,1))</f>
        <v>288.82868507674738</v>
      </c>
      <c r="AO102" s="62">
        <f t="shared" si="90"/>
        <v>283.48738729114024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0.25629597341452209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0.25629597341452209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282</v>
      </c>
      <c r="L103" s="13">
        <f>VLOOKUP(A103,'Données projet'!$A$35:$I$55,9,0)</f>
        <v>4.8</v>
      </c>
      <c r="M103" s="13">
        <f t="array" ref="M103">INDEX(L:L,MIN(IF(ISNUMBER(L103:L299),ROW(L103:L299),"")))</f>
        <v>4.8</v>
      </c>
      <c r="N103" s="14">
        <f>IF('Données projet'!$A$36&gt;35,N102+M103-V102,IF(A103&lt;'Données projet'!$A$36,$K$205^A103,IF(A103='Données projet'!$A$36,'Données projet'!$B$36,N102+M103-V102)))</f>
        <v>282.00000000000011</v>
      </c>
      <c r="O103" s="14">
        <f>N103*VLOOKUP('Données projet'!$B$9,Paramètres!$A$1:$I$89,3,0)*VLOOKUP('Données projet'!$B$9,Paramètres!$A$1:$I$89,5,0)</f>
        <v>255.1536000000001</v>
      </c>
      <c r="P103" s="14">
        <f t="shared" si="87"/>
        <v>61.688192762754426</v>
      </c>
      <c r="Q103" s="22">
        <f t="shared" si="107"/>
        <v>551.83278906179737</v>
      </c>
      <c r="R103" s="62">
        <f t="shared" si="55"/>
        <v>845.16612239513074</v>
      </c>
      <c r="S103" s="62">
        <f ca="1">AVERAGE(OFFSET($R$3,0,0,'Données projet'!$E$9+1,1))-AVERAGE(OFFSET($H$3,0,0,'Données projet'!$E$9+1,1))</f>
        <v>371.95849973474657</v>
      </c>
      <c r="T103" s="62">
        <f t="shared" si="88"/>
        <v>233.32640143610547</v>
      </c>
      <c r="U103" s="16">
        <f>IF(ISNA(VLOOKUP(A103,'Données projet'!$A$35:$I$55,3,0)),0,VLOOKUP(A103,'Données projet'!$A$35:$I$55,3,0))</f>
        <v>16</v>
      </c>
      <c r="V103" s="16">
        <f>IF(ISNA(VLOOKUP(A103,'Données projet'!$A$35:$I$55,4,0)),0,VLOOKUP(A103,'Données projet'!$A$35:$I$55,4,0))</f>
        <v>21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5.6843418860808015E-14</v>
      </c>
      <c r="AJ103" s="14">
        <f>AI103*VLOOKUP('Données projet'!$B$10,Paramètres!$A$1:$I$89,3,0)*VLOOKUP('Données projet'!$B$10,Paramètres!$A$1:$I$89,5,0)</f>
        <v>4.4337866711430253E-14</v>
      </c>
      <c r="AK103" s="14">
        <f t="shared" si="89"/>
        <v>7.3222115536967035E-13</v>
      </c>
      <c r="AL103" s="22">
        <f t="shared" si="58"/>
        <v>1.3525069634579169E-12</v>
      </c>
      <c r="AM103" s="62">
        <f t="shared" si="59"/>
        <v>293.33333333333468</v>
      </c>
      <c r="AN103" s="62">
        <f ca="1">AVERAGE(OFFSET($AM$3,0,0,'Données projet'!$E$10+1,1))-AVERAGE(OFFSET($H$3,0,0,'Données projet'!$E$10+1,1))</f>
        <v>288.82868507674738</v>
      </c>
      <c r="AO103" s="62">
        <f t="shared" si="90"/>
        <v>283.48738729114024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0.24928754654348251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0.24928754654348251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4.4000000000000004</v>
      </c>
      <c r="N104" s="14">
        <f>IF('Données projet'!$A$36&gt;35,N103+M104-V103,IF(A104&lt;'Données projet'!$A$36,$K$205^A104,IF(A104='Données projet'!$A$36,'Données projet'!$B$36,N103+M104-V103)))</f>
        <v>265.40000000000009</v>
      </c>
      <c r="O104" s="14">
        <f>N104*VLOOKUP('Données projet'!$B$9,Paramètres!$A$1:$I$89,3,0)*VLOOKUP('Données projet'!$B$9,Paramètres!$A$1:$I$89,5,0)</f>
        <v>240.13392000000007</v>
      </c>
      <c r="P104" s="14">
        <f t="shared" si="87"/>
        <v>58.468343087048616</v>
      </c>
      <c r="Q104" s="22">
        <f t="shared" si="107"/>
        <v>520.06560820994309</v>
      </c>
      <c r="R104" s="62">
        <f t="shared" si="55"/>
        <v>813.39894154327635</v>
      </c>
      <c r="S104" s="62">
        <f ca="1">AVERAGE(OFFSET($R$3,0,0,'Données projet'!$E$9+1,1))-AVERAGE(OFFSET($H$3,0,0,'Données projet'!$E$9+1,1))</f>
        <v>371.95849973474657</v>
      </c>
      <c r="T104" s="62">
        <f t="shared" si="88"/>
        <v>233.32640143610547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5.6843418860808015E-14</v>
      </c>
      <c r="AJ104" s="14">
        <f>AI104*VLOOKUP('Données projet'!$B$10,Paramètres!$A$1:$I$89,3,0)*VLOOKUP('Données projet'!$B$10,Paramètres!$A$1:$I$89,5,0)</f>
        <v>4.4337866711430253E-14</v>
      </c>
      <c r="AK104" s="14">
        <f t="shared" si="89"/>
        <v>7.3222115536967035E-13</v>
      </c>
      <c r="AL104" s="22">
        <f t="shared" si="58"/>
        <v>1.3525069634579169E-12</v>
      </c>
      <c r="AM104" s="62">
        <f t="shared" si="59"/>
        <v>293.33333333333468</v>
      </c>
      <c r="AN104" s="62">
        <f ca="1">AVERAGE(OFFSET($AM$3,0,0,'Données projet'!$E$10+1,1))-AVERAGE(OFFSET($H$3,0,0,'Données projet'!$E$10+1,1))</f>
        <v>288.82868507674738</v>
      </c>
      <c r="AO104" s="62">
        <f t="shared" si="90"/>
        <v>283.48738729114024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0.24247076547378865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0.24247076547378865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4.4000000000000004</v>
      </c>
      <c r="N105" s="14">
        <f>IF('Données projet'!$A$36&gt;35,N104+M105-V104,IF(A105&lt;'Données projet'!$A$36,$K$205^A105,IF(A105='Données projet'!$A$36,'Données projet'!$B$36,N104+M105-V104)))</f>
        <v>269.80000000000007</v>
      </c>
      <c r="O105" s="14">
        <f>N105*VLOOKUP('Données projet'!$B$9,Paramètres!$A$1:$I$89,3,0)*VLOOKUP('Données projet'!$B$9,Paramètres!$A$1:$I$89,5,0)</f>
        <v>244.11504000000008</v>
      </c>
      <c r="P105" s="14">
        <f t="shared" si="87"/>
        <v>59.324023461759062</v>
      </c>
      <c r="Q105" s="22">
        <f t="shared" si="107"/>
        <v>528.48970219589717</v>
      </c>
      <c r="R105" s="62">
        <f t="shared" si="55"/>
        <v>821.82303552923054</v>
      </c>
      <c r="S105" s="62">
        <f ca="1">AVERAGE(OFFSET($R$3,0,0,'Données projet'!$E$9+1,1))-AVERAGE(OFFSET($H$3,0,0,'Données projet'!$E$9+1,1))</f>
        <v>371.95849973474657</v>
      </c>
      <c r="T105" s="62">
        <f t="shared" si="88"/>
        <v>233.32640143610547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5.6843418860808015E-14</v>
      </c>
      <c r="AJ105" s="14">
        <f>AI105*VLOOKUP('Données projet'!$B$10,Paramètres!$A$1:$I$89,3,0)*VLOOKUP('Données projet'!$B$10,Paramètres!$A$1:$I$89,5,0)</f>
        <v>4.4337866711430253E-14</v>
      </c>
      <c r="AK105" s="14">
        <f t="shared" si="89"/>
        <v>7.3222115536967035E-13</v>
      </c>
      <c r="AL105" s="22">
        <f t="shared" si="58"/>
        <v>1.3525069634579169E-12</v>
      </c>
      <c r="AM105" s="62">
        <f t="shared" si="59"/>
        <v>293.33333333333468</v>
      </c>
      <c r="AN105" s="62">
        <f ca="1">AVERAGE(OFFSET($AM$3,0,0,'Données projet'!$E$10+1,1))-AVERAGE(OFFSET($H$3,0,0,'Données projet'!$E$10+1,1))</f>
        <v>288.82868507674738</v>
      </c>
      <c r="AO105" s="62">
        <f t="shared" si="90"/>
        <v>283.48738729114024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0.23584038964092452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0.23584038964092452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4.4000000000000004</v>
      </c>
      <c r="N106" s="14">
        <f>IF('Données projet'!$A$36&gt;35,N105+M106-V105,IF(A106&lt;'Données projet'!$A$36,$K$205^A106,IF(A106='Données projet'!$A$36,'Données projet'!$B$36,N105+M106-V105)))</f>
        <v>274.20000000000005</v>
      </c>
      <c r="O106" s="14">
        <f>N106*VLOOKUP('Données projet'!$B$9,Paramètres!$A$1:$I$89,3,0)*VLOOKUP('Données projet'!$B$9,Paramètres!$A$1:$I$89,5,0)</f>
        <v>248.09616</v>
      </c>
      <c r="P106" s="14">
        <f t="shared" si="87"/>
        <v>60.178080967364686</v>
      </c>
      <c r="Q106" s="22">
        <f t="shared" si="107"/>
        <v>536.91096968482668</v>
      </c>
      <c r="R106" s="62">
        <f t="shared" si="55"/>
        <v>830.24430301816005</v>
      </c>
      <c r="S106" s="62">
        <f ca="1">AVERAGE(OFFSET($R$3,0,0,'Données projet'!$E$9+1,1))-AVERAGE(OFFSET($H$3,0,0,'Données projet'!$E$9+1,1))</f>
        <v>371.95849973474657</v>
      </c>
      <c r="T106" s="62">
        <f t="shared" si="88"/>
        <v>233.32640143610547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5.6843418860808015E-14</v>
      </c>
      <c r="AJ106" s="14">
        <f>AI106*VLOOKUP('Données projet'!$B$10,Paramètres!$A$1:$I$89,3,0)*VLOOKUP('Données projet'!$B$10,Paramètres!$A$1:$I$89,5,0)</f>
        <v>4.4337866711430253E-14</v>
      </c>
      <c r="AK106" s="14">
        <f t="shared" si="89"/>
        <v>7.3222115536967035E-13</v>
      </c>
      <c r="AL106" s="22">
        <f t="shared" si="58"/>
        <v>1.3525069634579169E-12</v>
      </c>
      <c r="AM106" s="62">
        <f t="shared" si="59"/>
        <v>293.33333333333468</v>
      </c>
      <c r="AN106" s="62">
        <f ca="1">AVERAGE(OFFSET($AM$3,0,0,'Données projet'!$E$10+1,1))-AVERAGE(OFFSET($H$3,0,0,'Données projet'!$E$10+1,1))</f>
        <v>288.82868507674738</v>
      </c>
      <c r="AO106" s="62">
        <f t="shared" si="90"/>
        <v>283.48738729114024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0.22939132178388635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0.22939132178388635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4.4000000000000004</v>
      </c>
      <c r="N107" s="14">
        <f>IF('Données projet'!$A$36&gt;35,N106+M107-V106,IF(A107&lt;'Données projet'!$A$36,$K$205^A107,IF(A107='Données projet'!$A$36,'Données projet'!$B$36,N106+M107-V106)))</f>
        <v>278.60000000000002</v>
      </c>
      <c r="O107" s="14">
        <f>N107*VLOOKUP('Données projet'!$B$9,Paramètres!$A$1:$I$89,3,0)*VLOOKUP('Données projet'!$B$9,Paramètres!$A$1:$I$89,5,0)</f>
        <v>252.07728</v>
      </c>
      <c r="P107" s="14">
        <f t="shared" si="87"/>
        <v>61.030544652154987</v>
      </c>
      <c r="Q107" s="22">
        <f t="shared" si="107"/>
        <v>545.32946126916988</v>
      </c>
      <c r="R107" s="62">
        <f t="shared" si="55"/>
        <v>838.66279460250325</v>
      </c>
      <c r="S107" s="62">
        <f ca="1">AVERAGE(OFFSET($R$3,0,0,'Données projet'!$E$9+1,1))-AVERAGE(OFFSET($H$3,0,0,'Données projet'!$E$9+1,1))</f>
        <v>371.95849973474657</v>
      </c>
      <c r="T107" s="62">
        <f t="shared" si="88"/>
        <v>233.32640143610547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5.6843418860808015E-14</v>
      </c>
      <c r="AJ107" s="14">
        <f>AI107*VLOOKUP('Données projet'!$B$10,Paramètres!$A$1:$I$89,3,0)*VLOOKUP('Données projet'!$B$10,Paramètres!$A$1:$I$89,5,0)</f>
        <v>4.4337866711430253E-14</v>
      </c>
      <c r="AK107" s="14">
        <f t="shared" si="89"/>
        <v>7.3222115536967035E-13</v>
      </c>
      <c r="AL107" s="22">
        <f t="shared" si="58"/>
        <v>1.3525069634579169E-12</v>
      </c>
      <c r="AM107" s="62">
        <f t="shared" si="59"/>
        <v>293.33333333333468</v>
      </c>
      <c r="AN107" s="62">
        <f ca="1">AVERAGE(OFFSET($AM$3,0,0,'Données projet'!$E$10+1,1))-AVERAGE(OFFSET($H$3,0,0,'Données projet'!$E$10+1,1))</f>
        <v>288.82868507674738</v>
      </c>
      <c r="AO107" s="62">
        <f t="shared" si="90"/>
        <v>283.48738729114024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0.22311860402654066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0.22311860402654066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283</v>
      </c>
      <c r="L108" s="13">
        <f>VLOOKUP(A108,'Données projet'!$A$35:$I$55,9,0)</f>
        <v>4.4000000000000004</v>
      </c>
      <c r="M108" s="13">
        <f t="array" ref="M108">INDEX(L:L,MIN(IF(ISNUMBER(L108:L304),ROW(L108:L304),"")))</f>
        <v>4.4000000000000004</v>
      </c>
      <c r="N108" s="14">
        <f>IF('Données projet'!$A$36&gt;35,N107+M108-V107,IF(A108&lt;'Données projet'!$A$36,$K$205^A108,IF(A108='Données projet'!$A$36,'Données projet'!$B$36,N107+M108-V107)))</f>
        <v>283</v>
      </c>
      <c r="O108" s="14">
        <f>N108*VLOOKUP('Données projet'!$B$9,Paramètres!$A$1:$I$89,3,0)*VLOOKUP('Données projet'!$B$9,Paramètres!$A$1:$I$89,5,0)</f>
        <v>256.05840000000001</v>
      </c>
      <c r="P108" s="14">
        <f t="shared" si="87"/>
        <v>61.881442594256484</v>
      </c>
      <c r="Q108" s="22">
        <f t="shared" si="107"/>
        <v>553.74522585166335</v>
      </c>
      <c r="R108" s="62">
        <f t="shared" si="55"/>
        <v>847.07855918499672</v>
      </c>
      <c r="S108" s="62">
        <f ca="1">AVERAGE(OFFSET($R$3,0,0,'Données projet'!$E$9+1,1))-AVERAGE(OFFSET($H$3,0,0,'Données projet'!$E$9+1,1))</f>
        <v>371.95849973474657</v>
      </c>
      <c r="T108" s="62">
        <f t="shared" si="88"/>
        <v>233.32640143610547</v>
      </c>
      <c r="U108" s="16">
        <f>IF(ISNA(VLOOKUP(A108,'Données projet'!$A$35:$I$55,3,0)),0,VLOOKUP(A108,'Données projet'!$A$35:$I$55,3,0))</f>
        <v>17</v>
      </c>
      <c r="V108" s="16">
        <f>IF(ISNA(VLOOKUP(A108,'Données projet'!$A$35:$I$55,4,0)),0,VLOOKUP(A108,'Données projet'!$A$35:$I$55,4,0))</f>
        <v>20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5.6843418860808015E-14</v>
      </c>
      <c r="AJ108" s="14">
        <f>AI108*VLOOKUP('Données projet'!$B$10,Paramètres!$A$1:$I$89,3,0)*VLOOKUP('Données projet'!$B$10,Paramètres!$A$1:$I$89,5,0)</f>
        <v>4.4337866711430253E-14</v>
      </c>
      <c r="AK108" s="14">
        <f t="shared" si="89"/>
        <v>7.3222115536967035E-13</v>
      </c>
      <c r="AL108" s="22">
        <f t="shared" si="58"/>
        <v>1.3525069634579169E-12</v>
      </c>
      <c r="AM108" s="62">
        <f t="shared" si="59"/>
        <v>293.33333333333468</v>
      </c>
      <c r="AN108" s="62">
        <f ca="1">AVERAGE(OFFSET($AM$3,0,0,'Données projet'!$E$10+1,1))-AVERAGE(OFFSET($H$3,0,0,'Données projet'!$E$10+1,1))</f>
        <v>288.82868507674738</v>
      </c>
      <c r="AO108" s="62">
        <f t="shared" si="90"/>
        <v>283.48738729114024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0.21701741406613745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0.21701741406613745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4.2</v>
      </c>
      <c r="N109" s="14">
        <f>IF('Données projet'!$A$36&gt;35,N108+M109-V108,IF(A109&lt;'Données projet'!$A$36,$K$205^A109,IF(A109='Données projet'!$A$36,'Données projet'!$B$36,N108+M109-V108)))</f>
        <v>267.2</v>
      </c>
      <c r="O109" s="14">
        <f>N109*VLOOKUP('Données projet'!$B$9,Paramètres!$A$1:$I$89,3,0)*VLOOKUP('Données projet'!$B$9,Paramètres!$A$1:$I$89,5,0)</f>
        <v>241.76255999999995</v>
      </c>
      <c r="P109" s="14">
        <f t="shared" si="87"/>
        <v>58.818592205643363</v>
      </c>
      <c r="Q109" s="22">
        <f t="shared" si="107"/>
        <v>523.5121734248288</v>
      </c>
      <c r="R109" s="62">
        <f t="shared" si="55"/>
        <v>816.84550675816217</v>
      </c>
      <c r="S109" s="62">
        <f ca="1">AVERAGE(OFFSET($R$3,0,0,'Données projet'!$E$9+1,1))-AVERAGE(OFFSET($H$3,0,0,'Données projet'!$E$9+1,1))</f>
        <v>371.95849973474657</v>
      </c>
      <c r="T109" s="62">
        <f t="shared" si="88"/>
        <v>233.32640143610547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5.6843418860808015E-14</v>
      </c>
      <c r="AJ109" s="14">
        <f>AI109*VLOOKUP('Données projet'!$B$10,Paramètres!$A$1:$I$89,3,0)*VLOOKUP('Données projet'!$B$10,Paramètres!$A$1:$I$89,5,0)</f>
        <v>4.4337866711430253E-14</v>
      </c>
      <c r="AK109" s="14">
        <f t="shared" si="89"/>
        <v>7.3222115536967035E-13</v>
      </c>
      <c r="AL109" s="22">
        <f t="shared" si="58"/>
        <v>1.3525069634579169E-12</v>
      </c>
      <c r="AM109" s="62">
        <f t="shared" si="59"/>
        <v>293.33333333333468</v>
      </c>
      <c r="AN109" s="62">
        <f ca="1">AVERAGE(OFFSET($AM$3,0,0,'Données projet'!$E$10+1,1))-AVERAGE(OFFSET($H$3,0,0,'Données projet'!$E$10+1,1))</f>
        <v>288.82868507674738</v>
      </c>
      <c r="AO109" s="62">
        <f t="shared" si="90"/>
        <v>283.48738729114024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0.2110830614660491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0.2110830614660491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4.2</v>
      </c>
      <c r="N110" s="14">
        <f>IF('Données projet'!$A$36&gt;35,N109+M110-V109,IF(A110&lt;'Données projet'!$A$36,$K$205^A110,IF(A110='Données projet'!$A$36,'Données projet'!$B$36,N109+M110-V109)))</f>
        <v>271.39999999999998</v>
      </c>
      <c r="O110" s="14">
        <f>N110*VLOOKUP('Données projet'!$B$9,Paramètres!$A$1:$I$89,3,0)*VLOOKUP('Données projet'!$B$9,Paramètres!$A$1:$I$89,5,0)</f>
        <v>245.56271999999998</v>
      </c>
      <c r="P110" s="14">
        <f t="shared" si="87"/>
        <v>59.634776048276898</v>
      </c>
      <c r="Q110" s="22">
        <f t="shared" si="107"/>
        <v>531.55230561741564</v>
      </c>
      <c r="R110" s="62">
        <f t="shared" si="55"/>
        <v>824.8856389507489</v>
      </c>
      <c r="S110" s="62">
        <f ca="1">AVERAGE(OFFSET($R$3,0,0,'Données projet'!$E$9+1,1))-AVERAGE(OFFSET($H$3,0,0,'Données projet'!$E$9+1,1))</f>
        <v>371.95849973474657</v>
      </c>
      <c r="T110" s="62">
        <f t="shared" si="88"/>
        <v>233.32640143610547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5.6843418860808015E-14</v>
      </c>
      <c r="AJ110" s="14">
        <f>AI110*VLOOKUP('Données projet'!$B$10,Paramètres!$A$1:$I$89,3,0)*VLOOKUP('Données projet'!$B$10,Paramètres!$A$1:$I$89,5,0)</f>
        <v>4.4337866711430253E-14</v>
      </c>
      <c r="AK110" s="14">
        <f t="shared" si="89"/>
        <v>7.3222115536967035E-13</v>
      </c>
      <c r="AL110" s="22">
        <f t="shared" si="58"/>
        <v>1.3525069634579169E-12</v>
      </c>
      <c r="AM110" s="62">
        <f t="shared" si="59"/>
        <v>293.33333333333468</v>
      </c>
      <c r="AN110" s="62">
        <f ca="1">AVERAGE(OFFSET($AM$3,0,0,'Données projet'!$E$10+1,1))-AVERAGE(OFFSET($H$3,0,0,'Données projet'!$E$10+1,1))</f>
        <v>288.82868507674738</v>
      </c>
      <c r="AO110" s="62">
        <f t="shared" si="90"/>
        <v>283.48738729114024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0.20531098404988424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0.20531098404988424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4.2</v>
      </c>
      <c r="N111" s="14">
        <f>IF('Données projet'!$A$36&gt;35,N110+M111-V110,IF(A111&lt;'Données projet'!$A$36,$K$205^A111,IF(A111='Données projet'!$A$36,'Données projet'!$B$36,N110+M111-V110)))</f>
        <v>275.59999999999997</v>
      </c>
      <c r="O111" s="14">
        <f>N111*VLOOKUP('Données projet'!$B$9,Paramètres!$A$1:$I$89,3,0)*VLOOKUP('Données projet'!$B$9,Paramètres!$A$1:$I$89,5,0)</f>
        <v>249.36287999999993</v>
      </c>
      <c r="P111" s="14">
        <f t="shared" si="87"/>
        <v>60.449490938742557</v>
      </c>
      <c r="Q111" s="22">
        <f t="shared" si="107"/>
        <v>539.58987938497648</v>
      </c>
      <c r="R111" s="62">
        <f t="shared" si="55"/>
        <v>832.92321271830974</v>
      </c>
      <c r="S111" s="62">
        <f ca="1">AVERAGE(OFFSET($R$3,0,0,'Données projet'!$E$9+1,1))-AVERAGE(OFFSET($H$3,0,0,'Données projet'!$E$9+1,1))</f>
        <v>371.95849973474657</v>
      </c>
      <c r="T111" s="62">
        <f t="shared" si="88"/>
        <v>233.32640143610547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5.6843418860808015E-14</v>
      </c>
      <c r="AJ111" s="14">
        <f>AI111*VLOOKUP('Données projet'!$B$10,Paramètres!$A$1:$I$89,3,0)*VLOOKUP('Données projet'!$B$10,Paramètres!$A$1:$I$89,5,0)</f>
        <v>4.4337866711430253E-14</v>
      </c>
      <c r="AK111" s="14">
        <f t="shared" si="89"/>
        <v>7.3222115536967035E-13</v>
      </c>
      <c r="AL111" s="22">
        <f t="shared" si="58"/>
        <v>1.3525069634579169E-12</v>
      </c>
      <c r="AM111" s="62">
        <f t="shared" si="59"/>
        <v>293.33333333333468</v>
      </c>
      <c r="AN111" s="62">
        <f ca="1">AVERAGE(OFFSET($AM$3,0,0,'Données projet'!$E$10+1,1))-AVERAGE(OFFSET($H$3,0,0,'Données projet'!$E$10+1,1))</f>
        <v>288.82868507674738</v>
      </c>
      <c r="AO111" s="62">
        <f t="shared" si="90"/>
        <v>283.48738729114024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0.19969674439420473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0.19969674439420473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4.2</v>
      </c>
      <c r="N112" s="14">
        <f>IF('Données projet'!$A$36&gt;35,N111+M112-V111,IF(A112&lt;'Données projet'!$A$36,$K$205^A112,IF(A112='Données projet'!$A$36,'Données projet'!$B$36,N111+M112-V111)))</f>
        <v>279.79999999999995</v>
      </c>
      <c r="O112" s="14">
        <f>N112*VLOOKUP('Données projet'!$B$9,Paramètres!$A$1:$I$89,3,0)*VLOOKUP('Données projet'!$B$9,Paramètres!$A$1:$I$89,5,0)</f>
        <v>253.16303999999994</v>
      </c>
      <c r="P112" s="14">
        <f t="shared" si="87"/>
        <v>61.262761848635037</v>
      </c>
      <c r="Q112" s="22">
        <f t="shared" si="107"/>
        <v>547.62493821970588</v>
      </c>
      <c r="R112" s="62">
        <f t="shared" si="55"/>
        <v>840.95827155303914</v>
      </c>
      <c r="S112" s="62">
        <f ca="1">AVERAGE(OFFSET($R$3,0,0,'Données projet'!$E$9+1,1))-AVERAGE(OFFSET($H$3,0,0,'Données projet'!$E$9+1,1))</f>
        <v>371.95849973474657</v>
      </c>
      <c r="T112" s="62">
        <f t="shared" si="88"/>
        <v>233.32640143610547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5.6843418860808015E-14</v>
      </c>
      <c r="AJ112" s="14">
        <f>AI112*VLOOKUP('Données projet'!$B$10,Paramètres!$A$1:$I$89,3,0)*VLOOKUP('Données projet'!$B$10,Paramètres!$A$1:$I$89,5,0)</f>
        <v>4.4337866711430253E-14</v>
      </c>
      <c r="AK112" s="14">
        <f t="shared" si="89"/>
        <v>7.3222115536967035E-13</v>
      </c>
      <c r="AL112" s="22">
        <f t="shared" si="58"/>
        <v>1.3525069634579169E-12</v>
      </c>
      <c r="AM112" s="62">
        <f t="shared" si="59"/>
        <v>293.33333333333468</v>
      </c>
      <c r="AN112" s="62">
        <f ca="1">AVERAGE(OFFSET($AM$3,0,0,'Données projet'!$E$10+1,1))-AVERAGE(OFFSET($H$3,0,0,'Données projet'!$E$10+1,1))</f>
        <v>288.82868507674738</v>
      </c>
      <c r="AO112" s="62">
        <f t="shared" si="90"/>
        <v>283.48738729114024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0.19423602641714982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0.19423602641714982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284</v>
      </c>
      <c r="L113" s="13">
        <f>VLOOKUP(A113,'Données projet'!$A$35:$I$55,9,0)</f>
        <v>4.2</v>
      </c>
      <c r="M113" s="13">
        <f t="array" ref="M113">INDEX(L:L,MIN(IF(ISNUMBER(L113:L309),ROW(L113:L309),"")))</f>
        <v>4.2</v>
      </c>
      <c r="N113" s="14">
        <f>IF('Données projet'!$A$36&gt;35,N112+M113-V112,IF(A113&lt;'Données projet'!$A$36,$K$205^A113,IF(A113='Données projet'!$A$36,'Données projet'!$B$36,N112+M113-V112)))</f>
        <v>283.99999999999994</v>
      </c>
      <c r="O113" s="14">
        <f>N113*VLOOKUP('Données projet'!$B$9,Paramètres!$A$1:$I$89,3,0)*VLOOKUP('Données projet'!$B$9,Paramètres!$A$1:$I$89,5,0)</f>
        <v>256.96319999999992</v>
      </c>
      <c r="P113" s="14">
        <f t="shared" si="87"/>
        <v>62.074612956838024</v>
      </c>
      <c r="Q113" s="22">
        <f t="shared" si="107"/>
        <v>555.65752423315928</v>
      </c>
      <c r="R113" s="62">
        <f t="shared" si="55"/>
        <v>848.99085756649265</v>
      </c>
      <c r="S113" s="62">
        <f ca="1">AVERAGE(OFFSET($R$3,0,0,'Données projet'!$E$9+1,1))-AVERAGE(OFFSET($H$3,0,0,'Données projet'!$E$9+1,1))</f>
        <v>371.95849973474657</v>
      </c>
      <c r="T113" s="62">
        <f t="shared" si="88"/>
        <v>233.32640143610547</v>
      </c>
      <c r="U113" s="16">
        <f>IF(ISNA(VLOOKUP(A113,'Données projet'!$A$35:$I$55,3,0)),0,VLOOKUP(A113,'Données projet'!$A$35:$I$55,3,0))</f>
        <v>18</v>
      </c>
      <c r="V113" s="16">
        <f>IF(ISNA(VLOOKUP(A113,'Données projet'!$A$35:$I$55,4,0)),0,VLOOKUP(A113,'Données projet'!$A$35:$I$55,4,0))</f>
        <v>19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5.6843418860808015E-14</v>
      </c>
      <c r="AJ113" s="14">
        <f>AI113*VLOOKUP('Données projet'!$B$10,Paramètres!$A$1:$I$89,3,0)*VLOOKUP('Données projet'!$B$10,Paramètres!$A$1:$I$89,5,0)</f>
        <v>4.4337866711430253E-14</v>
      </c>
      <c r="AK113" s="14">
        <f t="shared" si="89"/>
        <v>7.3222115536967035E-13</v>
      </c>
      <c r="AL113" s="22">
        <f t="shared" si="58"/>
        <v>1.3525069634579169E-12</v>
      </c>
      <c r="AM113" s="62">
        <f t="shared" si="59"/>
        <v>293.33333333333468</v>
      </c>
      <c r="AN113" s="62">
        <f ca="1">AVERAGE(OFFSET($AM$3,0,0,'Données projet'!$E$10+1,1))-AVERAGE(OFFSET($H$3,0,0,'Données projet'!$E$10+1,1))</f>
        <v>288.82868507674738</v>
      </c>
      <c r="AO113" s="62">
        <f t="shared" si="90"/>
        <v>283.48738729114024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0.18892463206034416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0.18892463206034416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3.8</v>
      </c>
      <c r="N114" s="14">
        <f>IF('Données projet'!$A$36&gt;35,N113+M114-V113,IF(A114&lt;'Données projet'!$A$36,$K$205^A114,IF(A114='Données projet'!$A$36,'Données projet'!$B$36,N113+M114-V113)))</f>
        <v>268.79999999999995</v>
      </c>
      <c r="O114" s="14">
        <f>N114*VLOOKUP('Données projet'!$B$9,Paramètres!$A$1:$I$89,3,0)*VLOOKUP('Données projet'!$B$9,Paramètres!$A$1:$I$89,5,0)</f>
        <v>243.21023999999997</v>
      </c>
      <c r="P114" s="14">
        <f t="shared" si="87"/>
        <v>59.129694216846737</v>
      </c>
      <c r="Q114" s="22">
        <f t="shared" si="107"/>
        <v>526.57538542767463</v>
      </c>
      <c r="R114" s="62">
        <f t="shared" si="55"/>
        <v>819.908718761008</v>
      </c>
      <c r="S114" s="62">
        <f ca="1">AVERAGE(OFFSET($R$3,0,0,'Données projet'!$E$9+1,1))-AVERAGE(OFFSET($H$3,0,0,'Données projet'!$E$9+1,1))</f>
        <v>371.95849973474657</v>
      </c>
      <c r="T114" s="62">
        <f t="shared" si="88"/>
        <v>233.32640143610547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5.6843418860808015E-14</v>
      </c>
      <c r="AJ114" s="14">
        <f>AI114*VLOOKUP('Données projet'!$B$10,Paramètres!$A$1:$I$89,3,0)*VLOOKUP('Données projet'!$B$10,Paramètres!$A$1:$I$89,5,0)</f>
        <v>4.4337866711430253E-14</v>
      </c>
      <c r="AK114" s="14">
        <f t="shared" si="89"/>
        <v>7.3222115536967035E-13</v>
      </c>
      <c r="AL114" s="22">
        <f t="shared" si="58"/>
        <v>1.3525069634579169E-12</v>
      </c>
      <c r="AM114" s="62">
        <f t="shared" si="59"/>
        <v>293.33333333333468</v>
      </c>
      <c r="AN114" s="62">
        <f ca="1">AVERAGE(OFFSET($AM$3,0,0,'Données projet'!$E$10+1,1))-AVERAGE(OFFSET($H$3,0,0,'Données projet'!$E$10+1,1))</f>
        <v>288.82868507674738</v>
      </c>
      <c r="AO114" s="62">
        <f t="shared" si="90"/>
        <v>283.48738729114024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0.18375847806153944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0.18375847806153944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3.8</v>
      </c>
      <c r="N115" s="14">
        <f>IF('Données projet'!$A$36&gt;35,N114+M115-V114,IF(A115&lt;'Données projet'!$A$36,$K$205^A115,IF(A115='Données projet'!$A$36,'Données projet'!$B$36,N114+M115-V114)))</f>
        <v>272.59999999999997</v>
      </c>
      <c r="O115" s="14">
        <f>N115*VLOOKUP('Données projet'!$B$9,Paramètres!$A$1:$I$89,3,0)*VLOOKUP('Données projet'!$B$9,Paramètres!$A$1:$I$89,5,0)</f>
        <v>246.64847999999998</v>
      </c>
      <c r="P115" s="14">
        <f t="shared" si="87"/>
        <v>59.867700517050096</v>
      </c>
      <c r="Q115" s="22">
        <f t="shared" si="107"/>
        <v>533.84901440052897</v>
      </c>
      <c r="R115" s="62">
        <f t="shared" si="55"/>
        <v>827.18234773386234</v>
      </c>
      <c r="S115" s="62">
        <f ca="1">AVERAGE(OFFSET($R$3,0,0,'Données projet'!$E$9+1,1))-AVERAGE(OFFSET($H$3,0,0,'Données projet'!$E$9+1,1))</f>
        <v>371.95849973474657</v>
      </c>
      <c r="T115" s="62">
        <f t="shared" si="88"/>
        <v>233.32640143610547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5.6843418860808015E-14</v>
      </c>
      <c r="AJ115" s="14">
        <f>AI115*VLOOKUP('Données projet'!$B$10,Paramètres!$A$1:$I$89,3,0)*VLOOKUP('Données projet'!$B$10,Paramètres!$A$1:$I$89,5,0)</f>
        <v>4.4337866711430253E-14</v>
      </c>
      <c r="AK115" s="14">
        <f t="shared" si="89"/>
        <v>7.3222115536967035E-13</v>
      </c>
      <c r="AL115" s="22">
        <f t="shared" si="58"/>
        <v>1.3525069634579169E-12</v>
      </c>
      <c r="AM115" s="62">
        <f t="shared" si="59"/>
        <v>293.33333333333468</v>
      </c>
      <c r="AN115" s="62">
        <f ca="1">AVERAGE(OFFSET($AM$3,0,0,'Données projet'!$E$10+1,1))-AVERAGE(OFFSET($H$3,0,0,'Données projet'!$E$10+1,1))</f>
        <v>288.82868507674738</v>
      </c>
      <c r="AO115" s="62">
        <f t="shared" si="90"/>
        <v>283.48738729114024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0.17873359281550827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0.17873359281550827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3.8</v>
      </c>
      <c r="N116" s="14">
        <f>IF('Données projet'!$A$36&gt;35,N115+M116-V115,IF(A116&lt;'Données projet'!$A$36,$K$205^A116,IF(A116='Données projet'!$A$36,'Données projet'!$B$36,N115+M116-V115)))</f>
        <v>276.39999999999998</v>
      </c>
      <c r="O116" s="14">
        <f>N116*VLOOKUP('Données projet'!$B$9,Paramètres!$A$1:$I$89,3,0)*VLOOKUP('Données projet'!$B$9,Paramètres!$A$1:$I$89,5,0)</f>
        <v>250.08671999999999</v>
      </c>
      <c r="P116" s="14">
        <f t="shared" si="87"/>
        <v>60.604510260306157</v>
      </c>
      <c r="Q116" s="22">
        <f t="shared" si="107"/>
        <v>541.12055937003322</v>
      </c>
      <c r="R116" s="62">
        <f t="shared" si="55"/>
        <v>834.45389270336659</v>
      </c>
      <c r="S116" s="62">
        <f ca="1">AVERAGE(OFFSET($R$3,0,0,'Données projet'!$E$9+1,1))-AVERAGE(OFFSET($H$3,0,0,'Données projet'!$E$9+1,1))</f>
        <v>371.95849973474657</v>
      </c>
      <c r="T116" s="62">
        <f t="shared" si="88"/>
        <v>233.32640143610547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5.6843418860808015E-14</v>
      </c>
      <c r="AJ116" s="14">
        <f>AI116*VLOOKUP('Données projet'!$B$10,Paramètres!$A$1:$I$89,3,0)*VLOOKUP('Données projet'!$B$10,Paramètres!$A$1:$I$89,5,0)</f>
        <v>4.4337866711430253E-14</v>
      </c>
      <c r="AK116" s="14">
        <f t="shared" si="89"/>
        <v>7.3222115536967035E-13</v>
      </c>
      <c r="AL116" s="22">
        <f t="shared" si="58"/>
        <v>1.3525069634579169E-12</v>
      </c>
      <c r="AM116" s="62">
        <f t="shared" si="59"/>
        <v>293.33333333333468</v>
      </c>
      <c r="AN116" s="62">
        <f ca="1">AVERAGE(OFFSET($AM$3,0,0,'Données projet'!$E$10+1,1))-AVERAGE(OFFSET($H$3,0,0,'Données projet'!$E$10+1,1))</f>
        <v>288.82868507674738</v>
      </c>
      <c r="AO116" s="62">
        <f t="shared" si="90"/>
        <v>283.48738729114024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0.17384611332077704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0.17384611332077704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3.8</v>
      </c>
      <c r="N117" s="14">
        <f>IF('Données projet'!$A$36&gt;35,N116+M117-V116,IF(A117&lt;'Données projet'!$A$36,$K$205^A117,IF(A117='Données projet'!$A$36,'Données projet'!$B$36,N116+M117-V116)))</f>
        <v>280.2</v>
      </c>
      <c r="O117" s="14">
        <f>N117*VLOOKUP('Données projet'!$B$9,Paramètres!$A$1:$I$89,3,0)*VLOOKUP('Données projet'!$B$9,Paramètres!$A$1:$I$89,5,0)</f>
        <v>253.52495999999999</v>
      </c>
      <c r="P117" s="14">
        <f t="shared" si="87"/>
        <v>61.340141798422209</v>
      </c>
      <c r="Q117" s="22">
        <f t="shared" si="107"/>
        <v>548.39005229891859</v>
      </c>
      <c r="R117" s="62">
        <f t="shared" si="55"/>
        <v>841.72338563225185</v>
      </c>
      <c r="S117" s="62">
        <f ca="1">AVERAGE(OFFSET($R$3,0,0,'Données projet'!$E$9+1,1))-AVERAGE(OFFSET($H$3,0,0,'Données projet'!$E$9+1,1))</f>
        <v>371.95849973474657</v>
      </c>
      <c r="T117" s="62">
        <f t="shared" si="88"/>
        <v>233.32640143610547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5.6843418860808015E-14</v>
      </c>
      <c r="AJ117" s="14">
        <f>AI117*VLOOKUP('Données projet'!$B$10,Paramètres!$A$1:$I$89,3,0)*VLOOKUP('Données projet'!$B$10,Paramètres!$A$1:$I$89,5,0)</f>
        <v>4.4337866711430253E-14</v>
      </c>
      <c r="AK117" s="14">
        <f t="shared" si="89"/>
        <v>7.3222115536967035E-13</v>
      </c>
      <c r="AL117" s="22">
        <f t="shared" si="58"/>
        <v>1.3525069634579169E-12</v>
      </c>
      <c r="AM117" s="62">
        <f t="shared" si="59"/>
        <v>293.33333333333468</v>
      </c>
      <c r="AN117" s="62">
        <f ca="1">AVERAGE(OFFSET($AM$3,0,0,'Données projet'!$E$10+1,1))-AVERAGE(OFFSET($H$3,0,0,'Données projet'!$E$10+1,1))</f>
        <v>288.82868507674738</v>
      </c>
      <c r="AO117" s="62">
        <f t="shared" si="90"/>
        <v>283.48738729114024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0.16909228220985062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0.16909228220985062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284</v>
      </c>
      <c r="L118" s="13">
        <f>VLOOKUP(A118,'Données projet'!$A$35:$I$55,9,0)</f>
        <v>3.8</v>
      </c>
      <c r="M118" s="13">
        <f t="array" ref="M118">INDEX(L:L,MIN(IF(ISNUMBER(L118:L314),ROW(L118:L314),"")))</f>
        <v>3.8</v>
      </c>
      <c r="N118" s="14">
        <f>IF('Données projet'!$A$36&gt;35,N117+M118-V117,IF(A118&lt;'Données projet'!$A$36,$K$205^A118,IF(A118='Données projet'!$A$36,'Données projet'!$B$36,N117+M118-V117)))</f>
        <v>284</v>
      </c>
      <c r="O118" s="14">
        <f>N118*VLOOKUP('Données projet'!$B$9,Paramètres!$A$1:$I$89,3,0)*VLOOKUP('Données projet'!$B$9,Paramètres!$A$1:$I$89,5,0)</f>
        <v>256.96320000000003</v>
      </c>
      <c r="P118" s="14">
        <f t="shared" si="87"/>
        <v>62.074612956838024</v>
      </c>
      <c r="Q118" s="22">
        <f t="shared" si="107"/>
        <v>555.65752423315951</v>
      </c>
      <c r="R118" s="62">
        <f t="shared" si="55"/>
        <v>848.99085756649288</v>
      </c>
      <c r="S118" s="62">
        <f ca="1">AVERAGE(OFFSET($R$3,0,0,'Données projet'!$E$9+1,1))-AVERAGE(OFFSET($H$3,0,0,'Données projet'!$E$9+1,1))</f>
        <v>371.95849973474657</v>
      </c>
      <c r="T118" s="62">
        <f t="shared" si="88"/>
        <v>233.32640143610547</v>
      </c>
      <c r="U118" s="16">
        <f>IF(ISNA(VLOOKUP(A118,'Données projet'!$A$35:$I$55,3,0)),0,VLOOKUP(A118,'Données projet'!$A$35:$I$55,3,0))</f>
        <v>19</v>
      </c>
      <c r="V118" s="16">
        <f>IF(ISNA(VLOOKUP(A118,'Données projet'!$A$35:$I$55,4,0)),0,VLOOKUP(A118,'Données projet'!$A$35:$I$55,4,0))</f>
        <v>18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5.6843418860808015E-14</v>
      </c>
      <c r="AJ118" s="14">
        <f>AI118*VLOOKUP('Données projet'!$B$10,Paramètres!$A$1:$I$89,3,0)*VLOOKUP('Données projet'!$B$10,Paramètres!$A$1:$I$89,5,0)</f>
        <v>4.4337866711430253E-14</v>
      </c>
      <c r="AK118" s="14">
        <f t="shared" si="89"/>
        <v>7.3222115536967035E-13</v>
      </c>
      <c r="AL118" s="22">
        <f t="shared" si="58"/>
        <v>1.3525069634579169E-12</v>
      </c>
      <c r="AM118" s="62">
        <f t="shared" si="59"/>
        <v>293.33333333333468</v>
      </c>
      <c r="AN118" s="62">
        <f ca="1">AVERAGE(OFFSET($AM$3,0,0,'Données projet'!$E$10+1,1))-AVERAGE(OFFSET($H$3,0,0,'Données projet'!$E$10+1,1))</f>
        <v>288.82868507674738</v>
      </c>
      <c r="AO118" s="62">
        <f t="shared" si="90"/>
        <v>283.48738729114024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0.1644684448606456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0.1644684448606456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3.6</v>
      </c>
      <c r="N119" s="14">
        <f>IF('Données projet'!$A$36&gt;35,N118+M119-V118,IF(A119&lt;'Données projet'!$A$36,$K$205^A119,IF(A119='Données projet'!$A$36,'Données projet'!$B$36,N118+M119-V118)))</f>
        <v>269.60000000000002</v>
      </c>
      <c r="O119" s="14">
        <f>N119*VLOOKUP('Données projet'!$B$9,Paramètres!$A$1:$I$89,3,0)*VLOOKUP('Données projet'!$B$9,Paramètres!$A$1:$I$89,5,0)</f>
        <v>243.93407999999999</v>
      </c>
      <c r="P119" s="14">
        <f t="shared" si="87"/>
        <v>59.285164329617594</v>
      </c>
      <c r="Q119" s="22">
        <f t="shared" si="107"/>
        <v>528.10685054075066</v>
      </c>
      <c r="R119" s="62">
        <f t="shared" si="55"/>
        <v>821.44018387408391</v>
      </c>
      <c r="S119" s="62">
        <f ca="1">AVERAGE(OFFSET($R$3,0,0,'Données projet'!$E$9+1,1))-AVERAGE(OFFSET($H$3,0,0,'Données projet'!$E$9+1,1))</f>
        <v>371.95849973474657</v>
      </c>
      <c r="T119" s="62">
        <f t="shared" si="88"/>
        <v>233.32640143610547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5.6843418860808015E-14</v>
      </c>
      <c r="AJ119" s="14">
        <f>AI119*VLOOKUP('Données projet'!$B$10,Paramètres!$A$1:$I$89,3,0)*VLOOKUP('Données projet'!$B$10,Paramètres!$A$1:$I$89,5,0)</f>
        <v>4.4337866711430253E-14</v>
      </c>
      <c r="AK119" s="14">
        <f t="shared" si="89"/>
        <v>7.3222115536967035E-13</v>
      </c>
      <c r="AL119" s="22">
        <f t="shared" si="58"/>
        <v>1.3525069634579169E-12</v>
      </c>
      <c r="AM119" s="62">
        <f t="shared" si="59"/>
        <v>293.33333333333468</v>
      </c>
      <c r="AN119" s="62">
        <f ca="1">AVERAGE(OFFSET($AM$3,0,0,'Données projet'!$E$10+1,1))-AVERAGE(OFFSET($H$3,0,0,'Données projet'!$E$10+1,1))</f>
        <v>288.82868507674738</v>
      </c>
      <c r="AO119" s="62">
        <f t="shared" si="90"/>
        <v>283.48738729114024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0.15997104658691164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0.15997104658691164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3.6</v>
      </c>
      <c r="N120" s="14">
        <f>IF('Données projet'!$A$36&gt;35,N119+M120-V119,IF(A120&lt;'Données projet'!$A$36,$K$205^A120,IF(A120='Données projet'!$A$36,'Données projet'!$B$36,N119+M120-V119)))</f>
        <v>273.20000000000005</v>
      </c>
      <c r="O120" s="14">
        <f>N120*VLOOKUP('Données projet'!$B$9,Paramètres!$A$1:$I$89,3,0)*VLOOKUP('Données projet'!$B$9,Paramètres!$A$1:$I$89,5,0)</f>
        <v>247.19136000000003</v>
      </c>
      <c r="P120" s="14">
        <f t="shared" si="87"/>
        <v>59.984117969781565</v>
      </c>
      <c r="Q120" s="22">
        <f t="shared" si="107"/>
        <v>534.99729079736949</v>
      </c>
      <c r="R120" s="62">
        <f t="shared" si="55"/>
        <v>828.33062413070274</v>
      </c>
      <c r="S120" s="62">
        <f ca="1">AVERAGE(OFFSET($R$3,0,0,'Données projet'!$E$9+1,1))-AVERAGE(OFFSET($H$3,0,0,'Données projet'!$E$9+1,1))</f>
        <v>371.95849973474657</v>
      </c>
      <c r="T120" s="62">
        <f t="shared" si="88"/>
        <v>233.32640143610547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5.6843418860808015E-14</v>
      </c>
      <c r="AJ120" s="14">
        <f>AI120*VLOOKUP('Données projet'!$B$10,Paramètres!$A$1:$I$89,3,0)*VLOOKUP('Données projet'!$B$10,Paramètres!$A$1:$I$89,5,0)</f>
        <v>4.4337866711430253E-14</v>
      </c>
      <c r="AK120" s="14">
        <f t="shared" si="89"/>
        <v>7.3222115536967035E-13</v>
      </c>
      <c r="AL120" s="22">
        <f t="shared" si="58"/>
        <v>1.3525069634579169E-12</v>
      </c>
      <c r="AM120" s="62">
        <f t="shared" si="59"/>
        <v>293.33333333333468</v>
      </c>
      <c r="AN120" s="62">
        <f ca="1">AVERAGE(OFFSET($AM$3,0,0,'Données projet'!$E$10+1,1))-AVERAGE(OFFSET($H$3,0,0,'Données projet'!$E$10+1,1))</f>
        <v>288.82868507674738</v>
      </c>
      <c r="AO120" s="62">
        <f t="shared" si="90"/>
        <v>283.48738729114024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0.15559662990548082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0.15559662990548082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3.6</v>
      </c>
      <c r="N121" s="14">
        <f>IF('Données projet'!$A$36&gt;35,N120+M121-V120,IF(A121&lt;'Données projet'!$A$36,$K$205^A121,IF(A121='Données projet'!$A$36,'Données projet'!$B$36,N120+M121-V120)))</f>
        <v>276.80000000000007</v>
      </c>
      <c r="O121" s="14">
        <f>N121*VLOOKUP('Données projet'!$B$9,Paramètres!$A$1:$I$89,3,0)*VLOOKUP('Données projet'!$B$9,Paramètres!$A$1:$I$89,5,0)</f>
        <v>250.44864000000007</v>
      </c>
      <c r="P121" s="14">
        <f t="shared" si="87"/>
        <v>60.682000328890055</v>
      </c>
      <c r="Q121" s="22">
        <f t="shared" si="107"/>
        <v>541.88586523948368</v>
      </c>
      <c r="R121" s="62">
        <f t="shared" si="55"/>
        <v>835.21919857281705</v>
      </c>
      <c r="S121" s="62">
        <f ca="1">AVERAGE(OFFSET($R$3,0,0,'Données projet'!$E$9+1,1))-AVERAGE(OFFSET($H$3,0,0,'Données projet'!$E$9+1,1))</f>
        <v>371.95849973474657</v>
      </c>
      <c r="T121" s="62">
        <f t="shared" si="88"/>
        <v>233.32640143610547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5.6843418860808015E-14</v>
      </c>
      <c r="AJ121" s="14">
        <f>AI121*VLOOKUP('Données projet'!$B$10,Paramètres!$A$1:$I$89,3,0)*VLOOKUP('Données projet'!$B$10,Paramètres!$A$1:$I$89,5,0)</f>
        <v>4.4337866711430253E-14</v>
      </c>
      <c r="AK121" s="14">
        <f t="shared" si="89"/>
        <v>7.3222115536967035E-13</v>
      </c>
      <c r="AL121" s="22">
        <f t="shared" si="58"/>
        <v>1.3525069634579169E-12</v>
      </c>
      <c r="AM121" s="62">
        <f t="shared" si="59"/>
        <v>293.33333333333468</v>
      </c>
      <c r="AN121" s="62">
        <f ca="1">AVERAGE(OFFSET($AM$3,0,0,'Données projet'!$E$10+1,1))-AVERAGE(OFFSET($H$3,0,0,'Données projet'!$E$10+1,1))</f>
        <v>288.82868507674738</v>
      </c>
      <c r="AO121" s="62">
        <f t="shared" si="90"/>
        <v>283.48738729114024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0.15134183187824429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0.15134183187824429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3.6</v>
      </c>
      <c r="N122" s="14">
        <f>IF('Données projet'!$A$36&gt;35,N121+M122-V121,IF(A122&lt;'Données projet'!$A$36,$K$205^A122,IF(A122='Données projet'!$A$36,'Données projet'!$B$36,N121+M122-V121)))</f>
        <v>280.40000000000009</v>
      </c>
      <c r="O122" s="14">
        <f>N122*VLOOKUP('Données projet'!$B$9,Paramètres!$A$1:$I$89,3,0)*VLOOKUP('Données projet'!$B$9,Paramètres!$A$1:$I$89,5,0)</f>
        <v>253.70592000000005</v>
      </c>
      <c r="P122" s="14">
        <f t="shared" si="87"/>
        <v>61.378826950685919</v>
      </c>
      <c r="Q122" s="22">
        <f t="shared" si="107"/>
        <v>548.77260093911138</v>
      </c>
      <c r="R122" s="62">
        <f t="shared" si="55"/>
        <v>842.10593427244476</v>
      </c>
      <c r="S122" s="62">
        <f ca="1">AVERAGE(OFFSET($R$3,0,0,'Données projet'!$E$9+1,1))-AVERAGE(OFFSET($H$3,0,0,'Données projet'!$E$9+1,1))</f>
        <v>371.95849973474657</v>
      </c>
      <c r="T122" s="62">
        <f t="shared" si="88"/>
        <v>233.32640143610547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5.6843418860808015E-14</v>
      </c>
      <c r="AJ122" s="14">
        <f>AI122*VLOOKUP('Données projet'!$B$10,Paramètres!$A$1:$I$89,3,0)*VLOOKUP('Données projet'!$B$10,Paramètres!$A$1:$I$89,5,0)</f>
        <v>4.4337866711430253E-14</v>
      </c>
      <c r="AK122" s="14">
        <f t="shared" si="89"/>
        <v>7.3222115536967035E-13</v>
      </c>
      <c r="AL122" s="22">
        <f t="shared" si="58"/>
        <v>1.3525069634579169E-12</v>
      </c>
      <c r="AM122" s="62">
        <f t="shared" si="59"/>
        <v>293.33333333333468</v>
      </c>
      <c r="AN122" s="62">
        <f ca="1">AVERAGE(OFFSET($AM$3,0,0,'Données projet'!$E$10+1,1))-AVERAGE(OFFSET($H$3,0,0,'Données projet'!$E$10+1,1))</f>
        <v>288.82868507674738</v>
      </c>
      <c r="AO122" s="62">
        <f t="shared" si="90"/>
        <v>283.48738729114024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0.14720338152681267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0.14720338152681267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284</v>
      </c>
      <c r="L123" s="13">
        <f>VLOOKUP(A123,'Données projet'!$A$35:$I$55,9,0)</f>
        <v>3.6</v>
      </c>
      <c r="M123" s="13">
        <f t="array" ref="M123">INDEX(L:L,MIN(IF(ISNUMBER(L123:L319),ROW(L123:L319),"")))</f>
        <v>3.6</v>
      </c>
      <c r="N123" s="14">
        <f>IF('Données projet'!$A$36&gt;35,N122+M123-V122,IF(A123&lt;'Données projet'!$A$36,$K$205^A123,IF(A123='Données projet'!$A$36,'Données projet'!$B$36,N122+M123-V122)))</f>
        <v>284.00000000000011</v>
      </c>
      <c r="O123" s="14">
        <f>N123*VLOOKUP('Données projet'!$B$9,Paramètres!$A$1:$I$89,3,0)*VLOOKUP('Données projet'!$B$9,Paramètres!$A$1:$I$89,5,0)</f>
        <v>256.96320000000009</v>
      </c>
      <c r="P123" s="14">
        <f t="shared" si="87"/>
        <v>62.074612956838024</v>
      </c>
      <c r="Q123" s="22">
        <f t="shared" si="107"/>
        <v>555.65752423315973</v>
      </c>
      <c r="R123" s="62">
        <f t="shared" si="55"/>
        <v>848.9908575664931</v>
      </c>
      <c r="S123" s="62">
        <f ca="1">AVERAGE(OFFSET($R$3,0,0,'Données projet'!$E$9+1,1))-AVERAGE(OFFSET($H$3,0,0,'Données projet'!$E$9+1,1))</f>
        <v>371.95849973474657</v>
      </c>
      <c r="T123" s="62">
        <f t="shared" si="88"/>
        <v>233.32640143610547</v>
      </c>
      <c r="U123" s="16">
        <f>IF(ISNA(VLOOKUP(A123,'Données projet'!$A$35:$I$55,3,0)),0,VLOOKUP(A123,'Données projet'!$A$35:$I$55,3,0))</f>
        <v>20</v>
      </c>
      <c r="V123" s="16">
        <f>IF(ISNA(VLOOKUP(A123,'Données projet'!$A$35:$I$55,4,0)),0,VLOOKUP(A123,'Données projet'!$A$35:$I$55,4,0))</f>
        <v>284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5.6843418860808015E-14</v>
      </c>
      <c r="AJ123" s="14">
        <f>AI123*VLOOKUP('Données projet'!$B$10,Paramètres!$A$1:$I$89,3,0)*VLOOKUP('Données projet'!$B$10,Paramètres!$A$1:$I$89,5,0)</f>
        <v>4.4337866711430253E-14</v>
      </c>
      <c r="AK123" s="14">
        <f t="shared" si="89"/>
        <v>7.3222115536967035E-13</v>
      </c>
      <c r="AL123" s="22">
        <f t="shared" si="58"/>
        <v>1.3525069634579169E-12</v>
      </c>
      <c r="AM123" s="62">
        <f t="shared" si="59"/>
        <v>293.33333333333468</v>
      </c>
      <c r="AN123" s="62">
        <f ca="1">AVERAGE(OFFSET($AM$3,0,0,'Données projet'!$E$10+1,1))-AVERAGE(OFFSET($H$3,0,0,'Données projet'!$E$10+1,1))</f>
        <v>288.82868507674738</v>
      </c>
      <c r="AO123" s="62">
        <f t="shared" si="90"/>
        <v>283.48738729114024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0.14317809731787259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0.14317809731787259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1.0286385077051818E-13</v>
      </c>
      <c r="P124" s="14">
        <f t="shared" si="87"/>
        <v>1.5402366592183556E-12</v>
      </c>
      <c r="Q124" s="22">
        <f t="shared" si="107"/>
        <v>2.8617333882306215E-12</v>
      </c>
      <c r="R124" s="62">
        <f t="shared" si="55"/>
        <v>293.33333333333616</v>
      </c>
      <c r="S124" s="62">
        <f ca="1">AVERAGE(OFFSET($R$3,0,0,'Données projet'!$E$9+1,1))-AVERAGE(OFFSET($H$3,0,0,'Données projet'!$E$9+1,1))</f>
        <v>371.95849973474657</v>
      </c>
      <c r="T124" s="62">
        <f t="shared" si="88"/>
        <v>233.32640143610547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5.6843418860808015E-14</v>
      </c>
      <c r="AJ124" s="14">
        <f>AI124*VLOOKUP('Données projet'!$B$10,Paramètres!$A$1:$I$89,3,0)*VLOOKUP('Données projet'!$B$10,Paramètres!$A$1:$I$89,5,0)</f>
        <v>4.4337866711430253E-14</v>
      </c>
      <c r="AK124" s="14">
        <f t="shared" si="89"/>
        <v>7.3222115536967035E-13</v>
      </c>
      <c r="AL124" s="22">
        <f t="shared" si="58"/>
        <v>1.3525069634579169E-12</v>
      </c>
      <c r="AM124" s="62">
        <f t="shared" si="59"/>
        <v>293.33333333333468</v>
      </c>
      <c r="AN124" s="62">
        <f ca="1">AVERAGE(OFFSET($AM$3,0,0,'Données projet'!$E$10+1,1))-AVERAGE(OFFSET($H$3,0,0,'Données projet'!$E$10+1,1))</f>
        <v>288.82868507674738</v>
      </c>
      <c r="AO124" s="62">
        <f t="shared" si="90"/>
        <v>283.48738729114024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0.13926288471730647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0.13926288471730647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1.0286385077051818E-13</v>
      </c>
      <c r="P125" s="14">
        <f t="shared" si="87"/>
        <v>1.5402366592183556E-12</v>
      </c>
      <c r="Q125" s="22">
        <f t="shared" si="107"/>
        <v>2.8617333882306215E-12</v>
      </c>
      <c r="R125" s="62">
        <f t="shared" si="55"/>
        <v>293.33333333333616</v>
      </c>
      <c r="S125" s="62">
        <f ca="1">AVERAGE(OFFSET($R$3,0,0,'Données projet'!$E$9+1,1))-AVERAGE(OFFSET($H$3,0,0,'Données projet'!$E$9+1,1))</f>
        <v>371.95849973474657</v>
      </c>
      <c r="T125" s="62">
        <f t="shared" si="88"/>
        <v>233.32640143610547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5.6843418860808015E-14</v>
      </c>
      <c r="AJ125" s="14">
        <f>AI125*VLOOKUP('Données projet'!$B$10,Paramètres!$A$1:$I$89,3,0)*VLOOKUP('Données projet'!$B$10,Paramètres!$A$1:$I$89,5,0)</f>
        <v>4.4337866711430253E-14</v>
      </c>
      <c r="AK125" s="14">
        <f t="shared" si="89"/>
        <v>7.3222115536967035E-13</v>
      </c>
      <c r="AL125" s="22">
        <f t="shared" si="58"/>
        <v>1.3525069634579169E-12</v>
      </c>
      <c r="AM125" s="62">
        <f t="shared" si="59"/>
        <v>293.33333333333468</v>
      </c>
      <c r="AN125" s="62">
        <f ca="1">AVERAGE(OFFSET($AM$3,0,0,'Données projet'!$E$10+1,1))-AVERAGE(OFFSET($H$3,0,0,'Données projet'!$E$10+1,1))</f>
        <v>288.82868507674738</v>
      </c>
      <c r="AO125" s="62">
        <f t="shared" si="90"/>
        <v>283.48738729114024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0.13545473381119491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0.13545473381119491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1.0286385077051818E-13</v>
      </c>
      <c r="P126" s="14">
        <f t="shared" si="87"/>
        <v>1.5402366592183556E-12</v>
      </c>
      <c r="Q126" s="22">
        <f t="shared" si="107"/>
        <v>2.8617333882306215E-12</v>
      </c>
      <c r="R126" s="62">
        <f t="shared" si="55"/>
        <v>293.33333333333616</v>
      </c>
      <c r="S126" s="62">
        <f ca="1">AVERAGE(OFFSET($R$3,0,0,'Données projet'!$E$9+1,1))-AVERAGE(OFFSET($H$3,0,0,'Données projet'!$E$9+1,1))</f>
        <v>371.95849973474657</v>
      </c>
      <c r="T126" s="62">
        <f t="shared" si="88"/>
        <v>233.32640143610547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5.6843418860808015E-14</v>
      </c>
      <c r="AJ126" s="14">
        <f>AI126*VLOOKUP('Données projet'!$B$10,Paramètres!$A$1:$I$89,3,0)*VLOOKUP('Données projet'!$B$10,Paramètres!$A$1:$I$89,5,0)</f>
        <v>4.4337866711430253E-14</v>
      </c>
      <c r="AK126" s="14">
        <f t="shared" si="89"/>
        <v>7.3222115536967035E-13</v>
      </c>
      <c r="AL126" s="22">
        <f t="shared" si="58"/>
        <v>1.3525069634579169E-12</v>
      </c>
      <c r="AM126" s="62">
        <f t="shared" si="59"/>
        <v>293.33333333333468</v>
      </c>
      <c r="AN126" s="62">
        <f ca="1">AVERAGE(OFFSET($AM$3,0,0,'Données projet'!$E$10+1,1))-AVERAGE(OFFSET($H$3,0,0,'Données projet'!$E$10+1,1))</f>
        <v>288.82868507674738</v>
      </c>
      <c r="AO126" s="62">
        <f t="shared" si="90"/>
        <v>283.48738729114024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0.13175071699187291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0.13175071699187291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1.0286385077051818E-13</v>
      </c>
      <c r="P127" s="14">
        <f t="shared" si="87"/>
        <v>1.5402366592183556E-12</v>
      </c>
      <c r="Q127" s="22">
        <f t="shared" si="107"/>
        <v>2.8617333882306215E-12</v>
      </c>
      <c r="R127" s="62">
        <f t="shared" si="55"/>
        <v>293.33333333333616</v>
      </c>
      <c r="S127" s="62">
        <f ca="1">AVERAGE(OFFSET($R$3,0,0,'Données projet'!$E$9+1,1))-AVERAGE(OFFSET($H$3,0,0,'Données projet'!$E$9+1,1))</f>
        <v>371.95849973474657</v>
      </c>
      <c r="T127" s="62">
        <f t="shared" si="88"/>
        <v>233.32640143610547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5.6843418860808015E-14</v>
      </c>
      <c r="AJ127" s="14">
        <f>AI127*VLOOKUP('Données projet'!$B$10,Paramètres!$A$1:$I$89,3,0)*VLOOKUP('Données projet'!$B$10,Paramètres!$A$1:$I$89,5,0)</f>
        <v>4.4337866711430253E-14</v>
      </c>
      <c r="AK127" s="14">
        <f t="shared" si="89"/>
        <v>7.3222115536967035E-13</v>
      </c>
      <c r="AL127" s="22">
        <f t="shared" si="58"/>
        <v>1.3525069634579169E-12</v>
      </c>
      <c r="AM127" s="62">
        <f t="shared" si="59"/>
        <v>293.33333333333468</v>
      </c>
      <c r="AN127" s="62">
        <f ca="1">AVERAGE(OFFSET($AM$3,0,0,'Données projet'!$E$10+1,1))-AVERAGE(OFFSET($H$3,0,0,'Données projet'!$E$10+1,1))</f>
        <v>288.82868507674738</v>
      </c>
      <c r="AO127" s="62">
        <f t="shared" si="90"/>
        <v>283.48738729114024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0.12814798670726105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0.12814798670726105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1.0286385077051818E-13</v>
      </c>
      <c r="P128" s="14">
        <f t="shared" si="87"/>
        <v>1.5402366592183556E-12</v>
      </c>
      <c r="Q128" s="22">
        <f t="shared" si="107"/>
        <v>2.8617333882306215E-12</v>
      </c>
      <c r="R128" s="62">
        <f t="shared" si="55"/>
        <v>293.33333333333616</v>
      </c>
      <c r="S128" s="62">
        <f ca="1">AVERAGE(OFFSET($R$3,0,0,'Données projet'!$E$9+1,1))-AVERAGE(OFFSET($H$3,0,0,'Données projet'!$E$9+1,1))</f>
        <v>371.95849973474657</v>
      </c>
      <c r="T128" s="62">
        <f t="shared" si="88"/>
        <v>233.32640143610547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5.6843418860808015E-14</v>
      </c>
      <c r="AJ128" s="14">
        <f>AI128*VLOOKUP('Données projet'!$B$10,Paramètres!$A$1:$I$89,3,0)*VLOOKUP('Données projet'!$B$10,Paramètres!$A$1:$I$89,5,0)</f>
        <v>4.4337866711430253E-14</v>
      </c>
      <c r="AK128" s="14">
        <f t="shared" si="89"/>
        <v>7.3222115536967035E-13</v>
      </c>
      <c r="AL128" s="22">
        <f t="shared" si="58"/>
        <v>1.3525069634579169E-12</v>
      </c>
      <c r="AM128" s="62">
        <f t="shared" si="59"/>
        <v>293.33333333333468</v>
      </c>
      <c r="AN128" s="62">
        <f ca="1">AVERAGE(OFFSET($AM$3,0,0,'Données projet'!$E$10+1,1))-AVERAGE(OFFSET($H$3,0,0,'Données projet'!$E$10+1,1))</f>
        <v>288.82868507674738</v>
      </c>
      <c r="AO128" s="62">
        <f t="shared" si="90"/>
        <v>283.48738729114024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0.12464377327174125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0.12464377327174125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1.0286385077051818E-13</v>
      </c>
      <c r="P129" s="14">
        <f t="shared" si="87"/>
        <v>1.5402366592183556E-12</v>
      </c>
      <c r="Q129" s="22">
        <f t="shared" si="107"/>
        <v>2.8617333882306215E-12</v>
      </c>
      <c r="R129" s="62">
        <f t="shared" si="55"/>
        <v>293.33333333333616</v>
      </c>
      <c r="S129" s="62">
        <f ca="1">AVERAGE(OFFSET($R$3,0,0,'Données projet'!$E$9+1,1))-AVERAGE(OFFSET($H$3,0,0,'Données projet'!$E$9+1,1))</f>
        <v>371.95849973474657</v>
      </c>
      <c r="T129" s="62">
        <f t="shared" si="88"/>
        <v>233.32640143610547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5.6843418860808015E-14</v>
      </c>
      <c r="AJ129" s="14">
        <f>AI129*VLOOKUP('Données projet'!$B$10,Paramètres!$A$1:$I$89,3,0)*VLOOKUP('Données projet'!$B$10,Paramètres!$A$1:$I$89,5,0)</f>
        <v>4.4337866711430253E-14</v>
      </c>
      <c r="AK129" s="14">
        <f t="shared" si="89"/>
        <v>7.3222115536967035E-13</v>
      </c>
      <c r="AL129" s="22">
        <f t="shared" si="58"/>
        <v>1.3525069634579169E-12</v>
      </c>
      <c r="AM129" s="62">
        <f t="shared" si="59"/>
        <v>293.33333333333468</v>
      </c>
      <c r="AN129" s="62">
        <f ca="1">AVERAGE(OFFSET($AM$3,0,0,'Données projet'!$E$10+1,1))-AVERAGE(OFFSET($H$3,0,0,'Données projet'!$E$10+1,1))</f>
        <v>288.82868507674738</v>
      </c>
      <c r="AO129" s="62">
        <f t="shared" si="90"/>
        <v>283.48738729114024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0.12123538273689433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0.12123538273689433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1.0286385077051818E-13</v>
      </c>
      <c r="P130" s="14">
        <f t="shared" si="87"/>
        <v>1.5402366592183556E-12</v>
      </c>
      <c r="Q130" s="22">
        <f t="shared" si="107"/>
        <v>2.8617333882306215E-12</v>
      </c>
      <c r="R130" s="62">
        <f t="shared" si="55"/>
        <v>293.33333333333616</v>
      </c>
      <c r="S130" s="62">
        <f ca="1">AVERAGE(OFFSET($R$3,0,0,'Données projet'!$E$9+1,1))-AVERAGE(OFFSET($H$3,0,0,'Données projet'!$E$9+1,1))</f>
        <v>371.95849973474657</v>
      </c>
      <c r="T130" s="62">
        <f t="shared" si="88"/>
        <v>233.32640143610547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5.6843418860808015E-14</v>
      </c>
      <c r="AJ130" s="14">
        <f>AI130*VLOOKUP('Données projet'!$B$10,Paramètres!$A$1:$I$89,3,0)*VLOOKUP('Données projet'!$B$10,Paramètres!$A$1:$I$89,5,0)</f>
        <v>4.4337866711430253E-14</v>
      </c>
      <c r="AK130" s="14">
        <f t="shared" si="89"/>
        <v>7.3222115536967035E-13</v>
      </c>
      <c r="AL130" s="22">
        <f t="shared" si="58"/>
        <v>1.3525069634579169E-12</v>
      </c>
      <c r="AM130" s="62">
        <f t="shared" si="59"/>
        <v>293.33333333333468</v>
      </c>
      <c r="AN130" s="62">
        <f ca="1">AVERAGE(OFFSET($AM$3,0,0,'Données projet'!$E$10+1,1))-AVERAGE(OFFSET($H$3,0,0,'Données projet'!$E$10+1,1))</f>
        <v>288.82868507674738</v>
      </c>
      <c r="AO130" s="62">
        <f t="shared" si="90"/>
        <v>283.48738729114024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0.11792019482046226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0.11792019482046226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1.0286385077051818E-13</v>
      </c>
      <c r="P131" s="14">
        <f t="shared" si="87"/>
        <v>1.5402366592183556E-12</v>
      </c>
      <c r="Q131" s="22">
        <f t="shared" ref="Q131:Q153" si="108">(O131+P131)*0.475*44/12</f>
        <v>2.8617333882306215E-12</v>
      </c>
      <c r="R131" s="62">
        <f t="shared" ref="R131:R194" si="109">Q131+(I131+J131)*44/12</f>
        <v>293.33333333333616</v>
      </c>
      <c r="S131" s="62">
        <f ca="1">AVERAGE(OFFSET($R$3,0,0,'Données projet'!$E$9+1,1))-AVERAGE(OFFSET($H$3,0,0,'Données projet'!$E$9+1,1))</f>
        <v>371.95849973474657</v>
      </c>
      <c r="T131" s="62">
        <f t="shared" si="88"/>
        <v>233.32640143610547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5.6843418860808015E-14</v>
      </c>
      <c r="AJ131" s="14">
        <f>AI131*VLOOKUP('Données projet'!$B$10,Paramètres!$A$1:$I$89,3,0)*VLOOKUP('Données projet'!$B$10,Paramètres!$A$1:$I$89,5,0)</f>
        <v>4.4337866711430253E-14</v>
      </c>
      <c r="AK131" s="14">
        <f t="shared" si="89"/>
        <v>7.3222115536967035E-13</v>
      </c>
      <c r="AL131" s="22">
        <f t="shared" si="58"/>
        <v>1.3525069634579169E-12</v>
      </c>
      <c r="AM131" s="62">
        <f t="shared" si="59"/>
        <v>293.33333333333468</v>
      </c>
      <c r="AN131" s="62">
        <f ca="1">AVERAGE(OFFSET($AM$3,0,0,'Données projet'!$E$10+1,1))-AVERAGE(OFFSET($H$3,0,0,'Données projet'!$E$10+1,1))</f>
        <v>288.82868507674738</v>
      </c>
      <c r="AO131" s="62">
        <f t="shared" si="90"/>
        <v>283.48738729114024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0.11469566089194318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0.11469566089194318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1.0286385077051818E-13</v>
      </c>
      <c r="P132" s="14">
        <f t="shared" si="87"/>
        <v>1.5402366592183556E-12</v>
      </c>
      <c r="Q132" s="22">
        <f t="shared" si="108"/>
        <v>2.8617333882306215E-12</v>
      </c>
      <c r="R132" s="62">
        <f t="shared" si="109"/>
        <v>293.33333333333616</v>
      </c>
      <c r="S132" s="62">
        <f ca="1">AVERAGE(OFFSET($R$3,0,0,'Données projet'!$E$9+1,1))-AVERAGE(OFFSET($H$3,0,0,'Données projet'!$E$9+1,1))</f>
        <v>371.95849973474657</v>
      </c>
      <c r="T132" s="62">
        <f t="shared" si="88"/>
        <v>233.32640143610547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5.6843418860808015E-14</v>
      </c>
      <c r="AJ132" s="14">
        <f>AI132*VLOOKUP('Données projet'!$B$10,Paramètres!$A$1:$I$89,3,0)*VLOOKUP('Données projet'!$B$10,Paramètres!$A$1:$I$89,5,0)</f>
        <v>4.4337866711430253E-14</v>
      </c>
      <c r="AK132" s="14">
        <f t="shared" si="89"/>
        <v>7.3222115536967035E-13</v>
      </c>
      <c r="AL132" s="22">
        <f t="shared" ref="AL132:AL153" si="112">(AJ132+AK132)*0.475*44/12</f>
        <v>1.3525069634579169E-12</v>
      </c>
      <c r="AM132" s="62">
        <f t="shared" ref="AM132:AM195" si="113">AL132+(AD132+AE132)*44/12</f>
        <v>293.33333333333468</v>
      </c>
      <c r="AN132" s="62">
        <f ca="1">AVERAGE(OFFSET($AM$3,0,0,'Données projet'!$E$10+1,1))-AVERAGE(OFFSET($H$3,0,0,'Données projet'!$E$10+1,1))</f>
        <v>288.82868507674738</v>
      </c>
      <c r="AO132" s="62">
        <f t="shared" si="90"/>
        <v>283.48738729114024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0.11155930201327033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0.11155930201327033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1.0286385077051818E-13</v>
      </c>
      <c r="P133" s="14">
        <f t="shared" ref="P133:P196" si="141">EXP(-1.0587+0.8836*LN(O133)+0.284)</f>
        <v>1.5402366592183556E-12</v>
      </c>
      <c r="Q133" s="22">
        <f t="shared" si="108"/>
        <v>2.8617333882306215E-12</v>
      </c>
      <c r="R133" s="62">
        <f t="shared" si="109"/>
        <v>293.33333333333616</v>
      </c>
      <c r="S133" s="62">
        <f ca="1">AVERAGE(OFFSET($R$3,0,0,'Données projet'!$E$9+1,1))-AVERAGE(OFFSET($H$3,0,0,'Données projet'!$E$9+1,1))</f>
        <v>371.95849973474657</v>
      </c>
      <c r="T133" s="62">
        <f t="shared" ref="T133:T196" si="142">$T$3</f>
        <v>233.32640143610547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5.6843418860808015E-14</v>
      </c>
      <c r="AJ133" s="14">
        <f>AI133*VLOOKUP('Données projet'!$B$10,Paramètres!$A$1:$I$89,3,0)*VLOOKUP('Données projet'!$B$10,Paramètres!$A$1:$I$89,5,0)</f>
        <v>4.4337866711430253E-14</v>
      </c>
      <c r="AK133" s="14">
        <f t="shared" ref="AK133:AK153" si="143">EXP(-1.0587+0.8836*LN(AJ133)+0.284)</f>
        <v>7.3222115536967035E-13</v>
      </c>
      <c r="AL133" s="22">
        <f t="shared" si="112"/>
        <v>1.3525069634579169E-12</v>
      </c>
      <c r="AM133" s="62">
        <f t="shared" si="113"/>
        <v>293.33333333333468</v>
      </c>
      <c r="AN133" s="62">
        <f ca="1">AVERAGE(OFFSET($AM$3,0,0,'Données projet'!$E$10+1,1))-AVERAGE(OFFSET($H$3,0,0,'Données projet'!$E$10+1,1))</f>
        <v>288.82868507674738</v>
      </c>
      <c r="AO133" s="62">
        <f t="shared" ref="AO133:AO196" si="144">$AO$3</f>
        <v>283.48738729114024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0.10850870703306872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0.10850870703306872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1.0286385077051818E-13</v>
      </c>
      <c r="P134" s="14">
        <f t="shared" si="141"/>
        <v>1.5402366592183556E-12</v>
      </c>
      <c r="Q134" s="22">
        <f t="shared" si="108"/>
        <v>2.8617333882306215E-12</v>
      </c>
      <c r="R134" s="62">
        <f t="shared" si="109"/>
        <v>293.33333333333616</v>
      </c>
      <c r="S134" s="62">
        <f ca="1">AVERAGE(OFFSET($R$3,0,0,'Données projet'!$E$9+1,1))-AVERAGE(OFFSET($H$3,0,0,'Données projet'!$E$9+1,1))</f>
        <v>371.95849973474657</v>
      </c>
      <c r="T134" s="62">
        <f t="shared" si="142"/>
        <v>233.32640143610547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5.6843418860808015E-14</v>
      </c>
      <c r="AJ134" s="14">
        <f>AI134*VLOOKUP('Données projet'!$B$10,Paramètres!$A$1:$I$89,3,0)*VLOOKUP('Données projet'!$B$10,Paramètres!$A$1:$I$89,5,0)</f>
        <v>4.4337866711430253E-14</v>
      </c>
      <c r="AK134" s="14">
        <f t="shared" si="143"/>
        <v>7.3222115536967035E-13</v>
      </c>
      <c r="AL134" s="22">
        <f t="shared" si="112"/>
        <v>1.3525069634579169E-12</v>
      </c>
      <c r="AM134" s="62">
        <f t="shared" si="113"/>
        <v>293.33333333333468</v>
      </c>
      <c r="AN134" s="62">
        <f ca="1">AVERAGE(OFFSET($AM$3,0,0,'Données projet'!$E$10+1,1))-AVERAGE(OFFSET($H$3,0,0,'Données projet'!$E$10+1,1))</f>
        <v>288.82868507674738</v>
      </c>
      <c r="AO134" s="62">
        <f t="shared" si="144"/>
        <v>283.48738729114024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0.10554153073302455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0.10554153073302455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1.0286385077051818E-13</v>
      </c>
      <c r="P135" s="14">
        <f t="shared" si="141"/>
        <v>1.5402366592183556E-12</v>
      </c>
      <c r="Q135" s="22">
        <f t="shared" si="108"/>
        <v>2.8617333882306215E-12</v>
      </c>
      <c r="R135" s="62">
        <f t="shared" si="109"/>
        <v>293.33333333333616</v>
      </c>
      <c r="S135" s="62">
        <f ca="1">AVERAGE(OFFSET($R$3,0,0,'Données projet'!$E$9+1,1))-AVERAGE(OFFSET($H$3,0,0,'Données projet'!$E$9+1,1))</f>
        <v>371.95849973474657</v>
      </c>
      <c r="T135" s="62">
        <f t="shared" si="142"/>
        <v>233.32640143610547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5.6843418860808015E-14</v>
      </c>
      <c r="AJ135" s="14">
        <f>AI135*VLOOKUP('Données projet'!$B$10,Paramètres!$A$1:$I$89,3,0)*VLOOKUP('Données projet'!$B$10,Paramètres!$A$1:$I$89,5,0)</f>
        <v>4.4337866711430253E-14</v>
      </c>
      <c r="AK135" s="14">
        <f t="shared" si="143"/>
        <v>7.3222115536967035E-13</v>
      </c>
      <c r="AL135" s="22">
        <f t="shared" si="112"/>
        <v>1.3525069634579169E-12</v>
      </c>
      <c r="AM135" s="62">
        <f t="shared" si="113"/>
        <v>293.33333333333468</v>
      </c>
      <c r="AN135" s="62">
        <f ca="1">AVERAGE(OFFSET($AM$3,0,0,'Données projet'!$E$10+1,1))-AVERAGE(OFFSET($H$3,0,0,'Données projet'!$E$10+1,1))</f>
        <v>288.82868507674738</v>
      </c>
      <c r="AO135" s="62">
        <f t="shared" si="144"/>
        <v>283.48738729114024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0.10265549202494212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0.10265549202494212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1.0286385077051818E-13</v>
      </c>
      <c r="P136" s="14">
        <f t="shared" si="141"/>
        <v>1.5402366592183556E-12</v>
      </c>
      <c r="Q136" s="22">
        <f t="shared" si="108"/>
        <v>2.8617333882306215E-12</v>
      </c>
      <c r="R136" s="62">
        <f t="shared" si="109"/>
        <v>293.33333333333616</v>
      </c>
      <c r="S136" s="62">
        <f ca="1">AVERAGE(OFFSET($R$3,0,0,'Données projet'!$E$9+1,1))-AVERAGE(OFFSET($H$3,0,0,'Données projet'!$E$9+1,1))</f>
        <v>371.95849973474657</v>
      </c>
      <c r="T136" s="62">
        <f t="shared" si="142"/>
        <v>233.32640143610547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5.6843418860808015E-14</v>
      </c>
      <c r="AJ136" s="14">
        <f>AI136*VLOOKUP('Données projet'!$B$10,Paramètres!$A$1:$I$89,3,0)*VLOOKUP('Données projet'!$B$10,Paramètres!$A$1:$I$89,5,0)</f>
        <v>4.4337866711430253E-14</v>
      </c>
      <c r="AK136" s="14">
        <f t="shared" si="143"/>
        <v>7.3222115536967035E-13</v>
      </c>
      <c r="AL136" s="22">
        <f t="shared" si="112"/>
        <v>1.3525069634579169E-12</v>
      </c>
      <c r="AM136" s="62">
        <f t="shared" si="113"/>
        <v>293.33333333333468</v>
      </c>
      <c r="AN136" s="62">
        <f ca="1">AVERAGE(OFFSET($AM$3,0,0,'Données projet'!$E$10+1,1))-AVERAGE(OFFSET($H$3,0,0,'Données projet'!$E$10+1,1))</f>
        <v>288.82868507674738</v>
      </c>
      <c r="AO136" s="62">
        <f t="shared" si="144"/>
        <v>283.48738729114024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9.9848372197102367E-2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9.9848372197102367E-2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1.0286385077051818E-13</v>
      </c>
      <c r="P137" s="14">
        <f t="shared" si="141"/>
        <v>1.5402366592183556E-12</v>
      </c>
      <c r="Q137" s="22">
        <f t="shared" si="108"/>
        <v>2.8617333882306215E-12</v>
      </c>
      <c r="R137" s="62">
        <f t="shared" si="109"/>
        <v>293.33333333333616</v>
      </c>
      <c r="S137" s="62">
        <f ca="1">AVERAGE(OFFSET($R$3,0,0,'Données projet'!$E$9+1,1))-AVERAGE(OFFSET($H$3,0,0,'Données projet'!$E$9+1,1))</f>
        <v>371.95849973474657</v>
      </c>
      <c r="T137" s="62">
        <f t="shared" si="142"/>
        <v>233.32640143610547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5.6843418860808015E-14</v>
      </c>
      <c r="AJ137" s="14">
        <f>AI137*VLOOKUP('Données projet'!$B$10,Paramètres!$A$1:$I$89,3,0)*VLOOKUP('Données projet'!$B$10,Paramètres!$A$1:$I$89,5,0)</f>
        <v>4.4337866711430253E-14</v>
      </c>
      <c r="AK137" s="14">
        <f t="shared" si="143"/>
        <v>7.3222115536967035E-13</v>
      </c>
      <c r="AL137" s="22">
        <f t="shared" si="112"/>
        <v>1.3525069634579169E-12</v>
      </c>
      <c r="AM137" s="62">
        <f t="shared" si="113"/>
        <v>293.33333333333468</v>
      </c>
      <c r="AN137" s="62">
        <f ca="1">AVERAGE(OFFSET($AM$3,0,0,'Données projet'!$E$10+1,1))-AVERAGE(OFFSET($H$3,0,0,'Données projet'!$E$10+1,1))</f>
        <v>288.82868507674738</v>
      </c>
      <c r="AO137" s="62">
        <f t="shared" si="144"/>
        <v>283.48738729114024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9.711801320857491E-2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9.711801320857491E-2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1.0286385077051818E-13</v>
      </c>
      <c r="P138" s="14">
        <f t="shared" si="141"/>
        <v>1.5402366592183556E-12</v>
      </c>
      <c r="Q138" s="22">
        <f t="shared" si="108"/>
        <v>2.8617333882306215E-12</v>
      </c>
      <c r="R138" s="62">
        <f t="shared" si="109"/>
        <v>293.33333333333616</v>
      </c>
      <c r="S138" s="62">
        <f ca="1">AVERAGE(OFFSET($R$3,0,0,'Données projet'!$E$9+1,1))-AVERAGE(OFFSET($H$3,0,0,'Données projet'!$E$9+1,1))</f>
        <v>371.95849973474657</v>
      </c>
      <c r="T138" s="62">
        <f t="shared" si="142"/>
        <v>233.32640143610547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5.6843418860808015E-14</v>
      </c>
      <c r="AJ138" s="14">
        <f>AI138*VLOOKUP('Données projet'!$B$10,Paramètres!$A$1:$I$89,3,0)*VLOOKUP('Données projet'!$B$10,Paramètres!$A$1:$I$89,5,0)</f>
        <v>4.4337866711430253E-14</v>
      </c>
      <c r="AK138" s="14">
        <f t="shared" si="143"/>
        <v>7.3222115536967035E-13</v>
      </c>
      <c r="AL138" s="22">
        <f t="shared" si="112"/>
        <v>1.3525069634579169E-12</v>
      </c>
      <c r="AM138" s="62">
        <f t="shared" si="113"/>
        <v>293.33333333333468</v>
      </c>
      <c r="AN138" s="62">
        <f ca="1">AVERAGE(OFFSET($AM$3,0,0,'Données projet'!$E$10+1,1))-AVERAGE(OFFSET($H$3,0,0,'Données projet'!$E$10+1,1))</f>
        <v>288.82868507674738</v>
      </c>
      <c r="AO138" s="62">
        <f t="shared" si="144"/>
        <v>283.48738729114024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9.4462316030172078E-2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9.4462316030172078E-2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1.0286385077051818E-13</v>
      </c>
      <c r="P139" s="14">
        <f t="shared" si="141"/>
        <v>1.5402366592183556E-12</v>
      </c>
      <c r="Q139" s="22">
        <f t="shared" si="108"/>
        <v>2.8617333882306215E-12</v>
      </c>
      <c r="R139" s="62">
        <f t="shared" si="109"/>
        <v>293.33333333333616</v>
      </c>
      <c r="S139" s="62">
        <f ca="1">AVERAGE(OFFSET($R$3,0,0,'Données projet'!$E$9+1,1))-AVERAGE(OFFSET($H$3,0,0,'Données projet'!$E$9+1,1))</f>
        <v>371.95849973474657</v>
      </c>
      <c r="T139" s="62">
        <f t="shared" si="142"/>
        <v>233.32640143610547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5.6843418860808015E-14</v>
      </c>
      <c r="AJ139" s="14">
        <f>AI139*VLOOKUP('Données projet'!$B$10,Paramètres!$A$1:$I$89,3,0)*VLOOKUP('Données projet'!$B$10,Paramètres!$A$1:$I$89,5,0)</f>
        <v>4.4337866711430253E-14</v>
      </c>
      <c r="AK139" s="14">
        <f t="shared" si="143"/>
        <v>7.3222115536967035E-13</v>
      </c>
      <c r="AL139" s="22">
        <f t="shared" si="112"/>
        <v>1.3525069634579169E-12</v>
      </c>
      <c r="AM139" s="62">
        <f t="shared" si="113"/>
        <v>293.33333333333468</v>
      </c>
      <c r="AN139" s="62">
        <f ca="1">AVERAGE(OFFSET($AM$3,0,0,'Données projet'!$E$10+1,1))-AVERAGE(OFFSET($H$3,0,0,'Données projet'!$E$10+1,1))</f>
        <v>288.82868507674738</v>
      </c>
      <c r="AO139" s="62">
        <f t="shared" si="144"/>
        <v>283.48738729114024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9.1879239030769722E-2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9.1879239030769722E-2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1.0286385077051818E-13</v>
      </c>
      <c r="P140" s="14">
        <f t="shared" si="141"/>
        <v>1.5402366592183556E-12</v>
      </c>
      <c r="Q140" s="22">
        <f t="shared" si="108"/>
        <v>2.8617333882306215E-12</v>
      </c>
      <c r="R140" s="62">
        <f t="shared" si="109"/>
        <v>293.33333333333616</v>
      </c>
      <c r="S140" s="62">
        <f ca="1">AVERAGE(OFFSET($R$3,0,0,'Données projet'!$E$9+1,1))-AVERAGE(OFFSET($H$3,0,0,'Données projet'!$E$9+1,1))</f>
        <v>371.95849973474657</v>
      </c>
      <c r="T140" s="62">
        <f t="shared" si="142"/>
        <v>233.32640143610547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5.6843418860808015E-14</v>
      </c>
      <c r="AJ140" s="14">
        <f>AI140*VLOOKUP('Données projet'!$B$10,Paramètres!$A$1:$I$89,3,0)*VLOOKUP('Données projet'!$B$10,Paramètres!$A$1:$I$89,5,0)</f>
        <v>4.4337866711430253E-14</v>
      </c>
      <c r="AK140" s="14">
        <f t="shared" si="143"/>
        <v>7.3222115536967035E-13</v>
      </c>
      <c r="AL140" s="22">
        <f t="shared" si="112"/>
        <v>1.3525069634579169E-12</v>
      </c>
      <c r="AM140" s="62">
        <f t="shared" si="113"/>
        <v>293.33333333333468</v>
      </c>
      <c r="AN140" s="62">
        <f ca="1">AVERAGE(OFFSET($AM$3,0,0,'Données projet'!$E$10+1,1))-AVERAGE(OFFSET($H$3,0,0,'Données projet'!$E$10+1,1))</f>
        <v>288.82868507674738</v>
      </c>
      <c r="AO140" s="62">
        <f t="shared" si="144"/>
        <v>283.48738729114024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8.9366796407754134E-2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8.9366796407754134E-2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1.0286385077051818E-13</v>
      </c>
      <c r="P141" s="14">
        <f t="shared" si="141"/>
        <v>1.5402366592183556E-12</v>
      </c>
      <c r="Q141" s="22">
        <f t="shared" si="108"/>
        <v>2.8617333882306215E-12</v>
      </c>
      <c r="R141" s="62">
        <f t="shared" si="109"/>
        <v>293.33333333333616</v>
      </c>
      <c r="S141" s="62">
        <f ca="1">AVERAGE(OFFSET($R$3,0,0,'Données projet'!$E$9+1,1))-AVERAGE(OFFSET($H$3,0,0,'Données projet'!$E$9+1,1))</f>
        <v>371.95849973474657</v>
      </c>
      <c r="T141" s="62">
        <f t="shared" si="142"/>
        <v>233.32640143610547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5.6843418860808015E-14</v>
      </c>
      <c r="AJ141" s="14">
        <f>AI141*VLOOKUP('Données projet'!$B$10,Paramètres!$A$1:$I$89,3,0)*VLOOKUP('Données projet'!$B$10,Paramètres!$A$1:$I$89,5,0)</f>
        <v>4.4337866711430253E-14</v>
      </c>
      <c r="AK141" s="14">
        <f t="shared" si="143"/>
        <v>7.3222115536967035E-13</v>
      </c>
      <c r="AL141" s="22">
        <f t="shared" si="112"/>
        <v>1.3525069634579169E-12</v>
      </c>
      <c r="AM141" s="62">
        <f t="shared" si="113"/>
        <v>293.33333333333468</v>
      </c>
      <c r="AN141" s="62">
        <f ca="1">AVERAGE(OFFSET($AM$3,0,0,'Données projet'!$E$10+1,1))-AVERAGE(OFFSET($H$3,0,0,'Données projet'!$E$10+1,1))</f>
        <v>288.82868507674738</v>
      </c>
      <c r="AO141" s="62">
        <f t="shared" si="144"/>
        <v>283.48738729114024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8.692305666038852E-2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8.692305666038852E-2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1.0286385077051818E-13</v>
      </c>
      <c r="P142" s="14">
        <f t="shared" si="141"/>
        <v>1.5402366592183556E-12</v>
      </c>
      <c r="Q142" s="22">
        <f t="shared" si="108"/>
        <v>2.8617333882306215E-12</v>
      </c>
      <c r="R142" s="62">
        <f t="shared" si="109"/>
        <v>293.33333333333616</v>
      </c>
      <c r="S142" s="62">
        <f ca="1">AVERAGE(OFFSET($R$3,0,0,'Données projet'!$E$9+1,1))-AVERAGE(OFFSET($H$3,0,0,'Données projet'!$E$9+1,1))</f>
        <v>371.95849973474657</v>
      </c>
      <c r="T142" s="62">
        <f t="shared" si="142"/>
        <v>233.32640143610547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5.6843418860808015E-14</v>
      </c>
      <c r="AJ142" s="14">
        <f>AI142*VLOOKUP('Données projet'!$B$10,Paramètres!$A$1:$I$89,3,0)*VLOOKUP('Données projet'!$B$10,Paramètres!$A$1:$I$89,5,0)</f>
        <v>4.4337866711430253E-14</v>
      </c>
      <c r="AK142" s="14">
        <f t="shared" si="143"/>
        <v>7.3222115536967035E-13</v>
      </c>
      <c r="AL142" s="22">
        <f t="shared" si="112"/>
        <v>1.3525069634579169E-12</v>
      </c>
      <c r="AM142" s="62">
        <f t="shared" si="113"/>
        <v>293.33333333333468</v>
      </c>
      <c r="AN142" s="62">
        <f ca="1">AVERAGE(OFFSET($AM$3,0,0,'Données projet'!$E$10+1,1))-AVERAGE(OFFSET($H$3,0,0,'Données projet'!$E$10+1,1))</f>
        <v>288.82868507674738</v>
      </c>
      <c r="AO142" s="62">
        <f t="shared" si="144"/>
        <v>283.48738729114024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8.454614110492531E-2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8.454614110492531E-2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1.0286385077051818E-13</v>
      </c>
      <c r="P143" s="14">
        <f t="shared" si="141"/>
        <v>1.5402366592183556E-12</v>
      </c>
      <c r="Q143" s="22">
        <f t="shared" si="108"/>
        <v>2.8617333882306215E-12</v>
      </c>
      <c r="R143" s="62">
        <f t="shared" si="109"/>
        <v>293.33333333333616</v>
      </c>
      <c r="S143" s="62">
        <f ca="1">AVERAGE(OFFSET($R$3,0,0,'Données projet'!$E$9+1,1))-AVERAGE(OFFSET($H$3,0,0,'Données projet'!$E$9+1,1))</f>
        <v>371.95849973474657</v>
      </c>
      <c r="T143" s="62">
        <f t="shared" si="142"/>
        <v>233.32640143610547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5.6843418860808015E-14</v>
      </c>
      <c r="AJ143" s="14">
        <f>AI143*VLOOKUP('Données projet'!$B$10,Paramètres!$A$1:$I$89,3,0)*VLOOKUP('Données projet'!$B$10,Paramètres!$A$1:$I$89,5,0)</f>
        <v>4.4337866711430253E-14</v>
      </c>
      <c r="AK143" s="14">
        <f t="shared" si="143"/>
        <v>7.3222115536967035E-13</v>
      </c>
      <c r="AL143" s="22">
        <f t="shared" si="112"/>
        <v>1.3525069634579169E-12</v>
      </c>
      <c r="AM143" s="62">
        <f t="shared" si="113"/>
        <v>293.33333333333468</v>
      </c>
      <c r="AN143" s="62">
        <f ca="1">AVERAGE(OFFSET($AM$3,0,0,'Données projet'!$E$10+1,1))-AVERAGE(OFFSET($H$3,0,0,'Données projet'!$E$10+1,1))</f>
        <v>288.82868507674738</v>
      </c>
      <c r="AO143" s="62">
        <f t="shared" si="144"/>
        <v>283.48738729114024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8.2234222430322801E-2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8.2234222430322801E-2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1.0286385077051818E-13</v>
      </c>
      <c r="P144" s="14">
        <f t="shared" si="141"/>
        <v>1.5402366592183556E-12</v>
      </c>
      <c r="Q144" s="22">
        <f t="shared" si="108"/>
        <v>2.8617333882306215E-12</v>
      </c>
      <c r="R144" s="62">
        <f t="shared" si="109"/>
        <v>293.33333333333616</v>
      </c>
      <c r="S144" s="62">
        <f ca="1">AVERAGE(OFFSET($R$3,0,0,'Données projet'!$E$9+1,1))-AVERAGE(OFFSET($H$3,0,0,'Données projet'!$E$9+1,1))</f>
        <v>371.95849973474657</v>
      </c>
      <c r="T144" s="62">
        <f t="shared" si="142"/>
        <v>233.32640143610547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5.6843418860808015E-14</v>
      </c>
      <c r="AJ144" s="14">
        <f>AI144*VLOOKUP('Données projet'!$B$10,Paramètres!$A$1:$I$89,3,0)*VLOOKUP('Données projet'!$B$10,Paramètres!$A$1:$I$89,5,0)</f>
        <v>4.4337866711430253E-14</v>
      </c>
      <c r="AK144" s="14">
        <f t="shared" si="143"/>
        <v>7.3222115536967035E-13</v>
      </c>
      <c r="AL144" s="22">
        <f t="shared" si="112"/>
        <v>1.3525069634579169E-12</v>
      </c>
      <c r="AM144" s="62">
        <f t="shared" si="113"/>
        <v>293.33333333333468</v>
      </c>
      <c r="AN144" s="62">
        <f ca="1">AVERAGE(OFFSET($AM$3,0,0,'Données projet'!$E$10+1,1))-AVERAGE(OFFSET($H$3,0,0,'Données projet'!$E$10+1,1))</f>
        <v>288.82868507674738</v>
      </c>
      <c r="AO144" s="62">
        <f t="shared" si="144"/>
        <v>283.48738729114024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7.9985523293455818E-2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7.9985523293455818E-2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1.0286385077051818E-13</v>
      </c>
      <c r="P145" s="14">
        <f t="shared" si="141"/>
        <v>1.5402366592183556E-12</v>
      </c>
      <c r="Q145" s="22">
        <f t="shared" si="108"/>
        <v>2.8617333882306215E-12</v>
      </c>
      <c r="R145" s="62">
        <f t="shared" si="109"/>
        <v>293.33333333333616</v>
      </c>
      <c r="S145" s="62">
        <f ca="1">AVERAGE(OFFSET($R$3,0,0,'Données projet'!$E$9+1,1))-AVERAGE(OFFSET($H$3,0,0,'Données projet'!$E$9+1,1))</f>
        <v>371.95849973474657</v>
      </c>
      <c r="T145" s="62">
        <f t="shared" si="142"/>
        <v>233.32640143610547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5.6843418860808015E-14</v>
      </c>
      <c r="AJ145" s="14">
        <f>AI145*VLOOKUP('Données projet'!$B$10,Paramètres!$A$1:$I$89,3,0)*VLOOKUP('Données projet'!$B$10,Paramètres!$A$1:$I$89,5,0)</f>
        <v>4.4337866711430253E-14</v>
      </c>
      <c r="AK145" s="14">
        <f t="shared" si="143"/>
        <v>7.3222115536967035E-13</v>
      </c>
      <c r="AL145" s="22">
        <f t="shared" si="112"/>
        <v>1.3525069634579169E-12</v>
      </c>
      <c r="AM145" s="62">
        <f t="shared" si="113"/>
        <v>293.33333333333468</v>
      </c>
      <c r="AN145" s="62">
        <f ca="1">AVERAGE(OFFSET($AM$3,0,0,'Données projet'!$E$10+1,1))-AVERAGE(OFFSET($H$3,0,0,'Données projet'!$E$10+1,1))</f>
        <v>288.82868507674738</v>
      </c>
      <c r="AO145" s="62">
        <f t="shared" si="144"/>
        <v>283.48738729114024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7.7798314952740408E-2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7.7798314952740408E-2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1.0286385077051818E-13</v>
      </c>
      <c r="P146" s="14">
        <f t="shared" si="141"/>
        <v>1.5402366592183556E-12</v>
      </c>
      <c r="Q146" s="22">
        <f t="shared" si="108"/>
        <v>2.8617333882306215E-12</v>
      </c>
      <c r="R146" s="62">
        <f t="shared" si="109"/>
        <v>293.33333333333616</v>
      </c>
      <c r="S146" s="62">
        <f ca="1">AVERAGE(OFFSET($R$3,0,0,'Données projet'!$E$9+1,1))-AVERAGE(OFFSET($H$3,0,0,'Données projet'!$E$9+1,1))</f>
        <v>371.95849973474657</v>
      </c>
      <c r="T146" s="62">
        <f t="shared" si="142"/>
        <v>233.32640143610547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5.6843418860808015E-14</v>
      </c>
      <c r="AJ146" s="14">
        <f>AI146*VLOOKUP('Données projet'!$B$10,Paramètres!$A$1:$I$89,3,0)*VLOOKUP('Données projet'!$B$10,Paramètres!$A$1:$I$89,5,0)</f>
        <v>4.4337866711430253E-14</v>
      </c>
      <c r="AK146" s="14">
        <f t="shared" si="143"/>
        <v>7.3222115536967035E-13</v>
      </c>
      <c r="AL146" s="22">
        <f t="shared" si="112"/>
        <v>1.3525069634579169E-12</v>
      </c>
      <c r="AM146" s="62">
        <f t="shared" si="113"/>
        <v>293.33333333333468</v>
      </c>
      <c r="AN146" s="62">
        <f ca="1">AVERAGE(OFFSET($AM$3,0,0,'Données projet'!$E$10+1,1))-AVERAGE(OFFSET($H$3,0,0,'Données projet'!$E$10+1,1))</f>
        <v>288.82868507674738</v>
      </c>
      <c r="AO146" s="62">
        <f t="shared" si="144"/>
        <v>283.48738729114024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7.5670915939122146E-2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7.5670915939122146E-2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1.0286385077051818E-13</v>
      </c>
      <c r="P147" s="14">
        <f t="shared" si="141"/>
        <v>1.5402366592183556E-12</v>
      </c>
      <c r="Q147" s="22">
        <f t="shared" si="108"/>
        <v>2.8617333882306215E-12</v>
      </c>
      <c r="R147" s="62">
        <f t="shared" si="109"/>
        <v>293.33333333333616</v>
      </c>
      <c r="S147" s="62">
        <f ca="1">AVERAGE(OFFSET($R$3,0,0,'Données projet'!$E$9+1,1))-AVERAGE(OFFSET($H$3,0,0,'Données projet'!$E$9+1,1))</f>
        <v>371.95849973474657</v>
      </c>
      <c r="T147" s="62">
        <f t="shared" si="142"/>
        <v>233.32640143610547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5.6843418860808015E-14</v>
      </c>
      <c r="AJ147" s="14">
        <f>AI147*VLOOKUP('Données projet'!$B$10,Paramètres!$A$1:$I$89,3,0)*VLOOKUP('Données projet'!$B$10,Paramètres!$A$1:$I$89,5,0)</f>
        <v>4.4337866711430253E-14</v>
      </c>
      <c r="AK147" s="14">
        <f t="shared" si="143"/>
        <v>7.3222115536967035E-13</v>
      </c>
      <c r="AL147" s="22">
        <f t="shared" si="112"/>
        <v>1.3525069634579169E-12</v>
      </c>
      <c r="AM147" s="62">
        <f t="shared" si="113"/>
        <v>293.33333333333468</v>
      </c>
      <c r="AN147" s="62">
        <f ca="1">AVERAGE(OFFSET($AM$3,0,0,'Données projet'!$E$10+1,1))-AVERAGE(OFFSET($H$3,0,0,'Données projet'!$E$10+1,1))</f>
        <v>288.82868507674738</v>
      </c>
      <c r="AO147" s="62">
        <f t="shared" si="144"/>
        <v>283.48738729114024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7.3601690763406336E-2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7.3601690763406336E-2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1.0286385077051818E-13</v>
      </c>
      <c r="P148" s="14">
        <f t="shared" si="141"/>
        <v>1.5402366592183556E-12</v>
      </c>
      <c r="Q148" s="22">
        <f t="shared" si="108"/>
        <v>2.8617333882306215E-12</v>
      </c>
      <c r="R148" s="62">
        <f t="shared" si="109"/>
        <v>293.33333333333616</v>
      </c>
      <c r="S148" s="62">
        <f ca="1">AVERAGE(OFFSET($R$3,0,0,'Données projet'!$E$9+1,1))-AVERAGE(OFFSET($H$3,0,0,'Données projet'!$E$9+1,1))</f>
        <v>371.95849973474657</v>
      </c>
      <c r="T148" s="62">
        <f t="shared" si="142"/>
        <v>233.32640143610547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5.6843418860808015E-14</v>
      </c>
      <c r="AJ148" s="14">
        <f>AI148*VLOOKUP('Données projet'!$B$10,Paramètres!$A$1:$I$89,3,0)*VLOOKUP('Données projet'!$B$10,Paramètres!$A$1:$I$89,5,0)</f>
        <v>4.4337866711430253E-14</v>
      </c>
      <c r="AK148" s="14">
        <f t="shared" si="143"/>
        <v>7.3222115536967035E-13</v>
      </c>
      <c r="AL148" s="22">
        <f t="shared" si="112"/>
        <v>1.3525069634579169E-12</v>
      </c>
      <c r="AM148" s="62">
        <f t="shared" si="113"/>
        <v>293.33333333333468</v>
      </c>
      <c r="AN148" s="62">
        <f ca="1">AVERAGE(OFFSET($AM$3,0,0,'Données projet'!$E$10+1,1))-AVERAGE(OFFSET($H$3,0,0,'Données projet'!$E$10+1,1))</f>
        <v>288.82868507674738</v>
      </c>
      <c r="AO148" s="62">
        <f t="shared" si="144"/>
        <v>283.48738729114024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7.1589048658936297E-2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7.1589048658936297E-2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1.0286385077051818E-13</v>
      </c>
      <c r="P149" s="14">
        <f t="shared" si="141"/>
        <v>1.5402366592183556E-12</v>
      </c>
      <c r="Q149" s="22">
        <f t="shared" si="108"/>
        <v>2.8617333882306215E-12</v>
      </c>
      <c r="R149" s="62">
        <f t="shared" si="109"/>
        <v>293.33333333333616</v>
      </c>
      <c r="S149" s="62">
        <f ca="1">AVERAGE(OFFSET($R$3,0,0,'Données projet'!$E$9+1,1))-AVERAGE(OFFSET($H$3,0,0,'Données projet'!$E$9+1,1))</f>
        <v>371.95849973474657</v>
      </c>
      <c r="T149" s="62">
        <f t="shared" si="142"/>
        <v>233.32640143610547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5.6843418860808015E-14</v>
      </c>
      <c r="AJ149" s="14">
        <f>AI149*VLOOKUP('Données projet'!$B$10,Paramètres!$A$1:$I$89,3,0)*VLOOKUP('Données projet'!$B$10,Paramètres!$A$1:$I$89,5,0)</f>
        <v>4.4337866711430253E-14</v>
      </c>
      <c r="AK149" s="14">
        <f t="shared" si="143"/>
        <v>7.3222115536967035E-13</v>
      </c>
      <c r="AL149" s="22">
        <f t="shared" si="112"/>
        <v>1.3525069634579169E-12</v>
      </c>
      <c r="AM149" s="62">
        <f t="shared" si="113"/>
        <v>293.33333333333468</v>
      </c>
      <c r="AN149" s="62">
        <f ca="1">AVERAGE(OFFSET($AM$3,0,0,'Données projet'!$E$10+1,1))-AVERAGE(OFFSET($H$3,0,0,'Données projet'!$E$10+1,1))</f>
        <v>288.82868507674738</v>
      </c>
      <c r="AO149" s="62">
        <f t="shared" si="144"/>
        <v>283.48738729114024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6.9631442358653234E-2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6.9631442358653234E-2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1.0286385077051818E-13</v>
      </c>
      <c r="P150" s="14">
        <f t="shared" si="141"/>
        <v>1.5402366592183556E-12</v>
      </c>
      <c r="Q150" s="22">
        <f t="shared" si="108"/>
        <v>2.8617333882306215E-12</v>
      </c>
      <c r="R150" s="62">
        <f t="shared" si="109"/>
        <v>293.33333333333616</v>
      </c>
      <c r="S150" s="62">
        <f ca="1">AVERAGE(OFFSET($R$3,0,0,'Données projet'!$E$9+1,1))-AVERAGE(OFFSET($H$3,0,0,'Données projet'!$E$9+1,1))</f>
        <v>371.95849973474657</v>
      </c>
      <c r="T150" s="62">
        <f t="shared" si="142"/>
        <v>233.32640143610547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5.6843418860808015E-14</v>
      </c>
      <c r="AJ150" s="14">
        <f>AI150*VLOOKUP('Données projet'!$B$10,Paramètres!$A$1:$I$89,3,0)*VLOOKUP('Données projet'!$B$10,Paramètres!$A$1:$I$89,5,0)</f>
        <v>4.4337866711430253E-14</v>
      </c>
      <c r="AK150" s="14">
        <f t="shared" si="143"/>
        <v>7.3222115536967035E-13</v>
      </c>
      <c r="AL150" s="22">
        <f t="shared" si="112"/>
        <v>1.3525069634579169E-12</v>
      </c>
      <c r="AM150" s="62">
        <f t="shared" si="113"/>
        <v>293.33333333333468</v>
      </c>
      <c r="AN150" s="62">
        <f ca="1">AVERAGE(OFFSET($AM$3,0,0,'Données projet'!$E$10+1,1))-AVERAGE(OFFSET($H$3,0,0,'Données projet'!$E$10+1,1))</f>
        <v>288.82868507674738</v>
      </c>
      <c r="AO150" s="62">
        <f t="shared" si="144"/>
        <v>283.48738729114024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6.7727366905597455E-2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6.7727366905597455E-2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1.0286385077051818E-13</v>
      </c>
      <c r="P151" s="14">
        <f t="shared" si="141"/>
        <v>1.5402366592183556E-12</v>
      </c>
      <c r="Q151" s="22">
        <f t="shared" si="108"/>
        <v>2.8617333882306215E-12</v>
      </c>
      <c r="R151" s="62">
        <f t="shared" si="109"/>
        <v>293.33333333333616</v>
      </c>
      <c r="S151" s="62">
        <f ca="1">AVERAGE(OFFSET($R$3,0,0,'Données projet'!$E$9+1,1))-AVERAGE(OFFSET($H$3,0,0,'Données projet'!$E$9+1,1))</f>
        <v>371.95849973474657</v>
      </c>
      <c r="T151" s="62">
        <f t="shared" si="142"/>
        <v>233.32640143610547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5.6843418860808015E-14</v>
      </c>
      <c r="AJ151" s="14">
        <f>AI151*VLOOKUP('Données projet'!$B$10,Paramètres!$A$1:$I$89,3,0)*VLOOKUP('Données projet'!$B$10,Paramètres!$A$1:$I$89,5,0)</f>
        <v>4.4337866711430253E-14</v>
      </c>
      <c r="AK151" s="14">
        <f t="shared" si="143"/>
        <v>7.3222115536967035E-13</v>
      </c>
      <c r="AL151" s="22">
        <f t="shared" si="112"/>
        <v>1.3525069634579169E-12</v>
      </c>
      <c r="AM151" s="62">
        <f t="shared" si="113"/>
        <v>293.33333333333468</v>
      </c>
      <c r="AN151" s="62">
        <f ca="1">AVERAGE(OFFSET($AM$3,0,0,'Données projet'!$E$10+1,1))-AVERAGE(OFFSET($H$3,0,0,'Données projet'!$E$10+1,1))</f>
        <v>288.82868507674738</v>
      </c>
      <c r="AO151" s="62">
        <f t="shared" si="144"/>
        <v>283.48738729114024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6.5875358495936454E-2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6.5875358495936454E-2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1.0286385077051818E-13</v>
      </c>
      <c r="P152" s="14">
        <f t="shared" si="141"/>
        <v>1.5402366592183556E-12</v>
      </c>
      <c r="Q152" s="22">
        <f t="shared" si="108"/>
        <v>2.8617333882306215E-12</v>
      </c>
      <c r="R152" s="62">
        <f t="shared" si="109"/>
        <v>293.33333333333616</v>
      </c>
      <c r="S152" s="62">
        <f ca="1">AVERAGE(OFFSET($R$3,0,0,'Données projet'!$E$9+1,1))-AVERAGE(OFFSET($H$3,0,0,'Données projet'!$E$9+1,1))</f>
        <v>371.95849973474657</v>
      </c>
      <c r="T152" s="62">
        <f t="shared" si="142"/>
        <v>233.32640143610547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5.6843418860808015E-14</v>
      </c>
      <c r="AJ152" s="14">
        <f>AI152*VLOOKUP('Données projet'!$B$10,Paramètres!$A$1:$I$89,3,0)*VLOOKUP('Données projet'!$B$10,Paramètres!$A$1:$I$89,5,0)</f>
        <v>4.4337866711430253E-14</v>
      </c>
      <c r="AK152" s="14">
        <f t="shared" si="143"/>
        <v>7.3222115536967035E-13</v>
      </c>
      <c r="AL152" s="22">
        <f t="shared" si="112"/>
        <v>1.3525069634579169E-12</v>
      </c>
      <c r="AM152" s="62">
        <f t="shared" si="113"/>
        <v>293.33333333333468</v>
      </c>
      <c r="AN152" s="62">
        <f ca="1">AVERAGE(OFFSET($AM$3,0,0,'Données projet'!$E$10+1,1))-AVERAGE(OFFSET($H$3,0,0,'Données projet'!$E$10+1,1))</f>
        <v>288.82868507674738</v>
      </c>
      <c r="AO152" s="62">
        <f t="shared" si="144"/>
        <v>283.48738729114024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6.4073993353630523E-2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6.4073993353630523E-2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1.0286385077051818E-13</v>
      </c>
      <c r="P153" s="14">
        <f t="shared" si="141"/>
        <v>1.5402366592183556E-12</v>
      </c>
      <c r="Q153" s="22">
        <f t="shared" si="108"/>
        <v>2.8617333882306215E-12</v>
      </c>
      <c r="R153" s="62">
        <f t="shared" si="109"/>
        <v>293.33333333333616</v>
      </c>
      <c r="S153" s="62">
        <f ca="1">AVERAGE(OFFSET($R$3,0,0,'Données projet'!$E$9+1,1))-AVERAGE(OFFSET($H$3,0,0,'Données projet'!$E$9+1,1))</f>
        <v>371.95849973474657</v>
      </c>
      <c r="T153" s="62">
        <f t="shared" si="142"/>
        <v>233.32640143610547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5.6843418860808015E-14</v>
      </c>
      <c r="AJ153" s="14">
        <f>AI153*VLOOKUP('Données projet'!$B$10,Paramètres!$A$1:$I$89,3,0)*VLOOKUP('Données projet'!$B$10,Paramètres!$A$1:$I$89,5,0)</f>
        <v>4.4337866711430253E-14</v>
      </c>
      <c r="AK153" s="14">
        <f t="shared" si="143"/>
        <v>7.3222115536967035E-13</v>
      </c>
      <c r="AL153" s="22">
        <f t="shared" si="112"/>
        <v>1.3525069634579169E-12</v>
      </c>
      <c r="AM153" s="62">
        <f t="shared" si="113"/>
        <v>293.33333333333468</v>
      </c>
      <c r="AN153" s="62">
        <f ca="1">AVERAGE(OFFSET($AM$3,0,0,'Données projet'!$E$10+1,1))-AVERAGE(OFFSET($H$3,0,0,'Données projet'!$E$10+1,1))</f>
        <v>288.82868507674738</v>
      </c>
      <c r="AO153" s="62">
        <f t="shared" si="144"/>
        <v>283.48738729114024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6.2321886635870627E-2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6.2321886635870627E-2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1.0286385077051818E-13</v>
      </c>
      <c r="P154" s="14">
        <f t="shared" si="141"/>
        <v>1.5402366592183556E-12</v>
      </c>
      <c r="Q154" s="22">
        <f t="shared" ref="Q154:Q203" si="162">(O154+P154)*0.475*44/12</f>
        <v>2.8617333882306215E-12</v>
      </c>
      <c r="R154" s="62">
        <f t="shared" si="109"/>
        <v>293.33333333333616</v>
      </c>
      <c r="S154" s="62">
        <f ca="1">AVERAGE(OFFSET($R$3,0,0,'Données projet'!$E$9+1,1))-AVERAGE(OFFSET($H$3,0,0,'Données projet'!$E$9+1,1))</f>
        <v>371.95849973474657</v>
      </c>
      <c r="T154" s="62">
        <f t="shared" si="142"/>
        <v>233.32640143610547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5.6843418860808015E-14</v>
      </c>
      <c r="AJ154" s="14">
        <f>AI154*VLOOKUP('Données projet'!$B$10,Paramètres!$A$1:$I$89,3,0)*VLOOKUP('Données projet'!$B$10,Paramètres!$A$1:$I$89,5,0)</f>
        <v>4.4337866711430253E-14</v>
      </c>
      <c r="AK154" s="14">
        <f t="shared" ref="AK154:AK203" si="164">EXP(-1.0587+0.8836*LN(AJ154)+0.284)</f>
        <v>7.3222115536967035E-13</v>
      </c>
      <c r="AL154" s="22">
        <f t="shared" ref="AL154:AL203" si="165">(AJ154+AK154)*0.475*44/12</f>
        <v>1.3525069634579169E-12</v>
      </c>
      <c r="AM154" s="62">
        <f t="shared" si="113"/>
        <v>293.33333333333468</v>
      </c>
      <c r="AN154" s="62">
        <f ca="1">AVERAGE(OFFSET($AM$3,0,0,'Données projet'!$E$10+1,1))-AVERAGE(OFFSET($H$3,0,0,'Données projet'!$E$10+1,1))</f>
        <v>288.82868507674738</v>
      </c>
      <c r="AO154" s="62">
        <f t="shared" si="144"/>
        <v>283.48738729114024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6.0617691368447163E-2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6.0617691368447163E-2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1.0286385077051818E-13</v>
      </c>
      <c r="P155" s="14">
        <f t="shared" si="141"/>
        <v>1.5402366592183556E-12</v>
      </c>
      <c r="Q155" s="22">
        <f t="shared" si="162"/>
        <v>2.8617333882306215E-12</v>
      </c>
      <c r="R155" s="62">
        <f t="shared" si="109"/>
        <v>293.33333333333616</v>
      </c>
      <c r="S155" s="62">
        <f ca="1">AVERAGE(OFFSET($R$3,0,0,'Données projet'!$E$9+1,1))-AVERAGE(OFFSET($H$3,0,0,'Données projet'!$E$9+1,1))</f>
        <v>371.95849973474657</v>
      </c>
      <c r="T155" s="62">
        <f t="shared" si="142"/>
        <v>233.32640143610547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5.6843418860808015E-14</v>
      </c>
      <c r="AJ155" s="14">
        <f>AI155*VLOOKUP('Données projet'!$B$10,Paramètres!$A$1:$I$89,3,0)*VLOOKUP('Données projet'!$B$10,Paramètres!$A$1:$I$89,5,0)</f>
        <v>4.4337866711430253E-14</v>
      </c>
      <c r="AK155" s="14">
        <f t="shared" si="164"/>
        <v>7.3222115536967035E-13</v>
      </c>
      <c r="AL155" s="22">
        <f t="shared" si="165"/>
        <v>1.3525069634579169E-12</v>
      </c>
      <c r="AM155" s="62">
        <f t="shared" si="113"/>
        <v>293.33333333333468</v>
      </c>
      <c r="AN155" s="62">
        <f ca="1">AVERAGE(OFFSET($AM$3,0,0,'Données projet'!$E$10+1,1))-AVERAGE(OFFSET($H$3,0,0,'Données projet'!$E$10+1,1))</f>
        <v>288.82868507674738</v>
      </c>
      <c r="AO155" s="62">
        <f t="shared" si="144"/>
        <v>283.48738729114024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5.896009741023113E-2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5.896009741023113E-2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1.0286385077051818E-13</v>
      </c>
      <c r="P156" s="14">
        <f t="shared" si="141"/>
        <v>1.5402366592183556E-12</v>
      </c>
      <c r="Q156" s="22">
        <f t="shared" si="162"/>
        <v>2.8617333882306215E-12</v>
      </c>
      <c r="R156" s="62">
        <f t="shared" si="109"/>
        <v>293.33333333333616</v>
      </c>
      <c r="S156" s="62">
        <f ca="1">AVERAGE(OFFSET($R$3,0,0,'Données projet'!$E$9+1,1))-AVERAGE(OFFSET($H$3,0,0,'Données projet'!$E$9+1,1))</f>
        <v>371.95849973474657</v>
      </c>
      <c r="T156" s="62">
        <f t="shared" si="142"/>
        <v>233.32640143610547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5.6843418860808015E-14</v>
      </c>
      <c r="AJ156" s="14">
        <f>AI156*VLOOKUP('Données projet'!$B$10,Paramètres!$A$1:$I$89,3,0)*VLOOKUP('Données projet'!$B$10,Paramètres!$A$1:$I$89,5,0)</f>
        <v>4.4337866711430253E-14</v>
      </c>
      <c r="AK156" s="14">
        <f t="shared" si="164"/>
        <v>7.3222115536967035E-13</v>
      </c>
      <c r="AL156" s="22">
        <f t="shared" si="165"/>
        <v>1.3525069634579169E-12</v>
      </c>
      <c r="AM156" s="62">
        <f t="shared" si="113"/>
        <v>293.33333333333468</v>
      </c>
      <c r="AN156" s="62">
        <f ca="1">AVERAGE(OFFSET($AM$3,0,0,'Données projet'!$E$10+1,1))-AVERAGE(OFFSET($H$3,0,0,'Données projet'!$E$10+1,1))</f>
        <v>288.82868507674738</v>
      </c>
      <c r="AO156" s="62">
        <f t="shared" si="144"/>
        <v>283.48738729114024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5.7347830445971588E-2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5.7347830445971588E-2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1.0286385077051818E-13</v>
      </c>
      <c r="P157" s="14">
        <f t="shared" si="141"/>
        <v>1.5402366592183556E-12</v>
      </c>
      <c r="Q157" s="22">
        <f t="shared" si="162"/>
        <v>2.8617333882306215E-12</v>
      </c>
      <c r="R157" s="62">
        <f t="shared" si="109"/>
        <v>293.33333333333616</v>
      </c>
      <c r="S157" s="62">
        <f ca="1">AVERAGE(OFFSET($R$3,0,0,'Données projet'!$E$9+1,1))-AVERAGE(OFFSET($H$3,0,0,'Données projet'!$E$9+1,1))</f>
        <v>371.95849973474657</v>
      </c>
      <c r="T157" s="62">
        <f t="shared" si="142"/>
        <v>233.32640143610547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5.6843418860808015E-14</v>
      </c>
      <c r="AJ157" s="14">
        <f>AI157*VLOOKUP('Données projet'!$B$10,Paramètres!$A$1:$I$89,3,0)*VLOOKUP('Données projet'!$B$10,Paramètres!$A$1:$I$89,5,0)</f>
        <v>4.4337866711430253E-14</v>
      </c>
      <c r="AK157" s="14">
        <f t="shared" si="164"/>
        <v>7.3222115536967035E-13</v>
      </c>
      <c r="AL157" s="22">
        <f t="shared" si="165"/>
        <v>1.3525069634579169E-12</v>
      </c>
      <c r="AM157" s="62">
        <f t="shared" si="113"/>
        <v>293.33333333333468</v>
      </c>
      <c r="AN157" s="62">
        <f ca="1">AVERAGE(OFFSET($AM$3,0,0,'Données projet'!$E$10+1,1))-AVERAGE(OFFSET($H$3,0,0,'Données projet'!$E$10+1,1))</f>
        <v>288.82868507674738</v>
      </c>
      <c r="AO157" s="62">
        <f t="shared" si="144"/>
        <v>283.48738729114024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5.5779651006635164E-2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5.5779651006635164E-2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1.0286385077051818E-13</v>
      </c>
      <c r="P158" s="14">
        <f t="shared" si="141"/>
        <v>1.5402366592183556E-12</v>
      </c>
      <c r="Q158" s="22">
        <f t="shared" si="162"/>
        <v>2.8617333882306215E-12</v>
      </c>
      <c r="R158" s="62">
        <f t="shared" si="109"/>
        <v>293.33333333333616</v>
      </c>
      <c r="S158" s="62">
        <f ca="1">AVERAGE(OFFSET($R$3,0,0,'Données projet'!$E$9+1,1))-AVERAGE(OFFSET($H$3,0,0,'Données projet'!$E$9+1,1))</f>
        <v>371.95849973474657</v>
      </c>
      <c r="T158" s="62">
        <f t="shared" si="142"/>
        <v>233.32640143610547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5.6843418860808015E-14</v>
      </c>
      <c r="AJ158" s="14">
        <f>AI158*VLOOKUP('Données projet'!$B$10,Paramètres!$A$1:$I$89,3,0)*VLOOKUP('Données projet'!$B$10,Paramètres!$A$1:$I$89,5,0)</f>
        <v>4.4337866711430253E-14</v>
      </c>
      <c r="AK158" s="14">
        <f t="shared" si="164"/>
        <v>7.3222115536967035E-13</v>
      </c>
      <c r="AL158" s="22">
        <f t="shared" si="165"/>
        <v>1.3525069634579169E-12</v>
      </c>
      <c r="AM158" s="62">
        <f t="shared" si="113"/>
        <v>293.33333333333468</v>
      </c>
      <c r="AN158" s="62">
        <f ca="1">AVERAGE(OFFSET($AM$3,0,0,'Données projet'!$E$10+1,1))-AVERAGE(OFFSET($H$3,0,0,'Données projet'!$E$10+1,1))</f>
        <v>288.82868507674738</v>
      </c>
      <c r="AO158" s="62">
        <f t="shared" si="144"/>
        <v>283.48738729114024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5.4254353516534362E-2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5.4254353516534362E-2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1.0286385077051818E-13</v>
      </c>
      <c r="P159" s="14">
        <f t="shared" si="141"/>
        <v>1.5402366592183556E-12</v>
      </c>
      <c r="Q159" s="22">
        <f t="shared" si="162"/>
        <v>2.8617333882306215E-12</v>
      </c>
      <c r="R159" s="62">
        <f t="shared" si="109"/>
        <v>293.33333333333616</v>
      </c>
      <c r="S159" s="62">
        <f ca="1">AVERAGE(OFFSET($R$3,0,0,'Données projet'!$E$9+1,1))-AVERAGE(OFFSET($H$3,0,0,'Données projet'!$E$9+1,1))</f>
        <v>371.95849973474657</v>
      </c>
      <c r="T159" s="62">
        <f t="shared" si="142"/>
        <v>233.32640143610547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5.6843418860808015E-14</v>
      </c>
      <c r="AJ159" s="14">
        <f>AI159*VLOOKUP('Données projet'!$B$10,Paramètres!$A$1:$I$89,3,0)*VLOOKUP('Données projet'!$B$10,Paramètres!$A$1:$I$89,5,0)</f>
        <v>4.4337866711430253E-14</v>
      </c>
      <c r="AK159" s="14">
        <f t="shared" si="164"/>
        <v>7.3222115536967035E-13</v>
      </c>
      <c r="AL159" s="22">
        <f t="shared" si="165"/>
        <v>1.3525069634579169E-12</v>
      </c>
      <c r="AM159" s="62">
        <f t="shared" si="113"/>
        <v>293.33333333333468</v>
      </c>
      <c r="AN159" s="62">
        <f ca="1">AVERAGE(OFFSET($AM$3,0,0,'Données projet'!$E$10+1,1))-AVERAGE(OFFSET($H$3,0,0,'Données projet'!$E$10+1,1))</f>
        <v>288.82868507674738</v>
      </c>
      <c r="AO159" s="62">
        <f t="shared" si="144"/>
        <v>283.48738729114024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5.2770765366512276E-2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5.2770765366512276E-2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1.0286385077051818E-13</v>
      </c>
      <c r="P160" s="14">
        <f t="shared" si="141"/>
        <v>1.5402366592183556E-12</v>
      </c>
      <c r="Q160" s="22">
        <f t="shared" si="162"/>
        <v>2.8617333882306215E-12</v>
      </c>
      <c r="R160" s="62">
        <f t="shared" si="109"/>
        <v>293.33333333333616</v>
      </c>
      <c r="S160" s="62">
        <f ca="1">AVERAGE(OFFSET($R$3,0,0,'Données projet'!$E$9+1,1))-AVERAGE(OFFSET($H$3,0,0,'Données projet'!$E$9+1,1))</f>
        <v>371.95849973474657</v>
      </c>
      <c r="T160" s="62">
        <f t="shared" si="142"/>
        <v>233.32640143610547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5.6843418860808015E-14</v>
      </c>
      <c r="AJ160" s="14">
        <f>AI160*VLOOKUP('Données projet'!$B$10,Paramètres!$A$1:$I$89,3,0)*VLOOKUP('Données projet'!$B$10,Paramètres!$A$1:$I$89,5,0)</f>
        <v>4.4337866711430253E-14</v>
      </c>
      <c r="AK160" s="14">
        <f t="shared" si="164"/>
        <v>7.3222115536967035E-13</v>
      </c>
      <c r="AL160" s="22">
        <f t="shared" si="165"/>
        <v>1.3525069634579169E-12</v>
      </c>
      <c r="AM160" s="62">
        <f t="shared" si="113"/>
        <v>293.33333333333468</v>
      </c>
      <c r="AN160" s="62">
        <f ca="1">AVERAGE(OFFSET($AM$3,0,0,'Données projet'!$E$10+1,1))-AVERAGE(OFFSET($H$3,0,0,'Données projet'!$E$10+1,1))</f>
        <v>288.82868507674738</v>
      </c>
      <c r="AO160" s="62">
        <f t="shared" si="144"/>
        <v>283.48738729114024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5.1327746012471059E-2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5.1327746012471059E-2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1.0286385077051818E-13</v>
      </c>
      <c r="P161" s="14">
        <f t="shared" si="141"/>
        <v>1.5402366592183556E-12</v>
      </c>
      <c r="Q161" s="22">
        <f t="shared" si="162"/>
        <v>2.8617333882306215E-12</v>
      </c>
      <c r="R161" s="62">
        <f t="shared" si="109"/>
        <v>293.33333333333616</v>
      </c>
      <c r="S161" s="62">
        <f ca="1">AVERAGE(OFFSET($R$3,0,0,'Données projet'!$E$9+1,1))-AVERAGE(OFFSET($H$3,0,0,'Données projet'!$E$9+1,1))</f>
        <v>371.95849973474657</v>
      </c>
      <c r="T161" s="62">
        <f t="shared" si="142"/>
        <v>233.32640143610547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5.6843418860808015E-14</v>
      </c>
      <c r="AJ161" s="14">
        <f>AI161*VLOOKUP('Données projet'!$B$10,Paramètres!$A$1:$I$89,3,0)*VLOOKUP('Données projet'!$B$10,Paramètres!$A$1:$I$89,5,0)</f>
        <v>4.4337866711430253E-14</v>
      </c>
      <c r="AK161" s="14">
        <f t="shared" si="164"/>
        <v>7.3222115536967035E-13</v>
      </c>
      <c r="AL161" s="22">
        <f t="shared" si="165"/>
        <v>1.3525069634579169E-12</v>
      </c>
      <c r="AM161" s="62">
        <f t="shared" si="113"/>
        <v>293.33333333333468</v>
      </c>
      <c r="AN161" s="62">
        <f ca="1">AVERAGE(OFFSET($AM$3,0,0,'Données projet'!$E$10+1,1))-AVERAGE(OFFSET($H$3,0,0,'Données projet'!$E$10+1,1))</f>
        <v>288.82868507674738</v>
      </c>
      <c r="AO161" s="62">
        <f t="shared" si="144"/>
        <v>283.48738729114024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4.9924186098551183E-2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4.9924186098551183E-2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1.0286385077051818E-13</v>
      </c>
      <c r="P162" s="14">
        <f t="shared" si="141"/>
        <v>1.5402366592183556E-12</v>
      </c>
      <c r="Q162" s="22">
        <f t="shared" si="162"/>
        <v>2.8617333882306215E-12</v>
      </c>
      <c r="R162" s="62">
        <f t="shared" si="109"/>
        <v>293.33333333333616</v>
      </c>
      <c r="S162" s="62">
        <f ca="1">AVERAGE(OFFSET($R$3,0,0,'Données projet'!$E$9+1,1))-AVERAGE(OFFSET($H$3,0,0,'Données projet'!$E$9+1,1))</f>
        <v>371.95849973474657</v>
      </c>
      <c r="T162" s="62">
        <f t="shared" si="142"/>
        <v>233.32640143610547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5.6843418860808015E-14</v>
      </c>
      <c r="AJ162" s="14">
        <f>AI162*VLOOKUP('Données projet'!$B$10,Paramètres!$A$1:$I$89,3,0)*VLOOKUP('Données projet'!$B$10,Paramètres!$A$1:$I$89,5,0)</f>
        <v>4.4337866711430253E-14</v>
      </c>
      <c r="AK162" s="14">
        <f t="shared" si="164"/>
        <v>7.3222115536967035E-13</v>
      </c>
      <c r="AL162" s="22">
        <f t="shared" si="165"/>
        <v>1.3525069634579169E-12</v>
      </c>
      <c r="AM162" s="62">
        <f t="shared" si="113"/>
        <v>293.33333333333468</v>
      </c>
      <c r="AN162" s="62">
        <f ca="1">AVERAGE(OFFSET($AM$3,0,0,'Données projet'!$E$10+1,1))-AVERAGE(OFFSET($H$3,0,0,'Données projet'!$E$10+1,1))</f>
        <v>288.82868507674738</v>
      </c>
      <c r="AO162" s="62">
        <f t="shared" si="144"/>
        <v>283.48738729114024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4.8559006604287455E-2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4.8559006604287455E-2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1.0286385077051818E-13</v>
      </c>
      <c r="P163" s="14">
        <f t="shared" si="141"/>
        <v>1.5402366592183556E-12</v>
      </c>
      <c r="Q163" s="22">
        <f t="shared" si="162"/>
        <v>2.8617333882306215E-12</v>
      </c>
      <c r="R163" s="62">
        <f t="shared" si="109"/>
        <v>293.33333333333616</v>
      </c>
      <c r="S163" s="62">
        <f ca="1">AVERAGE(OFFSET($R$3,0,0,'Données projet'!$E$9+1,1))-AVERAGE(OFFSET($H$3,0,0,'Données projet'!$E$9+1,1))</f>
        <v>371.95849973474657</v>
      </c>
      <c r="T163" s="62">
        <f t="shared" si="142"/>
        <v>233.32640143610547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5.6843418860808015E-14</v>
      </c>
      <c r="AJ163" s="14">
        <f>AI163*VLOOKUP('Données projet'!$B$10,Paramètres!$A$1:$I$89,3,0)*VLOOKUP('Données projet'!$B$10,Paramètres!$A$1:$I$89,5,0)</f>
        <v>4.4337866711430253E-14</v>
      </c>
      <c r="AK163" s="14">
        <f t="shared" si="164"/>
        <v>7.3222115536967035E-13</v>
      </c>
      <c r="AL163" s="22">
        <f t="shared" si="165"/>
        <v>1.3525069634579169E-12</v>
      </c>
      <c r="AM163" s="62">
        <f t="shared" si="113"/>
        <v>293.33333333333468</v>
      </c>
      <c r="AN163" s="62">
        <f ca="1">AVERAGE(OFFSET($AM$3,0,0,'Données projet'!$E$10+1,1))-AVERAGE(OFFSET($H$3,0,0,'Données projet'!$E$10+1,1))</f>
        <v>288.82868507674738</v>
      </c>
      <c r="AO163" s="62">
        <f t="shared" si="144"/>
        <v>283.48738729114024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4.7231158015086039E-2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4.7231158015086039E-2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1.0286385077051818E-13</v>
      </c>
      <c r="P164" s="14">
        <f t="shared" si="141"/>
        <v>1.5402366592183556E-12</v>
      </c>
      <c r="Q164" s="22">
        <f t="shared" si="162"/>
        <v>2.8617333882306215E-12</v>
      </c>
      <c r="R164" s="62">
        <f t="shared" si="109"/>
        <v>293.33333333333616</v>
      </c>
      <c r="S164" s="62">
        <f ca="1">AVERAGE(OFFSET($R$3,0,0,'Données projet'!$E$9+1,1))-AVERAGE(OFFSET($H$3,0,0,'Données projet'!$E$9+1,1))</f>
        <v>371.95849973474657</v>
      </c>
      <c r="T164" s="62">
        <f t="shared" si="142"/>
        <v>233.32640143610547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5.6843418860808015E-14</v>
      </c>
      <c r="AJ164" s="14">
        <f>AI164*VLOOKUP('Données projet'!$B$10,Paramètres!$A$1:$I$89,3,0)*VLOOKUP('Données projet'!$B$10,Paramètres!$A$1:$I$89,5,0)</f>
        <v>4.4337866711430253E-14</v>
      </c>
      <c r="AK164" s="14">
        <f t="shared" si="164"/>
        <v>7.3222115536967035E-13</v>
      </c>
      <c r="AL164" s="22">
        <f t="shared" si="165"/>
        <v>1.3525069634579169E-12</v>
      </c>
      <c r="AM164" s="62">
        <f t="shared" si="113"/>
        <v>293.33333333333468</v>
      </c>
      <c r="AN164" s="62">
        <f ca="1">AVERAGE(OFFSET($AM$3,0,0,'Données projet'!$E$10+1,1))-AVERAGE(OFFSET($H$3,0,0,'Données projet'!$E$10+1,1))</f>
        <v>288.82868507674738</v>
      </c>
      <c r="AO164" s="62">
        <f t="shared" si="144"/>
        <v>283.48738729114024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4.5939619515384861E-2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4.5939619515384861E-2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1.0286385077051818E-13</v>
      </c>
      <c r="P165" s="14">
        <f t="shared" si="141"/>
        <v>1.5402366592183556E-12</v>
      </c>
      <c r="Q165" s="22">
        <f t="shared" si="162"/>
        <v>2.8617333882306215E-12</v>
      </c>
      <c r="R165" s="62">
        <f t="shared" si="109"/>
        <v>293.33333333333616</v>
      </c>
      <c r="S165" s="62">
        <f ca="1">AVERAGE(OFFSET($R$3,0,0,'Données projet'!$E$9+1,1))-AVERAGE(OFFSET($H$3,0,0,'Données projet'!$E$9+1,1))</f>
        <v>371.95849973474657</v>
      </c>
      <c r="T165" s="62">
        <f t="shared" si="142"/>
        <v>233.32640143610547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5.6843418860808015E-14</v>
      </c>
      <c r="AJ165" s="14">
        <f>AI165*VLOOKUP('Données projet'!$B$10,Paramètres!$A$1:$I$89,3,0)*VLOOKUP('Données projet'!$B$10,Paramètres!$A$1:$I$89,5,0)</f>
        <v>4.4337866711430253E-14</v>
      </c>
      <c r="AK165" s="14">
        <f t="shared" si="164"/>
        <v>7.3222115536967035E-13</v>
      </c>
      <c r="AL165" s="22">
        <f t="shared" si="165"/>
        <v>1.3525069634579169E-12</v>
      </c>
      <c r="AM165" s="62">
        <f t="shared" si="113"/>
        <v>293.33333333333468</v>
      </c>
      <c r="AN165" s="62">
        <f ca="1">AVERAGE(OFFSET($AM$3,0,0,'Données projet'!$E$10+1,1))-AVERAGE(OFFSET($H$3,0,0,'Données projet'!$E$10+1,1))</f>
        <v>288.82868507674738</v>
      </c>
      <c r="AO165" s="62">
        <f t="shared" si="144"/>
        <v>283.48738729114024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4.4683398203877067E-2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4.4683398203877067E-2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1.0286385077051818E-13</v>
      </c>
      <c r="P166" s="14">
        <f t="shared" si="141"/>
        <v>1.5402366592183556E-12</v>
      </c>
      <c r="Q166" s="22">
        <f t="shared" si="162"/>
        <v>2.8617333882306215E-12</v>
      </c>
      <c r="R166" s="62">
        <f t="shared" si="109"/>
        <v>293.33333333333616</v>
      </c>
      <c r="S166" s="62">
        <f ca="1">AVERAGE(OFFSET($R$3,0,0,'Données projet'!$E$9+1,1))-AVERAGE(OFFSET($H$3,0,0,'Données projet'!$E$9+1,1))</f>
        <v>371.95849973474657</v>
      </c>
      <c r="T166" s="62">
        <f t="shared" si="142"/>
        <v>233.32640143610547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5.6843418860808015E-14</v>
      </c>
      <c r="AJ166" s="14">
        <f>AI166*VLOOKUP('Données projet'!$B$10,Paramètres!$A$1:$I$89,3,0)*VLOOKUP('Données projet'!$B$10,Paramètres!$A$1:$I$89,5,0)</f>
        <v>4.4337866711430253E-14</v>
      </c>
      <c r="AK166" s="14">
        <f t="shared" si="164"/>
        <v>7.3222115536967035E-13</v>
      </c>
      <c r="AL166" s="22">
        <f t="shared" si="165"/>
        <v>1.3525069634579169E-12</v>
      </c>
      <c r="AM166" s="62">
        <f t="shared" si="113"/>
        <v>293.33333333333468</v>
      </c>
      <c r="AN166" s="62">
        <f ca="1">AVERAGE(OFFSET($AM$3,0,0,'Données projet'!$E$10+1,1))-AVERAGE(OFFSET($H$3,0,0,'Données projet'!$E$10+1,1))</f>
        <v>288.82868507674738</v>
      </c>
      <c r="AO166" s="62">
        <f t="shared" si="144"/>
        <v>283.48738729114024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4.346152833019426E-2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4.346152833019426E-2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1.0286385077051818E-13</v>
      </c>
      <c r="P167" s="14">
        <f t="shared" si="141"/>
        <v>1.5402366592183556E-12</v>
      </c>
      <c r="Q167" s="22">
        <f t="shared" si="162"/>
        <v>2.8617333882306215E-12</v>
      </c>
      <c r="R167" s="62">
        <f t="shared" si="109"/>
        <v>293.33333333333616</v>
      </c>
      <c r="S167" s="62">
        <f ca="1">AVERAGE(OFFSET($R$3,0,0,'Données projet'!$E$9+1,1))-AVERAGE(OFFSET($H$3,0,0,'Données projet'!$E$9+1,1))</f>
        <v>371.95849973474657</v>
      </c>
      <c r="T167" s="62">
        <f t="shared" si="142"/>
        <v>233.32640143610547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5.6843418860808015E-14</v>
      </c>
      <c r="AJ167" s="14">
        <f>AI167*VLOOKUP('Données projet'!$B$10,Paramètres!$A$1:$I$89,3,0)*VLOOKUP('Données projet'!$B$10,Paramètres!$A$1:$I$89,5,0)</f>
        <v>4.4337866711430253E-14</v>
      </c>
      <c r="AK167" s="14">
        <f t="shared" si="164"/>
        <v>7.3222115536967035E-13</v>
      </c>
      <c r="AL167" s="22">
        <f t="shared" si="165"/>
        <v>1.3525069634579169E-12</v>
      </c>
      <c r="AM167" s="62">
        <f t="shared" si="113"/>
        <v>293.33333333333468</v>
      </c>
      <c r="AN167" s="62">
        <f ca="1">AVERAGE(OFFSET($AM$3,0,0,'Données projet'!$E$10+1,1))-AVERAGE(OFFSET($H$3,0,0,'Données projet'!$E$10+1,1))</f>
        <v>288.82868507674738</v>
      </c>
      <c r="AO167" s="62">
        <f t="shared" si="144"/>
        <v>283.48738729114024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4.2273070552462655E-2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4.2273070552462655E-2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1.0286385077051818E-13</v>
      </c>
      <c r="P168" s="14">
        <f t="shared" si="141"/>
        <v>1.5402366592183556E-12</v>
      </c>
      <c r="Q168" s="22">
        <f t="shared" si="162"/>
        <v>2.8617333882306215E-12</v>
      </c>
      <c r="R168" s="62">
        <f t="shared" si="109"/>
        <v>293.33333333333616</v>
      </c>
      <c r="S168" s="62">
        <f ca="1">AVERAGE(OFFSET($R$3,0,0,'Données projet'!$E$9+1,1))-AVERAGE(OFFSET($H$3,0,0,'Données projet'!$E$9+1,1))</f>
        <v>371.95849973474657</v>
      </c>
      <c r="T168" s="62">
        <f t="shared" si="142"/>
        <v>233.32640143610547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5.6843418860808015E-14</v>
      </c>
      <c r="AJ168" s="14">
        <f>AI168*VLOOKUP('Données projet'!$B$10,Paramètres!$A$1:$I$89,3,0)*VLOOKUP('Données projet'!$B$10,Paramètres!$A$1:$I$89,5,0)</f>
        <v>4.4337866711430253E-14</v>
      </c>
      <c r="AK168" s="14">
        <f t="shared" si="164"/>
        <v>7.3222115536967035E-13</v>
      </c>
      <c r="AL168" s="22">
        <f t="shared" si="165"/>
        <v>1.3525069634579169E-12</v>
      </c>
      <c r="AM168" s="62">
        <f t="shared" si="113"/>
        <v>293.33333333333468</v>
      </c>
      <c r="AN168" s="62">
        <f ca="1">AVERAGE(OFFSET($AM$3,0,0,'Données projet'!$E$10+1,1))-AVERAGE(OFFSET($H$3,0,0,'Données projet'!$E$10+1,1))</f>
        <v>288.82868507674738</v>
      </c>
      <c r="AO168" s="62">
        <f t="shared" si="144"/>
        <v>283.48738729114024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4.11171112151614E-2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4.11171112151614E-2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1.0286385077051818E-13</v>
      </c>
      <c r="P169" s="14">
        <f t="shared" si="141"/>
        <v>1.5402366592183556E-12</v>
      </c>
      <c r="Q169" s="22">
        <f t="shared" si="162"/>
        <v>2.8617333882306215E-12</v>
      </c>
      <c r="R169" s="62">
        <f t="shared" si="109"/>
        <v>293.33333333333616</v>
      </c>
      <c r="S169" s="62">
        <f ca="1">AVERAGE(OFFSET($R$3,0,0,'Données projet'!$E$9+1,1))-AVERAGE(OFFSET($H$3,0,0,'Données projet'!$E$9+1,1))</f>
        <v>371.95849973474657</v>
      </c>
      <c r="T169" s="62">
        <f t="shared" si="142"/>
        <v>233.32640143610547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5.6843418860808015E-14</v>
      </c>
      <c r="AJ169" s="14">
        <f>AI169*VLOOKUP('Données projet'!$B$10,Paramètres!$A$1:$I$89,3,0)*VLOOKUP('Données projet'!$B$10,Paramètres!$A$1:$I$89,5,0)</f>
        <v>4.4337866711430253E-14</v>
      </c>
      <c r="AK169" s="14">
        <f t="shared" si="164"/>
        <v>7.3222115536967035E-13</v>
      </c>
      <c r="AL169" s="22">
        <f t="shared" si="165"/>
        <v>1.3525069634579169E-12</v>
      </c>
      <c r="AM169" s="62">
        <f t="shared" si="113"/>
        <v>293.33333333333468</v>
      </c>
      <c r="AN169" s="62">
        <f ca="1">AVERAGE(OFFSET($AM$3,0,0,'Données projet'!$E$10+1,1))-AVERAGE(OFFSET($H$3,0,0,'Données projet'!$E$10+1,1))</f>
        <v>288.82868507674738</v>
      </c>
      <c r="AO169" s="62">
        <f t="shared" si="144"/>
        <v>283.48738729114024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3.9992761646727909E-2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3.9992761646727909E-2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1.0286385077051818E-13</v>
      </c>
      <c r="P170" s="14">
        <f t="shared" si="141"/>
        <v>1.5402366592183556E-12</v>
      </c>
      <c r="Q170" s="22">
        <f t="shared" si="162"/>
        <v>2.8617333882306215E-12</v>
      </c>
      <c r="R170" s="62">
        <f t="shared" si="109"/>
        <v>293.33333333333616</v>
      </c>
      <c r="S170" s="62">
        <f ca="1">AVERAGE(OFFSET($R$3,0,0,'Données projet'!$E$9+1,1))-AVERAGE(OFFSET($H$3,0,0,'Données projet'!$E$9+1,1))</f>
        <v>371.95849973474657</v>
      </c>
      <c r="T170" s="62">
        <f t="shared" si="142"/>
        <v>233.32640143610547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5.6843418860808015E-14</v>
      </c>
      <c r="AJ170" s="14">
        <f>AI170*VLOOKUP('Données projet'!$B$10,Paramètres!$A$1:$I$89,3,0)*VLOOKUP('Données projet'!$B$10,Paramètres!$A$1:$I$89,5,0)</f>
        <v>4.4337866711430253E-14</v>
      </c>
      <c r="AK170" s="14">
        <f t="shared" si="164"/>
        <v>7.3222115536967035E-13</v>
      </c>
      <c r="AL170" s="22">
        <f t="shared" si="165"/>
        <v>1.3525069634579169E-12</v>
      </c>
      <c r="AM170" s="62">
        <f t="shared" si="113"/>
        <v>293.33333333333468</v>
      </c>
      <c r="AN170" s="62">
        <f ca="1">AVERAGE(OFFSET($AM$3,0,0,'Données projet'!$E$10+1,1))-AVERAGE(OFFSET($H$3,0,0,'Données projet'!$E$10+1,1))</f>
        <v>288.82868507674738</v>
      </c>
      <c r="AO170" s="62">
        <f t="shared" si="144"/>
        <v>283.48738729114024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3.8899157476370204E-2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3.8899157476370204E-2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1.0286385077051818E-13</v>
      </c>
      <c r="P171" s="14">
        <f t="shared" si="141"/>
        <v>1.5402366592183556E-12</v>
      </c>
      <c r="Q171" s="22">
        <f t="shared" si="162"/>
        <v>2.8617333882306215E-12</v>
      </c>
      <c r="R171" s="62">
        <f t="shared" si="109"/>
        <v>293.33333333333616</v>
      </c>
      <c r="S171" s="62">
        <f ca="1">AVERAGE(OFFSET($R$3,0,0,'Données projet'!$E$9+1,1))-AVERAGE(OFFSET($H$3,0,0,'Données projet'!$E$9+1,1))</f>
        <v>371.95849973474657</v>
      </c>
      <c r="T171" s="62">
        <f t="shared" si="142"/>
        <v>233.32640143610547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5.6843418860808015E-14</v>
      </c>
      <c r="AJ171" s="14">
        <f>AI171*VLOOKUP('Données projet'!$B$10,Paramètres!$A$1:$I$89,3,0)*VLOOKUP('Données projet'!$B$10,Paramètres!$A$1:$I$89,5,0)</f>
        <v>4.4337866711430253E-14</v>
      </c>
      <c r="AK171" s="14">
        <f t="shared" si="164"/>
        <v>7.3222115536967035E-13</v>
      </c>
      <c r="AL171" s="22">
        <f t="shared" si="165"/>
        <v>1.3525069634579169E-12</v>
      </c>
      <c r="AM171" s="62">
        <f t="shared" si="113"/>
        <v>293.33333333333468</v>
      </c>
      <c r="AN171" s="62">
        <f ca="1">AVERAGE(OFFSET($AM$3,0,0,'Données projet'!$E$10+1,1))-AVERAGE(OFFSET($H$3,0,0,'Données projet'!$E$10+1,1))</f>
        <v>288.82868507674738</v>
      </c>
      <c r="AO171" s="62">
        <f t="shared" si="144"/>
        <v>283.48738729114024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3.7835457969561073E-2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3.7835457969561073E-2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1.0286385077051818E-13</v>
      </c>
      <c r="P172" s="14">
        <f t="shared" si="141"/>
        <v>1.5402366592183556E-12</v>
      </c>
      <c r="Q172" s="22">
        <f t="shared" si="162"/>
        <v>2.8617333882306215E-12</v>
      </c>
      <c r="R172" s="62">
        <f t="shared" si="109"/>
        <v>293.33333333333616</v>
      </c>
      <c r="S172" s="62">
        <f ca="1">AVERAGE(OFFSET($R$3,0,0,'Données projet'!$E$9+1,1))-AVERAGE(OFFSET($H$3,0,0,'Données projet'!$E$9+1,1))</f>
        <v>371.95849973474657</v>
      </c>
      <c r="T172" s="62">
        <f t="shared" si="142"/>
        <v>233.32640143610547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5.6843418860808015E-14</v>
      </c>
      <c r="AJ172" s="14">
        <f>AI172*VLOOKUP('Données projet'!$B$10,Paramètres!$A$1:$I$89,3,0)*VLOOKUP('Données projet'!$B$10,Paramètres!$A$1:$I$89,5,0)</f>
        <v>4.4337866711430253E-14</v>
      </c>
      <c r="AK172" s="14">
        <f t="shared" si="164"/>
        <v>7.3222115536967035E-13</v>
      </c>
      <c r="AL172" s="22">
        <f t="shared" si="165"/>
        <v>1.3525069634579169E-12</v>
      </c>
      <c r="AM172" s="62">
        <f t="shared" si="113"/>
        <v>293.33333333333468</v>
      </c>
      <c r="AN172" s="62">
        <f ca="1">AVERAGE(OFFSET($AM$3,0,0,'Données projet'!$E$10+1,1))-AVERAGE(OFFSET($H$3,0,0,'Données projet'!$E$10+1,1))</f>
        <v>288.82868507674738</v>
      </c>
      <c r="AO172" s="62">
        <f t="shared" si="144"/>
        <v>283.48738729114024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3.6800845381703168E-2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3.6800845381703168E-2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1.0286385077051818E-13</v>
      </c>
      <c r="P173" s="14">
        <f t="shared" si="141"/>
        <v>1.5402366592183556E-12</v>
      </c>
      <c r="Q173" s="22">
        <f t="shared" si="162"/>
        <v>2.8617333882306215E-12</v>
      </c>
      <c r="R173" s="62">
        <f t="shared" si="109"/>
        <v>293.33333333333616</v>
      </c>
      <c r="S173" s="62">
        <f ca="1">AVERAGE(OFFSET($R$3,0,0,'Données projet'!$E$9+1,1))-AVERAGE(OFFSET($H$3,0,0,'Données projet'!$E$9+1,1))</f>
        <v>371.95849973474657</v>
      </c>
      <c r="T173" s="62">
        <f t="shared" si="142"/>
        <v>233.32640143610547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5.6843418860808015E-14</v>
      </c>
      <c r="AJ173" s="14">
        <f>AI173*VLOOKUP('Données projet'!$B$10,Paramètres!$A$1:$I$89,3,0)*VLOOKUP('Données projet'!$B$10,Paramètres!$A$1:$I$89,5,0)</f>
        <v>4.4337866711430253E-14</v>
      </c>
      <c r="AK173" s="14">
        <f t="shared" si="164"/>
        <v>7.3222115536967035E-13</v>
      </c>
      <c r="AL173" s="22">
        <f t="shared" si="165"/>
        <v>1.3525069634579169E-12</v>
      </c>
      <c r="AM173" s="62">
        <f t="shared" si="113"/>
        <v>293.33333333333468</v>
      </c>
      <c r="AN173" s="62">
        <f ca="1">AVERAGE(OFFSET($AM$3,0,0,'Données projet'!$E$10+1,1))-AVERAGE(OFFSET($H$3,0,0,'Données projet'!$E$10+1,1))</f>
        <v>288.82868507674738</v>
      </c>
      <c r="AO173" s="62">
        <f t="shared" si="144"/>
        <v>283.48738729114024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3.5794524329468148E-2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3.5794524329468148E-2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1.0286385077051818E-13</v>
      </c>
      <c r="P174" s="14">
        <f t="shared" si="141"/>
        <v>1.5402366592183556E-12</v>
      </c>
      <c r="Q174" s="22">
        <f t="shared" si="162"/>
        <v>2.8617333882306215E-12</v>
      </c>
      <c r="R174" s="62">
        <f t="shared" si="109"/>
        <v>293.33333333333616</v>
      </c>
      <c r="S174" s="62">
        <f ca="1">AVERAGE(OFFSET($R$3,0,0,'Données projet'!$E$9+1,1))-AVERAGE(OFFSET($H$3,0,0,'Données projet'!$E$9+1,1))</f>
        <v>371.95849973474657</v>
      </c>
      <c r="T174" s="62">
        <f t="shared" si="142"/>
        <v>233.32640143610547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5.6843418860808015E-14</v>
      </c>
      <c r="AJ174" s="14">
        <f>AI174*VLOOKUP('Données projet'!$B$10,Paramètres!$A$1:$I$89,3,0)*VLOOKUP('Données projet'!$B$10,Paramètres!$A$1:$I$89,5,0)</f>
        <v>4.4337866711430253E-14</v>
      </c>
      <c r="AK174" s="14">
        <f t="shared" si="164"/>
        <v>7.3222115536967035E-13</v>
      </c>
      <c r="AL174" s="22">
        <f t="shared" si="165"/>
        <v>1.3525069634579169E-12</v>
      </c>
      <c r="AM174" s="62">
        <f t="shared" si="113"/>
        <v>293.33333333333468</v>
      </c>
      <c r="AN174" s="62">
        <f ca="1">AVERAGE(OFFSET($AM$3,0,0,'Données projet'!$E$10+1,1))-AVERAGE(OFFSET($H$3,0,0,'Données projet'!$E$10+1,1))</f>
        <v>288.82868507674738</v>
      </c>
      <c r="AO174" s="62">
        <f t="shared" si="144"/>
        <v>283.48738729114024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3.4815721179326617E-2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3.4815721179326617E-2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1.0286385077051818E-13</v>
      </c>
      <c r="P175" s="14">
        <f t="shared" si="141"/>
        <v>1.5402366592183556E-12</v>
      </c>
      <c r="Q175" s="22">
        <f t="shared" si="162"/>
        <v>2.8617333882306215E-12</v>
      </c>
      <c r="R175" s="62">
        <f t="shared" si="109"/>
        <v>293.33333333333616</v>
      </c>
      <c r="S175" s="62">
        <f ca="1">AVERAGE(OFFSET($R$3,0,0,'Données projet'!$E$9+1,1))-AVERAGE(OFFSET($H$3,0,0,'Données projet'!$E$9+1,1))</f>
        <v>371.95849973474657</v>
      </c>
      <c r="T175" s="62">
        <f t="shared" si="142"/>
        <v>233.32640143610547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5.6843418860808015E-14</v>
      </c>
      <c r="AJ175" s="14">
        <f>AI175*VLOOKUP('Données projet'!$B$10,Paramètres!$A$1:$I$89,3,0)*VLOOKUP('Données projet'!$B$10,Paramètres!$A$1:$I$89,5,0)</f>
        <v>4.4337866711430253E-14</v>
      </c>
      <c r="AK175" s="14">
        <f t="shared" si="164"/>
        <v>7.3222115536967035E-13</v>
      </c>
      <c r="AL175" s="22">
        <f t="shared" si="165"/>
        <v>1.3525069634579169E-12</v>
      </c>
      <c r="AM175" s="62">
        <f t="shared" si="113"/>
        <v>293.33333333333468</v>
      </c>
      <c r="AN175" s="62">
        <f ca="1">AVERAGE(OFFSET($AM$3,0,0,'Données projet'!$E$10+1,1))-AVERAGE(OFFSET($H$3,0,0,'Données projet'!$E$10+1,1))</f>
        <v>288.82868507674738</v>
      </c>
      <c r="AO175" s="62">
        <f t="shared" si="144"/>
        <v>283.48738729114024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3.3863683452798728E-2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3.3863683452798728E-2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1.0286385077051818E-13</v>
      </c>
      <c r="P176" s="14">
        <f t="shared" si="141"/>
        <v>1.5402366592183556E-12</v>
      </c>
      <c r="Q176" s="22">
        <f t="shared" si="162"/>
        <v>2.8617333882306215E-12</v>
      </c>
      <c r="R176" s="62">
        <f t="shared" si="109"/>
        <v>293.33333333333616</v>
      </c>
      <c r="S176" s="62">
        <f ca="1">AVERAGE(OFFSET($R$3,0,0,'Données projet'!$E$9+1,1))-AVERAGE(OFFSET($H$3,0,0,'Données projet'!$E$9+1,1))</f>
        <v>371.95849973474657</v>
      </c>
      <c r="T176" s="62">
        <f t="shared" si="142"/>
        <v>233.32640143610547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5.6843418860808015E-14</v>
      </c>
      <c r="AJ176" s="14">
        <f>AI176*VLOOKUP('Données projet'!$B$10,Paramètres!$A$1:$I$89,3,0)*VLOOKUP('Données projet'!$B$10,Paramètres!$A$1:$I$89,5,0)</f>
        <v>4.4337866711430253E-14</v>
      </c>
      <c r="AK176" s="14">
        <f t="shared" si="164"/>
        <v>7.3222115536967035E-13</v>
      </c>
      <c r="AL176" s="22">
        <f t="shared" si="165"/>
        <v>1.3525069634579169E-12</v>
      </c>
      <c r="AM176" s="62">
        <f t="shared" si="113"/>
        <v>293.33333333333468</v>
      </c>
      <c r="AN176" s="62">
        <f ca="1">AVERAGE(OFFSET($AM$3,0,0,'Données projet'!$E$10+1,1))-AVERAGE(OFFSET($H$3,0,0,'Données projet'!$E$10+1,1))</f>
        <v>288.82868507674738</v>
      </c>
      <c r="AO176" s="62">
        <f t="shared" si="144"/>
        <v>283.48738729114024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3.2937679247968227E-2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3.2937679247968227E-2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1.0286385077051818E-13</v>
      </c>
      <c r="P177" s="14">
        <f t="shared" si="141"/>
        <v>1.5402366592183556E-12</v>
      </c>
      <c r="Q177" s="22">
        <f t="shared" si="162"/>
        <v>2.8617333882306215E-12</v>
      </c>
      <c r="R177" s="62">
        <f t="shared" si="109"/>
        <v>293.33333333333616</v>
      </c>
      <c r="S177" s="62">
        <f ca="1">AVERAGE(OFFSET($R$3,0,0,'Données projet'!$E$9+1,1))-AVERAGE(OFFSET($H$3,0,0,'Données projet'!$E$9+1,1))</f>
        <v>371.95849973474657</v>
      </c>
      <c r="T177" s="62">
        <f t="shared" si="142"/>
        <v>233.32640143610547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5.6843418860808015E-14</v>
      </c>
      <c r="AJ177" s="14">
        <f>AI177*VLOOKUP('Données projet'!$B$10,Paramètres!$A$1:$I$89,3,0)*VLOOKUP('Données projet'!$B$10,Paramètres!$A$1:$I$89,5,0)</f>
        <v>4.4337866711430253E-14</v>
      </c>
      <c r="AK177" s="14">
        <f t="shared" si="164"/>
        <v>7.3222115536967035E-13</v>
      </c>
      <c r="AL177" s="22">
        <f t="shared" si="165"/>
        <v>1.3525069634579169E-12</v>
      </c>
      <c r="AM177" s="62">
        <f t="shared" si="113"/>
        <v>293.33333333333468</v>
      </c>
      <c r="AN177" s="62">
        <f ca="1">AVERAGE(OFFSET($AM$3,0,0,'Données projet'!$E$10+1,1))-AVERAGE(OFFSET($H$3,0,0,'Données projet'!$E$10+1,1))</f>
        <v>288.82868507674738</v>
      </c>
      <c r="AO177" s="62">
        <f t="shared" si="144"/>
        <v>283.48738729114024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3.2036996676815262E-2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3.2036996676815262E-2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1.0286385077051818E-13</v>
      </c>
      <c r="P178" s="14">
        <f t="shared" si="141"/>
        <v>1.5402366592183556E-12</v>
      </c>
      <c r="Q178" s="22">
        <f t="shared" si="162"/>
        <v>2.8617333882306215E-12</v>
      </c>
      <c r="R178" s="62">
        <f t="shared" si="109"/>
        <v>293.33333333333616</v>
      </c>
      <c r="S178" s="62">
        <f ca="1">AVERAGE(OFFSET($R$3,0,0,'Données projet'!$E$9+1,1))-AVERAGE(OFFSET($H$3,0,0,'Données projet'!$E$9+1,1))</f>
        <v>371.95849973474657</v>
      </c>
      <c r="T178" s="62">
        <f t="shared" si="142"/>
        <v>233.32640143610547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5.6843418860808015E-14</v>
      </c>
      <c r="AJ178" s="14">
        <f>AI178*VLOOKUP('Données projet'!$B$10,Paramètres!$A$1:$I$89,3,0)*VLOOKUP('Données projet'!$B$10,Paramètres!$A$1:$I$89,5,0)</f>
        <v>4.4337866711430253E-14</v>
      </c>
      <c r="AK178" s="14">
        <f t="shared" si="164"/>
        <v>7.3222115536967035E-13</v>
      </c>
      <c r="AL178" s="22">
        <f t="shared" si="165"/>
        <v>1.3525069634579169E-12</v>
      </c>
      <c r="AM178" s="62">
        <f t="shared" si="113"/>
        <v>293.33333333333468</v>
      </c>
      <c r="AN178" s="62">
        <f ca="1">AVERAGE(OFFSET($AM$3,0,0,'Données projet'!$E$10+1,1))-AVERAGE(OFFSET($H$3,0,0,'Données projet'!$E$10+1,1))</f>
        <v>288.82868507674738</v>
      </c>
      <c r="AO178" s="62">
        <f t="shared" si="144"/>
        <v>283.48738729114024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3.1160943317935313E-2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3.1160943317935313E-2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1.0286385077051818E-13</v>
      </c>
      <c r="P179" s="14">
        <f t="shared" si="141"/>
        <v>1.5402366592183556E-12</v>
      </c>
      <c r="Q179" s="22">
        <f t="shared" si="162"/>
        <v>2.8617333882306215E-12</v>
      </c>
      <c r="R179" s="62">
        <f t="shared" si="109"/>
        <v>293.33333333333616</v>
      </c>
      <c r="S179" s="62">
        <f ca="1">AVERAGE(OFFSET($R$3,0,0,'Données projet'!$E$9+1,1))-AVERAGE(OFFSET($H$3,0,0,'Données projet'!$E$9+1,1))</f>
        <v>371.95849973474657</v>
      </c>
      <c r="T179" s="62">
        <f t="shared" si="142"/>
        <v>233.32640143610547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5.6843418860808015E-14</v>
      </c>
      <c r="AJ179" s="14">
        <f>AI179*VLOOKUP('Données projet'!$B$10,Paramètres!$A$1:$I$89,3,0)*VLOOKUP('Données projet'!$B$10,Paramètres!$A$1:$I$89,5,0)</f>
        <v>4.4337866711430253E-14</v>
      </c>
      <c r="AK179" s="14">
        <f t="shared" si="164"/>
        <v>7.3222115536967035E-13</v>
      </c>
      <c r="AL179" s="22">
        <f t="shared" si="165"/>
        <v>1.3525069634579169E-12</v>
      </c>
      <c r="AM179" s="62">
        <f t="shared" si="113"/>
        <v>293.33333333333468</v>
      </c>
      <c r="AN179" s="62">
        <f ca="1">AVERAGE(OFFSET($AM$3,0,0,'Données projet'!$E$10+1,1))-AVERAGE(OFFSET($H$3,0,0,'Données projet'!$E$10+1,1))</f>
        <v>288.82868507674738</v>
      </c>
      <c r="AO179" s="62">
        <f t="shared" si="144"/>
        <v>283.48738729114024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3.0308845684223581E-2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3.0308845684223581E-2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1.0286385077051818E-13</v>
      </c>
      <c r="P180" s="14">
        <f t="shared" si="141"/>
        <v>1.5402366592183556E-12</v>
      </c>
      <c r="Q180" s="22">
        <f t="shared" si="162"/>
        <v>2.8617333882306215E-12</v>
      </c>
      <c r="R180" s="62">
        <f t="shared" si="109"/>
        <v>293.33333333333616</v>
      </c>
      <c r="S180" s="62">
        <f ca="1">AVERAGE(OFFSET($R$3,0,0,'Données projet'!$E$9+1,1))-AVERAGE(OFFSET($H$3,0,0,'Données projet'!$E$9+1,1))</f>
        <v>371.95849973474657</v>
      </c>
      <c r="T180" s="62">
        <f t="shared" si="142"/>
        <v>233.32640143610547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5.6843418860808015E-14</v>
      </c>
      <c r="AJ180" s="14">
        <f>AI180*VLOOKUP('Données projet'!$B$10,Paramètres!$A$1:$I$89,3,0)*VLOOKUP('Données projet'!$B$10,Paramètres!$A$1:$I$89,5,0)</f>
        <v>4.4337866711430253E-14</v>
      </c>
      <c r="AK180" s="14">
        <f t="shared" si="164"/>
        <v>7.3222115536967035E-13</v>
      </c>
      <c r="AL180" s="22">
        <f t="shared" si="165"/>
        <v>1.3525069634579169E-12</v>
      </c>
      <c r="AM180" s="62">
        <f t="shared" si="113"/>
        <v>293.33333333333468</v>
      </c>
      <c r="AN180" s="62">
        <f ca="1">AVERAGE(OFFSET($AM$3,0,0,'Données projet'!$E$10+1,1))-AVERAGE(OFFSET($H$3,0,0,'Données projet'!$E$10+1,1))</f>
        <v>288.82868507674738</v>
      </c>
      <c r="AO180" s="62">
        <f t="shared" si="144"/>
        <v>283.48738729114024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2.9480048705115565E-2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2.9480048705115565E-2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1.0286385077051818E-13</v>
      </c>
      <c r="P181" s="14">
        <f t="shared" si="141"/>
        <v>1.5402366592183556E-12</v>
      </c>
      <c r="Q181" s="22">
        <f t="shared" si="162"/>
        <v>2.8617333882306215E-12</v>
      </c>
      <c r="R181" s="62">
        <f t="shared" si="109"/>
        <v>293.33333333333616</v>
      </c>
      <c r="S181" s="62">
        <f ca="1">AVERAGE(OFFSET($R$3,0,0,'Données projet'!$E$9+1,1))-AVERAGE(OFFSET($H$3,0,0,'Données projet'!$E$9+1,1))</f>
        <v>371.95849973474657</v>
      </c>
      <c r="T181" s="62">
        <f t="shared" si="142"/>
        <v>233.32640143610547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5.6843418860808015E-14</v>
      </c>
      <c r="AJ181" s="14">
        <f>AI181*VLOOKUP('Données projet'!$B$10,Paramètres!$A$1:$I$89,3,0)*VLOOKUP('Données projet'!$B$10,Paramètres!$A$1:$I$89,5,0)</f>
        <v>4.4337866711430253E-14</v>
      </c>
      <c r="AK181" s="14">
        <f t="shared" si="164"/>
        <v>7.3222115536967035E-13</v>
      </c>
      <c r="AL181" s="22">
        <f t="shared" si="165"/>
        <v>1.3525069634579169E-12</v>
      </c>
      <c r="AM181" s="62">
        <f t="shared" si="113"/>
        <v>293.33333333333468</v>
      </c>
      <c r="AN181" s="62">
        <f ca="1">AVERAGE(OFFSET($AM$3,0,0,'Données projet'!$E$10+1,1))-AVERAGE(OFFSET($H$3,0,0,'Données projet'!$E$10+1,1))</f>
        <v>288.82868507674738</v>
      </c>
      <c r="AO181" s="62">
        <f t="shared" si="144"/>
        <v>283.48738729114024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2.8673915222985794E-2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2.8673915222985794E-2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1.0286385077051818E-13</v>
      </c>
      <c r="P182" s="14">
        <f t="shared" si="141"/>
        <v>1.5402366592183556E-12</v>
      </c>
      <c r="Q182" s="22">
        <f t="shared" si="162"/>
        <v>2.8617333882306215E-12</v>
      </c>
      <c r="R182" s="62">
        <f t="shared" si="109"/>
        <v>293.33333333333616</v>
      </c>
      <c r="S182" s="62">
        <f ca="1">AVERAGE(OFFSET($R$3,0,0,'Données projet'!$E$9+1,1))-AVERAGE(OFFSET($H$3,0,0,'Données projet'!$E$9+1,1))</f>
        <v>371.95849973474657</v>
      </c>
      <c r="T182" s="62">
        <f t="shared" si="142"/>
        <v>233.32640143610547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5.6843418860808015E-14</v>
      </c>
      <c r="AJ182" s="14">
        <f>AI182*VLOOKUP('Données projet'!$B$10,Paramètres!$A$1:$I$89,3,0)*VLOOKUP('Données projet'!$B$10,Paramètres!$A$1:$I$89,5,0)</f>
        <v>4.4337866711430253E-14</v>
      </c>
      <c r="AK182" s="14">
        <f t="shared" si="164"/>
        <v>7.3222115536967035E-13</v>
      </c>
      <c r="AL182" s="22">
        <f t="shared" si="165"/>
        <v>1.3525069634579169E-12</v>
      </c>
      <c r="AM182" s="62">
        <f t="shared" si="113"/>
        <v>293.33333333333468</v>
      </c>
      <c r="AN182" s="62">
        <f ca="1">AVERAGE(OFFSET($AM$3,0,0,'Données projet'!$E$10+1,1))-AVERAGE(OFFSET($H$3,0,0,'Données projet'!$E$10+1,1))</f>
        <v>288.82868507674738</v>
      </c>
      <c r="AO182" s="62">
        <f t="shared" si="144"/>
        <v>283.48738729114024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2.7889825503317582E-2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2.7889825503317582E-2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1.0286385077051818E-13</v>
      </c>
      <c r="P183" s="14">
        <f t="shared" si="141"/>
        <v>1.5402366592183556E-12</v>
      </c>
      <c r="Q183" s="22">
        <f t="shared" si="162"/>
        <v>2.8617333882306215E-12</v>
      </c>
      <c r="R183" s="62">
        <f t="shared" si="109"/>
        <v>293.33333333333616</v>
      </c>
      <c r="S183" s="62">
        <f ca="1">AVERAGE(OFFSET($R$3,0,0,'Données projet'!$E$9+1,1))-AVERAGE(OFFSET($H$3,0,0,'Données projet'!$E$9+1,1))</f>
        <v>371.95849973474657</v>
      </c>
      <c r="T183" s="62">
        <f t="shared" si="142"/>
        <v>233.32640143610547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5.6843418860808015E-14</v>
      </c>
      <c r="AJ183" s="14">
        <f>AI183*VLOOKUP('Données projet'!$B$10,Paramètres!$A$1:$I$89,3,0)*VLOOKUP('Données projet'!$B$10,Paramètres!$A$1:$I$89,5,0)</f>
        <v>4.4337866711430253E-14</v>
      </c>
      <c r="AK183" s="14">
        <f t="shared" si="164"/>
        <v>7.3222115536967035E-13</v>
      </c>
      <c r="AL183" s="22">
        <f t="shared" si="165"/>
        <v>1.3525069634579169E-12</v>
      </c>
      <c r="AM183" s="62">
        <f t="shared" si="113"/>
        <v>293.33333333333468</v>
      </c>
      <c r="AN183" s="62">
        <f ca="1">AVERAGE(OFFSET($AM$3,0,0,'Données projet'!$E$10+1,1))-AVERAGE(OFFSET($H$3,0,0,'Données projet'!$E$10+1,1))</f>
        <v>288.82868507674738</v>
      </c>
      <c r="AO183" s="62">
        <f t="shared" si="144"/>
        <v>283.48738729114024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2.7127176758267181E-2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2.7127176758267181E-2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1.0286385077051818E-13</v>
      </c>
      <c r="P184" s="14">
        <f t="shared" si="141"/>
        <v>1.5402366592183556E-12</v>
      </c>
      <c r="Q184" s="22">
        <f t="shared" si="162"/>
        <v>2.8617333882306215E-12</v>
      </c>
      <c r="R184" s="62">
        <f t="shared" si="109"/>
        <v>293.33333333333616</v>
      </c>
      <c r="S184" s="62">
        <f ca="1">AVERAGE(OFFSET($R$3,0,0,'Données projet'!$E$9+1,1))-AVERAGE(OFFSET($H$3,0,0,'Données projet'!$E$9+1,1))</f>
        <v>371.95849973474657</v>
      </c>
      <c r="T184" s="62">
        <f t="shared" si="142"/>
        <v>233.32640143610547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5.6843418860808015E-14</v>
      </c>
      <c r="AJ184" s="14">
        <f>AI184*VLOOKUP('Données projet'!$B$10,Paramètres!$A$1:$I$89,3,0)*VLOOKUP('Données projet'!$B$10,Paramètres!$A$1:$I$89,5,0)</f>
        <v>4.4337866711430253E-14</v>
      </c>
      <c r="AK184" s="14">
        <f t="shared" si="164"/>
        <v>7.3222115536967035E-13</v>
      </c>
      <c r="AL184" s="22">
        <f t="shared" si="165"/>
        <v>1.3525069634579169E-12</v>
      </c>
      <c r="AM184" s="62">
        <f t="shared" si="113"/>
        <v>293.33333333333468</v>
      </c>
      <c r="AN184" s="62">
        <f ca="1">AVERAGE(OFFSET($AM$3,0,0,'Données projet'!$E$10+1,1))-AVERAGE(OFFSET($H$3,0,0,'Données projet'!$E$10+1,1))</f>
        <v>288.82868507674738</v>
      </c>
      <c r="AO184" s="62">
        <f t="shared" si="144"/>
        <v>283.48738729114024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2.6385382683256138E-2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2.6385382683256138E-2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1.0286385077051818E-13</v>
      </c>
      <c r="P185" s="14">
        <f t="shared" si="141"/>
        <v>1.5402366592183556E-12</v>
      </c>
      <c r="Q185" s="22">
        <f t="shared" si="162"/>
        <v>2.8617333882306215E-12</v>
      </c>
      <c r="R185" s="62">
        <f t="shared" si="109"/>
        <v>293.33333333333616</v>
      </c>
      <c r="S185" s="62">
        <f ca="1">AVERAGE(OFFSET($R$3,0,0,'Données projet'!$E$9+1,1))-AVERAGE(OFFSET($H$3,0,0,'Données projet'!$E$9+1,1))</f>
        <v>371.95849973474657</v>
      </c>
      <c r="T185" s="62">
        <f t="shared" si="142"/>
        <v>233.32640143610547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5.6843418860808015E-14</v>
      </c>
      <c r="AJ185" s="14">
        <f>AI185*VLOOKUP('Données projet'!$B$10,Paramètres!$A$1:$I$89,3,0)*VLOOKUP('Données projet'!$B$10,Paramètres!$A$1:$I$89,5,0)</f>
        <v>4.4337866711430253E-14</v>
      </c>
      <c r="AK185" s="14">
        <f t="shared" si="164"/>
        <v>7.3222115536967035E-13</v>
      </c>
      <c r="AL185" s="22">
        <f t="shared" si="165"/>
        <v>1.3525069634579169E-12</v>
      </c>
      <c r="AM185" s="62">
        <f t="shared" si="113"/>
        <v>293.33333333333468</v>
      </c>
      <c r="AN185" s="62">
        <f ca="1">AVERAGE(OFFSET($AM$3,0,0,'Données projet'!$E$10+1,1))-AVERAGE(OFFSET($H$3,0,0,'Données projet'!$E$10+1,1))</f>
        <v>288.82868507674738</v>
      </c>
      <c r="AO185" s="62">
        <f t="shared" si="144"/>
        <v>283.48738729114024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2.566387300623553E-2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2.566387300623553E-2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1.0286385077051818E-13</v>
      </c>
      <c r="P186" s="14">
        <f t="shared" si="141"/>
        <v>1.5402366592183556E-12</v>
      </c>
      <c r="Q186" s="22">
        <f t="shared" si="162"/>
        <v>2.8617333882306215E-12</v>
      </c>
      <c r="R186" s="62">
        <f t="shared" si="109"/>
        <v>293.33333333333616</v>
      </c>
      <c r="S186" s="62">
        <f ca="1">AVERAGE(OFFSET($R$3,0,0,'Données projet'!$E$9+1,1))-AVERAGE(OFFSET($H$3,0,0,'Données projet'!$E$9+1,1))</f>
        <v>371.95849973474657</v>
      </c>
      <c r="T186" s="62">
        <f t="shared" si="142"/>
        <v>233.32640143610547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5.6843418860808015E-14</v>
      </c>
      <c r="AJ186" s="14">
        <f>AI186*VLOOKUP('Données projet'!$B$10,Paramètres!$A$1:$I$89,3,0)*VLOOKUP('Données projet'!$B$10,Paramètres!$A$1:$I$89,5,0)</f>
        <v>4.4337866711430253E-14</v>
      </c>
      <c r="AK186" s="14">
        <f t="shared" si="164"/>
        <v>7.3222115536967035E-13</v>
      </c>
      <c r="AL186" s="22">
        <f t="shared" si="165"/>
        <v>1.3525069634579169E-12</v>
      </c>
      <c r="AM186" s="62">
        <f t="shared" si="113"/>
        <v>293.33333333333468</v>
      </c>
      <c r="AN186" s="62">
        <f ca="1">AVERAGE(OFFSET($AM$3,0,0,'Données projet'!$E$10+1,1))-AVERAGE(OFFSET($H$3,0,0,'Données projet'!$E$10+1,1))</f>
        <v>288.82868507674738</v>
      </c>
      <c r="AO186" s="62">
        <f t="shared" si="144"/>
        <v>283.48738729114024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2.4962093049275592E-2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2.4962093049275592E-2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1.0286385077051818E-13</v>
      </c>
      <c r="P187" s="14">
        <f t="shared" si="141"/>
        <v>1.5402366592183556E-12</v>
      </c>
      <c r="Q187" s="22">
        <f t="shared" si="162"/>
        <v>2.8617333882306215E-12</v>
      </c>
      <c r="R187" s="62">
        <f t="shared" si="109"/>
        <v>293.33333333333616</v>
      </c>
      <c r="S187" s="62">
        <f ca="1">AVERAGE(OFFSET($R$3,0,0,'Données projet'!$E$9+1,1))-AVERAGE(OFFSET($H$3,0,0,'Données projet'!$E$9+1,1))</f>
        <v>371.95849973474657</v>
      </c>
      <c r="T187" s="62">
        <f t="shared" si="142"/>
        <v>233.32640143610547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5.6843418860808015E-14</v>
      </c>
      <c r="AJ187" s="14">
        <f>AI187*VLOOKUP('Données projet'!$B$10,Paramètres!$A$1:$I$89,3,0)*VLOOKUP('Données projet'!$B$10,Paramètres!$A$1:$I$89,5,0)</f>
        <v>4.4337866711430253E-14</v>
      </c>
      <c r="AK187" s="14">
        <f t="shared" si="164"/>
        <v>7.3222115536967035E-13</v>
      </c>
      <c r="AL187" s="22">
        <f t="shared" si="165"/>
        <v>1.3525069634579169E-12</v>
      </c>
      <c r="AM187" s="62">
        <f t="shared" si="113"/>
        <v>293.33333333333468</v>
      </c>
      <c r="AN187" s="62">
        <f ca="1">AVERAGE(OFFSET($AM$3,0,0,'Données projet'!$E$10+1,1))-AVERAGE(OFFSET($H$3,0,0,'Données projet'!$E$10+1,1))</f>
        <v>288.82868507674738</v>
      </c>
      <c r="AO187" s="62">
        <f t="shared" si="144"/>
        <v>283.48738729114024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2.4279503302143728E-2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2.4279503302143728E-2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1.0286385077051818E-13</v>
      </c>
      <c r="P188" s="14">
        <f t="shared" si="141"/>
        <v>1.5402366592183556E-12</v>
      </c>
      <c r="Q188" s="22">
        <f t="shared" si="162"/>
        <v>2.8617333882306215E-12</v>
      </c>
      <c r="R188" s="62">
        <f t="shared" si="109"/>
        <v>293.33333333333616</v>
      </c>
      <c r="S188" s="62">
        <f ca="1">AVERAGE(OFFSET($R$3,0,0,'Données projet'!$E$9+1,1))-AVERAGE(OFFSET($H$3,0,0,'Données projet'!$E$9+1,1))</f>
        <v>371.95849973474657</v>
      </c>
      <c r="T188" s="62">
        <f t="shared" si="142"/>
        <v>233.32640143610547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5.6843418860808015E-14</v>
      </c>
      <c r="AJ188" s="14">
        <f>AI188*VLOOKUP('Données projet'!$B$10,Paramètres!$A$1:$I$89,3,0)*VLOOKUP('Données projet'!$B$10,Paramètres!$A$1:$I$89,5,0)</f>
        <v>4.4337866711430253E-14</v>
      </c>
      <c r="AK188" s="14">
        <f t="shared" si="164"/>
        <v>7.3222115536967035E-13</v>
      </c>
      <c r="AL188" s="22">
        <f t="shared" si="165"/>
        <v>1.3525069634579169E-12</v>
      </c>
      <c r="AM188" s="62">
        <f t="shared" si="113"/>
        <v>293.33333333333468</v>
      </c>
      <c r="AN188" s="62">
        <f ca="1">AVERAGE(OFFSET($AM$3,0,0,'Données projet'!$E$10+1,1))-AVERAGE(OFFSET($H$3,0,0,'Données projet'!$E$10+1,1))</f>
        <v>288.82868507674738</v>
      </c>
      <c r="AO188" s="62">
        <f t="shared" si="144"/>
        <v>283.48738729114024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2.3615579007543019E-2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2.3615579007543019E-2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1.0286385077051818E-13</v>
      </c>
      <c r="P189" s="14">
        <f t="shared" si="141"/>
        <v>1.5402366592183556E-12</v>
      </c>
      <c r="Q189" s="22">
        <f t="shared" si="162"/>
        <v>2.8617333882306215E-12</v>
      </c>
      <c r="R189" s="62">
        <f t="shared" si="109"/>
        <v>293.33333333333616</v>
      </c>
      <c r="S189" s="62">
        <f ca="1">AVERAGE(OFFSET($R$3,0,0,'Données projet'!$E$9+1,1))-AVERAGE(OFFSET($H$3,0,0,'Données projet'!$E$9+1,1))</f>
        <v>371.95849973474657</v>
      </c>
      <c r="T189" s="62">
        <f t="shared" si="142"/>
        <v>233.32640143610547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5.6843418860808015E-14</v>
      </c>
      <c r="AJ189" s="14">
        <f>AI189*VLOOKUP('Données projet'!$B$10,Paramètres!$A$1:$I$89,3,0)*VLOOKUP('Données projet'!$B$10,Paramètres!$A$1:$I$89,5,0)</f>
        <v>4.4337866711430253E-14</v>
      </c>
      <c r="AK189" s="14">
        <f t="shared" si="164"/>
        <v>7.3222115536967035E-13</v>
      </c>
      <c r="AL189" s="22">
        <f t="shared" si="165"/>
        <v>1.3525069634579169E-12</v>
      </c>
      <c r="AM189" s="62">
        <f t="shared" si="113"/>
        <v>293.33333333333468</v>
      </c>
      <c r="AN189" s="62">
        <f ca="1">AVERAGE(OFFSET($AM$3,0,0,'Données projet'!$E$10+1,1))-AVERAGE(OFFSET($H$3,0,0,'Données projet'!$E$10+1,1))</f>
        <v>288.82868507674738</v>
      </c>
      <c r="AO189" s="62">
        <f t="shared" si="144"/>
        <v>283.48738729114024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2.296980975769243E-2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2.296980975769243E-2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1.0286385077051818E-13</v>
      </c>
      <c r="P190" s="14">
        <f t="shared" si="141"/>
        <v>1.5402366592183556E-12</v>
      </c>
      <c r="Q190" s="22">
        <f t="shared" si="162"/>
        <v>2.8617333882306215E-12</v>
      </c>
      <c r="R190" s="62">
        <f t="shared" si="109"/>
        <v>293.33333333333616</v>
      </c>
      <c r="S190" s="62">
        <f ca="1">AVERAGE(OFFSET($R$3,0,0,'Données projet'!$E$9+1,1))-AVERAGE(OFFSET($H$3,0,0,'Données projet'!$E$9+1,1))</f>
        <v>371.95849973474657</v>
      </c>
      <c r="T190" s="62">
        <f t="shared" si="142"/>
        <v>233.32640143610547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5.6843418860808015E-14</v>
      </c>
      <c r="AJ190" s="14">
        <f>AI190*VLOOKUP('Données projet'!$B$10,Paramètres!$A$1:$I$89,3,0)*VLOOKUP('Données projet'!$B$10,Paramètres!$A$1:$I$89,5,0)</f>
        <v>4.4337866711430253E-14</v>
      </c>
      <c r="AK190" s="14">
        <f t="shared" si="164"/>
        <v>7.3222115536967035E-13</v>
      </c>
      <c r="AL190" s="22">
        <f t="shared" si="165"/>
        <v>1.3525069634579169E-12</v>
      </c>
      <c r="AM190" s="62">
        <f t="shared" si="113"/>
        <v>293.33333333333468</v>
      </c>
      <c r="AN190" s="62">
        <f ca="1">AVERAGE(OFFSET($AM$3,0,0,'Données projet'!$E$10+1,1))-AVERAGE(OFFSET($H$3,0,0,'Données projet'!$E$10+1,1))</f>
        <v>288.82868507674738</v>
      </c>
      <c r="AO190" s="62">
        <f t="shared" si="144"/>
        <v>283.48738729114024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2.2341699101938534E-2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2.2341699101938534E-2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1.0286385077051818E-13</v>
      </c>
      <c r="P191" s="14">
        <f t="shared" si="141"/>
        <v>1.5402366592183556E-12</v>
      </c>
      <c r="Q191" s="22">
        <f t="shared" si="162"/>
        <v>2.8617333882306215E-12</v>
      </c>
      <c r="R191" s="62">
        <f t="shared" si="109"/>
        <v>293.33333333333616</v>
      </c>
      <c r="S191" s="62">
        <f ca="1">AVERAGE(OFFSET($R$3,0,0,'Données projet'!$E$9+1,1))-AVERAGE(OFFSET($H$3,0,0,'Données projet'!$E$9+1,1))</f>
        <v>371.95849973474657</v>
      </c>
      <c r="T191" s="62">
        <f t="shared" si="142"/>
        <v>233.32640143610547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5.6843418860808015E-14</v>
      </c>
      <c r="AJ191" s="14">
        <f>AI191*VLOOKUP('Données projet'!$B$10,Paramètres!$A$1:$I$89,3,0)*VLOOKUP('Données projet'!$B$10,Paramètres!$A$1:$I$89,5,0)</f>
        <v>4.4337866711430253E-14</v>
      </c>
      <c r="AK191" s="14">
        <f t="shared" si="164"/>
        <v>7.3222115536967035E-13</v>
      </c>
      <c r="AL191" s="22">
        <f t="shared" si="165"/>
        <v>1.3525069634579169E-12</v>
      </c>
      <c r="AM191" s="62">
        <f t="shared" si="113"/>
        <v>293.33333333333468</v>
      </c>
      <c r="AN191" s="62">
        <f ca="1">AVERAGE(OFFSET($AM$3,0,0,'Données projet'!$E$10+1,1))-AVERAGE(OFFSET($H$3,0,0,'Données projet'!$E$10+1,1))</f>
        <v>288.82868507674738</v>
      </c>
      <c r="AO191" s="62">
        <f t="shared" si="144"/>
        <v>283.48738729114024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2.173076416509713E-2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2.173076416509713E-2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1.0286385077051818E-13</v>
      </c>
      <c r="P192" s="14">
        <f t="shared" si="141"/>
        <v>1.5402366592183556E-12</v>
      </c>
      <c r="Q192" s="22">
        <f t="shared" si="162"/>
        <v>2.8617333882306215E-12</v>
      </c>
      <c r="R192" s="62">
        <f t="shared" si="109"/>
        <v>293.33333333333616</v>
      </c>
      <c r="S192" s="62">
        <f ca="1">AVERAGE(OFFSET($R$3,0,0,'Données projet'!$E$9+1,1))-AVERAGE(OFFSET($H$3,0,0,'Données projet'!$E$9+1,1))</f>
        <v>371.95849973474657</v>
      </c>
      <c r="T192" s="62">
        <f t="shared" si="142"/>
        <v>233.32640143610547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5.6843418860808015E-14</v>
      </c>
      <c r="AJ192" s="14">
        <f>AI192*VLOOKUP('Données projet'!$B$10,Paramètres!$A$1:$I$89,3,0)*VLOOKUP('Données projet'!$B$10,Paramètres!$A$1:$I$89,5,0)</f>
        <v>4.4337866711430253E-14</v>
      </c>
      <c r="AK192" s="14">
        <f t="shared" si="164"/>
        <v>7.3222115536967035E-13</v>
      </c>
      <c r="AL192" s="22">
        <f t="shared" si="165"/>
        <v>1.3525069634579169E-12</v>
      </c>
      <c r="AM192" s="62">
        <f t="shared" si="113"/>
        <v>293.33333333333468</v>
      </c>
      <c r="AN192" s="62">
        <f ca="1">AVERAGE(OFFSET($AM$3,0,0,'Données projet'!$E$10+1,1))-AVERAGE(OFFSET($H$3,0,0,'Données projet'!$E$10+1,1))</f>
        <v>288.82868507674738</v>
      </c>
      <c r="AO192" s="62">
        <f t="shared" si="144"/>
        <v>283.48738729114024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2.1136535276231327E-2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2.1136535276231327E-2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1.0286385077051818E-13</v>
      </c>
      <c r="P193" s="14">
        <f t="shared" si="141"/>
        <v>1.5402366592183556E-12</v>
      </c>
      <c r="Q193" s="22">
        <f t="shared" si="162"/>
        <v>2.8617333882306215E-12</v>
      </c>
      <c r="R193" s="62">
        <f t="shared" si="109"/>
        <v>293.33333333333616</v>
      </c>
      <c r="S193" s="62">
        <f ca="1">AVERAGE(OFFSET($R$3,0,0,'Données projet'!$E$9+1,1))-AVERAGE(OFFSET($H$3,0,0,'Données projet'!$E$9+1,1))</f>
        <v>371.95849973474657</v>
      </c>
      <c r="T193" s="62">
        <f t="shared" si="142"/>
        <v>233.32640143610547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5.6843418860808015E-14</v>
      </c>
      <c r="AJ193" s="14">
        <f>AI193*VLOOKUP('Données projet'!$B$10,Paramètres!$A$1:$I$89,3,0)*VLOOKUP('Données projet'!$B$10,Paramètres!$A$1:$I$89,5,0)</f>
        <v>4.4337866711430253E-14</v>
      </c>
      <c r="AK193" s="14">
        <f t="shared" si="164"/>
        <v>7.3222115536967035E-13</v>
      </c>
      <c r="AL193" s="22">
        <f t="shared" si="165"/>
        <v>1.3525069634579169E-12</v>
      </c>
      <c r="AM193" s="62">
        <f t="shared" si="113"/>
        <v>293.33333333333468</v>
      </c>
      <c r="AN193" s="62">
        <f ca="1">AVERAGE(OFFSET($AM$3,0,0,'Données projet'!$E$10+1,1))-AVERAGE(OFFSET($H$3,0,0,'Données projet'!$E$10+1,1))</f>
        <v>288.82868507674738</v>
      </c>
      <c r="AO193" s="62">
        <f t="shared" si="144"/>
        <v>283.48738729114024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2.05585556075807E-2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2.05585556075807E-2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1.0286385077051818E-13</v>
      </c>
      <c r="P194" s="14">
        <f t="shared" si="141"/>
        <v>1.5402366592183556E-12</v>
      </c>
      <c r="Q194" s="22">
        <f t="shared" si="162"/>
        <v>2.8617333882306215E-12</v>
      </c>
      <c r="R194" s="62">
        <f t="shared" si="109"/>
        <v>293.33333333333616</v>
      </c>
      <c r="S194" s="62">
        <f ca="1">AVERAGE(OFFSET($R$3,0,0,'Données projet'!$E$9+1,1))-AVERAGE(OFFSET($H$3,0,0,'Données projet'!$E$9+1,1))</f>
        <v>371.95849973474657</v>
      </c>
      <c r="T194" s="62">
        <f t="shared" si="142"/>
        <v>233.32640143610547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5.6843418860808015E-14</v>
      </c>
      <c r="AJ194" s="14">
        <f>AI194*VLOOKUP('Données projet'!$B$10,Paramètres!$A$1:$I$89,3,0)*VLOOKUP('Données projet'!$B$10,Paramètres!$A$1:$I$89,5,0)</f>
        <v>4.4337866711430253E-14</v>
      </c>
      <c r="AK194" s="14">
        <f t="shared" si="164"/>
        <v>7.3222115536967035E-13</v>
      </c>
      <c r="AL194" s="22">
        <f t="shared" si="165"/>
        <v>1.3525069634579169E-12</v>
      </c>
      <c r="AM194" s="62">
        <f t="shared" si="113"/>
        <v>293.33333333333468</v>
      </c>
      <c r="AN194" s="62">
        <f ca="1">AVERAGE(OFFSET($AM$3,0,0,'Données projet'!$E$10+1,1))-AVERAGE(OFFSET($H$3,0,0,'Données projet'!$E$10+1,1))</f>
        <v>288.82868507674738</v>
      </c>
      <c r="AO194" s="62">
        <f t="shared" si="144"/>
        <v>283.48738729114024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1.9996380823363955E-2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1.9996380823363955E-2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1.0286385077051818E-13</v>
      </c>
      <c r="P195" s="14">
        <f t="shared" si="141"/>
        <v>1.5402366592183556E-12</v>
      </c>
      <c r="Q195" s="22">
        <f t="shared" si="162"/>
        <v>2.8617333882306215E-12</v>
      </c>
      <c r="R195" s="62">
        <f t="shared" ref="R195:R203" si="191">Q195+(I195+J195)*44/12</f>
        <v>293.33333333333616</v>
      </c>
      <c r="S195" s="62">
        <f ca="1">AVERAGE(OFFSET($R$3,0,0,'Données projet'!$E$9+1,1))-AVERAGE(OFFSET($H$3,0,0,'Données projet'!$E$9+1,1))</f>
        <v>371.95849973474657</v>
      </c>
      <c r="T195" s="62">
        <f t="shared" si="142"/>
        <v>233.32640143610547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5.6843418860808015E-14</v>
      </c>
      <c r="AJ195" s="14">
        <f>AI195*VLOOKUP('Données projet'!$B$10,Paramètres!$A$1:$I$89,3,0)*VLOOKUP('Données projet'!$B$10,Paramètres!$A$1:$I$89,5,0)</f>
        <v>4.4337866711430253E-14</v>
      </c>
      <c r="AK195" s="14">
        <f t="shared" si="164"/>
        <v>7.3222115536967035E-13</v>
      </c>
      <c r="AL195" s="22">
        <f t="shared" si="165"/>
        <v>1.3525069634579169E-12</v>
      </c>
      <c r="AM195" s="62">
        <f t="shared" si="113"/>
        <v>293.33333333333468</v>
      </c>
      <c r="AN195" s="62">
        <f ca="1">AVERAGE(OFFSET($AM$3,0,0,'Données projet'!$E$10+1,1))-AVERAGE(OFFSET($H$3,0,0,'Données projet'!$E$10+1,1))</f>
        <v>288.82868507674738</v>
      </c>
      <c r="AO195" s="62">
        <f t="shared" si="144"/>
        <v>283.48738729114024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1.9449578738185102E-2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1.9449578738185102E-2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1.0286385077051818E-13</v>
      </c>
      <c r="P196" s="14">
        <f t="shared" si="141"/>
        <v>1.5402366592183556E-12</v>
      </c>
      <c r="Q196" s="22">
        <f t="shared" si="162"/>
        <v>2.8617333882306215E-12</v>
      </c>
      <c r="R196" s="62">
        <f t="shared" si="191"/>
        <v>293.33333333333616</v>
      </c>
      <c r="S196" s="62">
        <f ca="1">AVERAGE(OFFSET($R$3,0,0,'Données projet'!$E$9+1,1))-AVERAGE(OFFSET($H$3,0,0,'Données projet'!$E$9+1,1))</f>
        <v>371.95849973474657</v>
      </c>
      <c r="T196" s="62">
        <f t="shared" si="142"/>
        <v>233.32640143610547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5.6843418860808015E-14</v>
      </c>
      <c r="AJ196" s="14">
        <f>AI196*VLOOKUP('Données projet'!$B$10,Paramètres!$A$1:$I$89,3,0)*VLOOKUP('Données projet'!$B$10,Paramètres!$A$1:$I$89,5,0)</f>
        <v>4.4337866711430253E-14</v>
      </c>
      <c r="AK196" s="14">
        <f t="shared" si="164"/>
        <v>7.3222115536967035E-13</v>
      </c>
      <c r="AL196" s="22">
        <f t="shared" si="165"/>
        <v>1.3525069634579169E-12</v>
      </c>
      <c r="AM196" s="62">
        <f t="shared" ref="AM196:AM203" si="193">AL196+(AD196+AE196)*44/12</f>
        <v>293.33333333333468</v>
      </c>
      <c r="AN196" s="62">
        <f ca="1">AVERAGE(OFFSET($AM$3,0,0,'Données projet'!$E$10+1,1))-AVERAGE(OFFSET($H$3,0,0,'Données projet'!$E$10+1,1))</f>
        <v>288.82868507674738</v>
      </c>
      <c r="AO196" s="62">
        <f t="shared" si="144"/>
        <v>283.48738729114024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1.8917728984780537E-2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1.8917728984780537E-2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1.0286385077051818E-13</v>
      </c>
      <c r="P197" s="14">
        <f t="shared" ref="P197:P203" si="203">EXP(-1.0587+0.8836*LN(O197)+0.284)</f>
        <v>1.5402366592183556E-12</v>
      </c>
      <c r="Q197" s="22">
        <f t="shared" si="162"/>
        <v>2.8617333882306215E-12</v>
      </c>
      <c r="R197" s="62">
        <f t="shared" si="191"/>
        <v>293.33333333333616</v>
      </c>
      <c r="S197" s="62">
        <f ca="1">AVERAGE(OFFSET($R$3,0,0,'Données projet'!$E$9+1,1))-AVERAGE(OFFSET($H$3,0,0,'Données projet'!$E$9+1,1))</f>
        <v>371.95849973474657</v>
      </c>
      <c r="T197" s="62">
        <f t="shared" ref="T197:T203" si="204">$T$3</f>
        <v>233.32640143610547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5.6843418860808015E-14</v>
      </c>
      <c r="AJ197" s="14">
        <f>AI197*VLOOKUP('Données projet'!$B$10,Paramètres!$A$1:$I$89,3,0)*VLOOKUP('Données projet'!$B$10,Paramètres!$A$1:$I$89,5,0)</f>
        <v>4.4337866711430253E-14</v>
      </c>
      <c r="AK197" s="14">
        <f t="shared" si="164"/>
        <v>7.3222115536967035E-13</v>
      </c>
      <c r="AL197" s="22">
        <f t="shared" si="165"/>
        <v>1.3525069634579169E-12</v>
      </c>
      <c r="AM197" s="62">
        <f t="shared" si="193"/>
        <v>293.33333333333468</v>
      </c>
      <c r="AN197" s="62">
        <f ca="1">AVERAGE(OFFSET($AM$3,0,0,'Données projet'!$E$10+1,1))-AVERAGE(OFFSET($H$3,0,0,'Données projet'!$E$10+1,1))</f>
        <v>288.82868507674738</v>
      </c>
      <c r="AO197" s="62">
        <f t="shared" ref="AO197:AO203" si="205">$AO$3</f>
        <v>283.48738729114024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1.8400422690851584E-2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1.8400422690851584E-2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1.0286385077051818E-13</v>
      </c>
      <c r="P198" s="14">
        <f t="shared" si="203"/>
        <v>1.5402366592183556E-12</v>
      </c>
      <c r="Q198" s="22">
        <f t="shared" si="162"/>
        <v>2.8617333882306215E-12</v>
      </c>
      <c r="R198" s="62">
        <f t="shared" si="191"/>
        <v>293.33333333333616</v>
      </c>
      <c r="S198" s="62">
        <f ca="1">AVERAGE(OFFSET($R$3,0,0,'Données projet'!$E$9+1,1))-AVERAGE(OFFSET($H$3,0,0,'Données projet'!$E$9+1,1))</f>
        <v>371.95849973474657</v>
      </c>
      <c r="T198" s="62">
        <f t="shared" si="204"/>
        <v>233.32640143610547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5.6843418860808015E-14</v>
      </c>
      <c r="AJ198" s="14">
        <f>AI198*VLOOKUP('Données projet'!$B$10,Paramètres!$A$1:$I$89,3,0)*VLOOKUP('Données projet'!$B$10,Paramètres!$A$1:$I$89,5,0)</f>
        <v>4.4337866711430253E-14</v>
      </c>
      <c r="AK198" s="14">
        <f t="shared" si="164"/>
        <v>7.3222115536967035E-13</v>
      </c>
      <c r="AL198" s="22">
        <f t="shared" si="165"/>
        <v>1.3525069634579169E-12</v>
      </c>
      <c r="AM198" s="62">
        <f t="shared" si="193"/>
        <v>293.33333333333468</v>
      </c>
      <c r="AN198" s="62">
        <f ca="1">AVERAGE(OFFSET($AM$3,0,0,'Données projet'!$E$10+1,1))-AVERAGE(OFFSET($H$3,0,0,'Données projet'!$E$10+1,1))</f>
        <v>288.82868507674738</v>
      </c>
      <c r="AO198" s="62">
        <f t="shared" si="205"/>
        <v>283.48738729114024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1.7897262164734074E-2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1.7897262164734074E-2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1.0286385077051818E-13</v>
      </c>
      <c r="P199" s="14">
        <f t="shared" si="203"/>
        <v>1.5402366592183556E-12</v>
      </c>
      <c r="Q199" s="22">
        <f t="shared" si="162"/>
        <v>2.8617333882306215E-12</v>
      </c>
      <c r="R199" s="62">
        <f t="shared" si="191"/>
        <v>293.33333333333616</v>
      </c>
      <c r="S199" s="62">
        <f ca="1">AVERAGE(OFFSET($R$3,0,0,'Données projet'!$E$9+1,1))-AVERAGE(OFFSET($H$3,0,0,'Données projet'!$E$9+1,1))</f>
        <v>371.95849973474657</v>
      </c>
      <c r="T199" s="62">
        <f t="shared" si="204"/>
        <v>233.32640143610547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5.6843418860808015E-14</v>
      </c>
      <c r="AJ199" s="14">
        <f>AI199*VLOOKUP('Données projet'!$B$10,Paramètres!$A$1:$I$89,3,0)*VLOOKUP('Données projet'!$B$10,Paramètres!$A$1:$I$89,5,0)</f>
        <v>4.4337866711430253E-14</v>
      </c>
      <c r="AK199" s="14">
        <f t="shared" si="164"/>
        <v>7.3222115536967035E-13</v>
      </c>
      <c r="AL199" s="22">
        <f t="shared" si="165"/>
        <v>1.3525069634579169E-12</v>
      </c>
      <c r="AM199" s="62">
        <f t="shared" si="193"/>
        <v>293.33333333333468</v>
      </c>
      <c r="AN199" s="62">
        <f ca="1">AVERAGE(OFFSET($AM$3,0,0,'Données projet'!$E$10+1,1))-AVERAGE(OFFSET($H$3,0,0,'Données projet'!$E$10+1,1))</f>
        <v>288.82868507674738</v>
      </c>
      <c r="AO199" s="62">
        <f t="shared" si="205"/>
        <v>283.48738729114024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1.7407860589663308E-2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1.7407860589663308E-2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1.0286385077051818E-13</v>
      </c>
      <c r="P200" s="14">
        <f t="shared" si="203"/>
        <v>1.5402366592183556E-12</v>
      </c>
      <c r="Q200" s="22">
        <f t="shared" si="162"/>
        <v>2.8617333882306215E-12</v>
      </c>
      <c r="R200" s="62">
        <f t="shared" si="191"/>
        <v>293.33333333333616</v>
      </c>
      <c r="S200" s="62">
        <f ca="1">AVERAGE(OFFSET($R$3,0,0,'Données projet'!$E$9+1,1))-AVERAGE(OFFSET($H$3,0,0,'Données projet'!$E$9+1,1))</f>
        <v>371.95849973474657</v>
      </c>
      <c r="T200" s="62">
        <f t="shared" si="204"/>
        <v>233.32640143610547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5.6843418860808015E-14</v>
      </c>
      <c r="AJ200" s="14">
        <f>AI200*VLOOKUP('Données projet'!$B$10,Paramètres!$A$1:$I$89,3,0)*VLOOKUP('Données projet'!$B$10,Paramètres!$A$1:$I$89,5,0)</f>
        <v>4.4337866711430253E-14</v>
      </c>
      <c r="AK200" s="14">
        <f t="shared" si="164"/>
        <v>7.3222115536967035E-13</v>
      </c>
      <c r="AL200" s="22">
        <f t="shared" si="165"/>
        <v>1.3525069634579169E-12</v>
      </c>
      <c r="AM200" s="62">
        <f t="shared" si="193"/>
        <v>293.33333333333468</v>
      </c>
      <c r="AN200" s="62">
        <f ca="1">AVERAGE(OFFSET($AM$3,0,0,'Données projet'!$E$10+1,1))-AVERAGE(OFFSET($H$3,0,0,'Données projet'!$E$10+1,1))</f>
        <v>288.82868507674738</v>
      </c>
      <c r="AO200" s="62">
        <f t="shared" si="205"/>
        <v>283.48738729114024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1.6931841726399364E-2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1.6931841726399364E-2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1.0286385077051818E-13</v>
      </c>
      <c r="P201" s="14">
        <f t="shared" si="203"/>
        <v>1.5402366592183556E-12</v>
      </c>
      <c r="Q201" s="22">
        <f t="shared" si="162"/>
        <v>2.8617333882306215E-12</v>
      </c>
      <c r="R201" s="62">
        <f t="shared" si="191"/>
        <v>293.33333333333616</v>
      </c>
      <c r="S201" s="62">
        <f ca="1">AVERAGE(OFFSET($R$3,0,0,'Données projet'!$E$9+1,1))-AVERAGE(OFFSET($H$3,0,0,'Données projet'!$E$9+1,1))</f>
        <v>371.95849973474657</v>
      </c>
      <c r="T201" s="62">
        <f t="shared" si="204"/>
        <v>233.32640143610547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5.6843418860808015E-14</v>
      </c>
      <c r="AJ201" s="14">
        <f>AI201*VLOOKUP('Données projet'!$B$10,Paramètres!$A$1:$I$89,3,0)*VLOOKUP('Données projet'!$B$10,Paramètres!$A$1:$I$89,5,0)</f>
        <v>4.4337866711430253E-14</v>
      </c>
      <c r="AK201" s="14">
        <f t="shared" si="164"/>
        <v>7.3222115536967035E-13</v>
      </c>
      <c r="AL201" s="22">
        <f t="shared" si="165"/>
        <v>1.3525069634579169E-12</v>
      </c>
      <c r="AM201" s="62">
        <f t="shared" si="193"/>
        <v>293.33333333333468</v>
      </c>
      <c r="AN201" s="62">
        <f ca="1">AVERAGE(OFFSET($AM$3,0,0,'Données projet'!$E$10+1,1))-AVERAGE(OFFSET($H$3,0,0,'Données projet'!$E$10+1,1))</f>
        <v>288.82868507674738</v>
      </c>
      <c r="AO201" s="62">
        <f t="shared" si="205"/>
        <v>283.48738729114024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1.6468839623984113E-2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1.6468839623984113E-2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1.0286385077051818E-13</v>
      </c>
      <c r="P202" s="14">
        <f t="shared" si="203"/>
        <v>1.5402366592183556E-12</v>
      </c>
      <c r="Q202" s="22">
        <f t="shared" si="162"/>
        <v>2.8617333882306215E-12</v>
      </c>
      <c r="R202" s="62">
        <f t="shared" si="191"/>
        <v>293.33333333333616</v>
      </c>
      <c r="S202" s="62">
        <f ca="1">AVERAGE(OFFSET($R$3,0,0,'Données projet'!$E$9+1,1))-AVERAGE(OFFSET($H$3,0,0,'Données projet'!$E$9+1,1))</f>
        <v>371.95849973474657</v>
      </c>
      <c r="T202" s="62">
        <f t="shared" si="204"/>
        <v>233.32640143610547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5.6843418860808015E-14</v>
      </c>
      <c r="AJ202" s="14">
        <f>AI202*VLOOKUP('Données projet'!$B$10,Paramètres!$A$1:$I$89,3,0)*VLOOKUP('Données projet'!$B$10,Paramètres!$A$1:$I$89,5,0)</f>
        <v>4.4337866711430253E-14</v>
      </c>
      <c r="AK202" s="14">
        <f t="shared" si="164"/>
        <v>7.3222115536967035E-13</v>
      </c>
      <c r="AL202" s="22">
        <f t="shared" si="165"/>
        <v>1.3525069634579169E-12</v>
      </c>
      <c r="AM202" s="62">
        <f t="shared" si="193"/>
        <v>293.33333333333468</v>
      </c>
      <c r="AN202" s="62">
        <f ca="1">AVERAGE(OFFSET($AM$3,0,0,'Données projet'!$E$10+1,1))-AVERAGE(OFFSET($H$3,0,0,'Données projet'!$E$10+1,1))</f>
        <v>288.82868507674738</v>
      </c>
      <c r="AO202" s="62">
        <f t="shared" si="205"/>
        <v>283.48738729114024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1.6018498338407631E-2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1.6018498338407631E-2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1.0286385077051818E-13</v>
      </c>
      <c r="P203" s="14">
        <f t="shared" si="203"/>
        <v>1.5402366592183556E-12</v>
      </c>
      <c r="Q203" s="22">
        <f t="shared" si="162"/>
        <v>2.8617333882306215E-12</v>
      </c>
      <c r="R203" s="62">
        <f t="shared" si="191"/>
        <v>293.33333333333616</v>
      </c>
      <c r="S203" s="62">
        <f ca="1">AVERAGE(OFFSET($R$3,0,0,'Données projet'!$E$9+1,1))-AVERAGE(OFFSET($H$3,0,0,'Données projet'!$E$9+1,1))</f>
        <v>371.95849973474657</v>
      </c>
      <c r="T203" s="62">
        <f t="shared" si="204"/>
        <v>233.32640143610547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5.6843418860808015E-14</v>
      </c>
      <c r="AJ203" s="14">
        <f>AI203*VLOOKUP('Données projet'!$B$10,Paramètres!$A$1:$I$89,3,0)*VLOOKUP('Données projet'!$B$10,Paramètres!$A$1:$I$89,5,0)</f>
        <v>4.4337866711430253E-14</v>
      </c>
      <c r="AK203" s="14">
        <f t="shared" si="164"/>
        <v>7.3222115536967035E-13</v>
      </c>
      <c r="AL203" s="22">
        <f t="shared" si="165"/>
        <v>1.3525069634579169E-12</v>
      </c>
      <c r="AM203" s="62">
        <f t="shared" si="193"/>
        <v>293.33333333333468</v>
      </c>
      <c r="AN203" s="62">
        <f ca="1">AVERAGE(OFFSET($AM$3,0,0,'Données projet'!$E$10+1,1))-AVERAGE(OFFSET($H$3,0,0,'Données projet'!$E$10+1,1))</f>
        <v>288.82868507674738</v>
      </c>
      <c r="AO203" s="62">
        <f t="shared" si="205"/>
        <v>283.48738729114024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1.5580471658967657E-2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1.5580471658967657E-2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1.185906184594963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1.2788040393997409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M16" sqref="M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0.90999999999999992</v>
      </c>
      <c r="C6" s="156">
        <f ca="1">IF(OR('Données projet'!B9="",'Données projet'!C9="",'Données projet'!C9=0%),0,Calculateur!S3)</f>
        <v>371.95849973474657</v>
      </c>
      <c r="D6" s="156">
        <f>IF(OR('Données projet'!B9="",'Données projet'!C9="",'Données projet'!C9=0%),0,Calculateur!T3)</f>
        <v>233.32640143610547</v>
      </c>
      <c r="E6" s="156">
        <f ca="1">MIN(C6,D6)</f>
        <v>233.32640143610547</v>
      </c>
      <c r="F6" s="156">
        <f ca="1">E6*B6</f>
        <v>212.32702530685597</v>
      </c>
      <c r="G6" s="156">
        <f ca="1">F6*(100%-'Données projet'!$C$24)*(100%-'Données projet'!$C$25)*(100%-'Données projet'!$C$26)*(100%-'Données projet'!$C$27)</f>
        <v>171.98489049855334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6.5974999999999993</v>
      </c>
      <c r="K6" s="160">
        <f>J6*(100%-'Données projet'!$C$24)*(100%-'Données projet'!$C$25)*(100%-'Données projet'!$C$26)*(100%-'Données projet'!$C$27)</f>
        <v>5.3439749999999995</v>
      </c>
      <c r="L6" s="161">
        <f ca="1">G6+I6+K6</f>
        <v>177.32886549855334</v>
      </c>
      <c r="M6" s="25">
        <f ca="1">L6/B6</f>
        <v>194.86688516324546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Merisier</v>
      </c>
      <c r="B7" s="163">
        <f>'Données projet'!D10</f>
        <v>0.39</v>
      </c>
      <c r="C7" s="156">
        <f ca="1">IF(OR('Données projet'!B10="",'Données projet'!C10="",'Données projet'!C10=0%),0,Calculateur!AN3)</f>
        <v>288.82868507674738</v>
      </c>
      <c r="D7" s="156">
        <f>IF(OR('Données projet'!B10="",'Données projet'!C10="",'Données projet'!C10=0%),0,Calculateur!AO3)</f>
        <v>283.48738729114024</v>
      </c>
      <c r="E7" s="156">
        <f t="shared" ref="E7:E15" ca="1" si="0">MIN(C7,D7)</f>
        <v>283.48738729114024</v>
      </c>
      <c r="F7" s="156">
        <f t="shared" ref="F7:F15" ca="1" si="1">E7*B7</f>
        <v>110.5600810435447</v>
      </c>
      <c r="G7" s="156">
        <f ca="1">F7*(100%-'Données projet'!$C$24)*(100%-'Données projet'!$C$25)*(100%-'Données projet'!$C$26)*(100%-'Données projet'!$C$27)</f>
        <v>89.553665645271209</v>
      </c>
      <c r="H7" s="164">
        <f>IF(OR('Données projet'!B10="",'Données projet'!C10="",'Données projet'!C10=0%),0,AVERAGE(Calculateur!$AX$3:$AX$33)*B7)</f>
        <v>0.14061397579317586</v>
      </c>
      <c r="I7" s="158">
        <f>H7*(100%-'Données projet'!$C$24)*(100%-'Données projet'!$C$25)*(100%-'Données projet'!$C$26)*(100%-'Données projet'!$C$27)</f>
        <v>0.11389732039247247</v>
      </c>
      <c r="J7" s="159">
        <f>IF(OR('Données projet'!B10="",'Données projet'!C10="",'Données projet'!C10=0%),0,SUM(Calculateur!$AQ$3:$AQ$33)*VLOOKUP('Données projet'!$B$10,Paramètres!$A$1:$I$89,9,0)*B7)</f>
        <v>5.3624999999999998</v>
      </c>
      <c r="K7" s="160">
        <f>J7*(100%-'Données projet'!$C$24)*(100%-'Données projet'!$C$25)*(100%-'Données projet'!$C$26)*(100%-'Données projet'!$C$27)</f>
        <v>4.3436250000000003</v>
      </c>
      <c r="L7" s="161">
        <f t="shared" ref="L7:L15" ca="1" si="2">G7+I7+K7</f>
        <v>94.01118796566368</v>
      </c>
      <c r="M7" s="25">
        <f ca="1">L7/B7</f>
        <v>241.05432811708636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322.8871063504007</v>
      </c>
      <c r="G16" s="175">
        <f t="shared" ca="1" si="3"/>
        <v>261.53855614382456</v>
      </c>
      <c r="H16" s="176">
        <f t="shared" si="3"/>
        <v>0.14061397579317586</v>
      </c>
      <c r="I16" s="176">
        <f t="shared" si="3"/>
        <v>0.11389732039247247</v>
      </c>
      <c r="J16" s="177">
        <f t="shared" si="3"/>
        <v>11.959999999999999</v>
      </c>
      <c r="K16" s="177">
        <f t="shared" si="3"/>
        <v>9.6875999999999998</v>
      </c>
      <c r="L16" s="178">
        <f t="shared" ca="1" si="3"/>
        <v>271.34005346421702</v>
      </c>
      <c r="M16" s="25">
        <f>271/1.3</f>
        <v>208.46153846153845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Merisier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E4" zoomScale="90" zoomScaleNormal="90" workbookViewId="0">
      <selection activeCell="H16" sqref="H1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1" t="s">
        <v>315</v>
      </c>
      <c r="I4" s="341"/>
      <c r="K4" s="338" t="s">
        <v>253</v>
      </c>
      <c r="L4" s="339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0" t="s">
        <v>310</v>
      </c>
      <c r="S7" s="331"/>
      <c r="T7" s="331"/>
      <c r="U7" s="331"/>
      <c r="V7" s="332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574.7753805200548</v>
      </c>
      <c r="U10" s="190">
        <f>'Données projet'!D9</f>
        <v>0.90999999999999992</v>
      </c>
      <c r="V10" s="189">
        <f>U10*T10</f>
        <v>523.04559627324977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Merisier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2055.0885179163133</v>
      </c>
      <c r="U11" s="190">
        <f>'Données projet'!D10</f>
        <v>0.39</v>
      </c>
      <c r="V11" s="189">
        <f t="shared" ref="V11" si="0">U11*T11</f>
        <v>801.4845219873622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2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2"/>
      <c r="H16" s="203"/>
      <c r="I16" s="204"/>
      <c r="J16" s="216"/>
      <c r="K16" s="225"/>
      <c r="L16" s="338" t="s">
        <v>254</v>
      </c>
      <c r="M16" s="339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2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2"/>
      <c r="J18" s="216"/>
      <c r="K18" s="225"/>
      <c r="L18" s="296" t="s">
        <v>255</v>
      </c>
      <c r="M18" s="298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2"/>
      <c r="H19" s="232" t="s">
        <v>178</v>
      </c>
      <c r="I19" s="232" t="s">
        <v>287</v>
      </c>
      <c r="J19" s="260"/>
      <c r="K19" s="183"/>
      <c r="L19" s="338" t="s">
        <v>288</v>
      </c>
      <c r="M19" s="339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2"/>
      <c r="H20" s="203">
        <v>0</v>
      </c>
      <c r="I20" s="204">
        <f>10781/1.3</f>
        <v>8293.076923076922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25</v>
      </c>
      <c r="B23" s="193">
        <f>'Données projet'!D36</f>
        <v>8</v>
      </c>
      <c r="C23" s="292">
        <v>4</v>
      </c>
      <c r="D23" s="194">
        <f>B23*C23</f>
        <v>32</v>
      </c>
      <c r="E23" s="206"/>
      <c r="F23" s="261"/>
      <c r="H23" s="203"/>
      <c r="I23" s="204"/>
      <c r="K23" s="225"/>
      <c r="L23" s="340" t="s">
        <v>260</v>
      </c>
      <c r="M23" s="340"/>
      <c r="N23" s="340"/>
      <c r="O23" s="25"/>
      <c r="P23" s="25"/>
      <c r="Q23" s="265"/>
      <c r="R23" s="25"/>
      <c r="S23" s="185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-9456.4698817393855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21</v>
      </c>
      <c r="C24" s="292">
        <v>8</v>
      </c>
      <c r="D24" s="194">
        <f t="shared" ref="D24:D42" si="2">B24*C24</f>
        <v>168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35</v>
      </c>
      <c r="B25" s="193">
        <f>'Données projet'!D38</f>
        <v>21</v>
      </c>
      <c r="C25" s="292">
        <v>10</v>
      </c>
      <c r="D25" s="194">
        <f t="shared" si="2"/>
        <v>210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7">
        <f ca="1">T23-T24</f>
        <v>-9456.4698817393855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40</v>
      </c>
      <c r="B26" s="193">
        <f>'Données projet'!D39</f>
        <v>21</v>
      </c>
      <c r="C26" s="292">
        <v>10</v>
      </c>
      <c r="D26" s="194">
        <f t="shared" si="2"/>
        <v>210</v>
      </c>
      <c r="E26" s="206"/>
      <c r="F26" s="264"/>
      <c r="G26" s="259"/>
      <c r="H26" s="203"/>
      <c r="I26" s="204"/>
      <c r="K26" s="225"/>
      <c r="L26" s="324" t="s">
        <v>258</v>
      </c>
      <c r="M26" s="325"/>
      <c r="N26" s="325"/>
      <c r="O26" s="325"/>
      <c r="P26" s="326"/>
      <c r="Q26" s="265"/>
      <c r="R26" s="25"/>
      <c r="S26" s="198" t="s">
        <v>265</v>
      </c>
      <c r="T26" s="334" t="str">
        <f ca="1">IF(T25&lt;0,"Votre projet est additionnel","Votre projet n'est pas additionnel")</f>
        <v>Votre projet est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45</v>
      </c>
      <c r="B27" s="193">
        <f>'Données projet'!D40</f>
        <v>21</v>
      </c>
      <c r="C27" s="292">
        <v>10</v>
      </c>
      <c r="D27" s="194">
        <f t="shared" si="2"/>
        <v>210</v>
      </c>
      <c r="E27" s="206"/>
      <c r="F27" s="264"/>
      <c r="G27" s="259"/>
      <c r="H27" s="203"/>
      <c r="I27" s="204"/>
      <c r="K27" s="225"/>
      <c r="L27" s="327"/>
      <c r="M27" s="328"/>
      <c r="N27" s="328"/>
      <c r="O27" s="328"/>
      <c r="P27" s="329"/>
      <c r="Q27" s="265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50</v>
      </c>
      <c r="B28" s="193">
        <f>'Données projet'!D41</f>
        <v>21</v>
      </c>
      <c r="C28" s="292">
        <v>10</v>
      </c>
      <c r="D28" s="194">
        <f t="shared" si="2"/>
        <v>210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55</v>
      </c>
      <c r="B29" s="193">
        <f>'Données projet'!D42</f>
        <v>21</v>
      </c>
      <c r="C29" s="292">
        <v>15</v>
      </c>
      <c r="D29" s="194">
        <f t="shared" si="2"/>
        <v>315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60</v>
      </c>
      <c r="B30" s="193">
        <f>'Données projet'!D43</f>
        <v>21</v>
      </c>
      <c r="C30" s="292">
        <v>15</v>
      </c>
      <c r="D30" s="194">
        <f t="shared" si="2"/>
        <v>315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65</v>
      </c>
      <c r="B31" s="193">
        <f>'Données projet'!D44</f>
        <v>21</v>
      </c>
      <c r="C31" s="292">
        <v>15</v>
      </c>
      <c r="D31" s="194">
        <f t="shared" si="2"/>
        <v>315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70</v>
      </c>
      <c r="B32" s="193">
        <f>'Données projet'!D45</f>
        <v>21</v>
      </c>
      <c r="C32" s="292">
        <v>15</v>
      </c>
      <c r="D32" s="194">
        <f t="shared" si="2"/>
        <v>315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75</v>
      </c>
      <c r="B33" s="193">
        <f>'Données projet'!D46</f>
        <v>21</v>
      </c>
      <c r="C33" s="292">
        <v>20</v>
      </c>
      <c r="D33" s="194">
        <f t="shared" si="2"/>
        <v>420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80</v>
      </c>
      <c r="B34" s="193">
        <f>'Données projet'!D47</f>
        <v>21</v>
      </c>
      <c r="C34" s="292">
        <v>20</v>
      </c>
      <c r="D34" s="194">
        <f t="shared" si="2"/>
        <v>420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85</v>
      </c>
      <c r="B35" s="193">
        <f>'Données projet'!D48</f>
        <v>21</v>
      </c>
      <c r="C35" s="292">
        <v>20</v>
      </c>
      <c r="D35" s="194">
        <f t="shared" si="2"/>
        <v>420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90</v>
      </c>
      <c r="B36" s="193">
        <f>'Données projet'!D49</f>
        <v>21</v>
      </c>
      <c r="C36" s="292">
        <v>20</v>
      </c>
      <c r="D36" s="194">
        <f t="shared" si="2"/>
        <v>420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95</v>
      </c>
      <c r="B37" s="193">
        <f>'Données projet'!D50</f>
        <v>21</v>
      </c>
      <c r="C37" s="292">
        <v>30</v>
      </c>
      <c r="D37" s="194">
        <f t="shared" si="2"/>
        <v>630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100</v>
      </c>
      <c r="B38" s="193">
        <f>'Données projet'!D51</f>
        <v>21</v>
      </c>
      <c r="C38" s="292">
        <v>30</v>
      </c>
      <c r="D38" s="194">
        <f t="shared" si="2"/>
        <v>630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105</v>
      </c>
      <c r="B39" s="193">
        <f>'Données projet'!D52</f>
        <v>20</v>
      </c>
      <c r="C39" s="292">
        <v>40</v>
      </c>
      <c r="D39" s="194">
        <f t="shared" si="2"/>
        <v>800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110</v>
      </c>
      <c r="B40" s="193">
        <f>'Données projet'!D53</f>
        <v>19</v>
      </c>
      <c r="C40" s="292">
        <v>50</v>
      </c>
      <c r="D40" s="194">
        <f t="shared" si="2"/>
        <v>950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115</v>
      </c>
      <c r="B41" s="193">
        <f>'Données projet'!D54</f>
        <v>18</v>
      </c>
      <c r="C41" s="292">
        <v>70</v>
      </c>
      <c r="D41" s="194">
        <f t="shared" si="2"/>
        <v>1260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120</v>
      </c>
      <c r="B42" s="193">
        <f>'Données projet'!D55</f>
        <v>284</v>
      </c>
      <c r="C42" s="292">
        <v>150</v>
      </c>
      <c r="D42" s="194">
        <f t="shared" si="2"/>
        <v>42600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Merisier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15</v>
      </c>
      <c r="B54" s="193">
        <f>'Données projet'!D62</f>
        <v>3</v>
      </c>
      <c r="C54" s="292">
        <v>12</v>
      </c>
      <c r="D54" s="191">
        <f>B54*C54</f>
        <v>36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20</v>
      </c>
      <c r="B55" s="193">
        <f>'Données projet'!D63</f>
        <v>25</v>
      </c>
      <c r="C55" s="292">
        <v>15</v>
      </c>
      <c r="D55" s="191">
        <f t="shared" ref="D55:D73" si="4">B55*C55</f>
        <v>375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25</v>
      </c>
      <c r="B56" s="193">
        <f>'Données projet'!D64</f>
        <v>27</v>
      </c>
      <c r="C56" s="292">
        <v>17</v>
      </c>
      <c r="D56" s="191">
        <f t="shared" si="4"/>
        <v>459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31</v>
      </c>
      <c r="B57" s="193">
        <f>'Données projet'!D65</f>
        <v>36</v>
      </c>
      <c r="C57" s="292">
        <v>20</v>
      </c>
      <c r="D57" s="191">
        <f t="shared" si="4"/>
        <v>720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37</v>
      </c>
      <c r="B58" s="193">
        <f>'Données projet'!D66</f>
        <v>36</v>
      </c>
      <c r="C58" s="292">
        <v>25</v>
      </c>
      <c r="D58" s="191">
        <f t="shared" si="4"/>
        <v>900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44</v>
      </c>
      <c r="B59" s="193">
        <f>'Données projet'!D67</f>
        <v>43</v>
      </c>
      <c r="C59" s="292">
        <v>35</v>
      </c>
      <c r="D59" s="191">
        <f t="shared" si="4"/>
        <v>1505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52</v>
      </c>
      <c r="B60" s="193">
        <f>'Données projet'!D68</f>
        <v>48</v>
      </c>
      <c r="C60" s="292">
        <v>40</v>
      </c>
      <c r="D60" s="191">
        <f t="shared" si="4"/>
        <v>1920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60</v>
      </c>
      <c r="B61" s="193">
        <f>'Données projet'!D69</f>
        <v>47</v>
      </c>
      <c r="C61" s="204">
        <v>50</v>
      </c>
      <c r="D61" s="191">
        <f t="shared" si="4"/>
        <v>2350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69</v>
      </c>
      <c r="B62" s="193">
        <f>'Données projet'!D70</f>
        <v>328</v>
      </c>
      <c r="C62" s="204">
        <v>60</v>
      </c>
      <c r="D62" s="191">
        <f t="shared" si="4"/>
        <v>19680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str">
        <f>IF(O102+1&lt;=MIN('Données projet'!$E$9:$E$18),O102+1,"STOP")</f>
        <v>STOP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2025-02-05T09:40:36Z</dcterms:modified>
</cp:coreProperties>
</file>