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Quercy\LINAC (46) - Lacombe Michelle SWC E10\Dossier à déposer\"/>
    </mc:Choice>
  </mc:AlternateContent>
  <xr:revisionPtr revIDLastSave="0" documentId="13_ncr:1_{16BD3918-7AF4-436C-802B-6B35352D2CCD}" xr6:coauthVersionLast="36" xr6:coauthVersionMax="36" xr10:uidLastSave="{00000000-0000-0000-0000-000000000000}"/>
  <bookViews>
    <workbookView xWindow="0" yWindow="0" windowWidth="28800" windowHeight="12405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" i="6" l="1"/>
  <c r="I22" i="6"/>
  <c r="I21" i="6"/>
  <c r="I20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126" i="2" a="1"/>
  <c r="BC126" i="2" s="1"/>
  <c r="BC65" i="2" a="1"/>
  <c r="BC65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32" i="2" a="1"/>
  <c r="BC32" i="2" s="1"/>
  <c r="BC84" i="2" a="1"/>
  <c r="BC84" i="2" s="1"/>
  <c r="BC31" i="2" a="1"/>
  <c r="BC31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18" i="2" l="1" a="1"/>
  <c r="BC18" i="2" s="1"/>
  <c r="BC38" i="2" a="1"/>
  <c r="BC38" i="2" s="1"/>
  <c r="BC117" i="2" a="1"/>
  <c r="BC117" i="2" s="1"/>
  <c r="BC143" i="2" a="1"/>
  <c r="BC143" i="2" s="1"/>
  <c r="BC181" i="2" a="1"/>
  <c r="BC181" i="2" s="1"/>
  <c r="BC114" i="2" a="1"/>
  <c r="BC114" i="2" s="1"/>
  <c r="BC82" i="2" a="1"/>
  <c r="BC82" i="2" s="1"/>
  <c r="BC68" i="2" a="1"/>
  <c r="BC68" i="2" s="1"/>
  <c r="BC164" i="2" a="1"/>
  <c r="BC164" i="2" s="1"/>
  <c r="BC130" i="2" a="1"/>
  <c r="BC130" i="2" s="1"/>
  <c r="BC192" i="2" a="1"/>
  <c r="BC192" i="2" s="1"/>
  <c r="BC55" i="2" a="1"/>
  <c r="BC55" i="2" s="1"/>
  <c r="BC47" i="2" a="1"/>
  <c r="BC47" i="2" s="1"/>
  <c r="BC58" i="2" a="1"/>
  <c r="BC58" i="2" s="1"/>
  <c r="BC151" i="2" a="1"/>
  <c r="BC151" i="2" s="1"/>
  <c r="BC34" i="2" a="1"/>
  <c r="BC34" i="2" s="1"/>
  <c r="BC7" i="2" a="1"/>
  <c r="BC7" i="2" s="1"/>
  <c r="BC83" i="2" a="1"/>
  <c r="BC83" i="2" s="1"/>
  <c r="BC185" i="2" a="1"/>
  <c r="BC185" i="2" s="1"/>
  <c r="AH199" i="2" a="1"/>
  <c r="AH199" i="2" s="1"/>
  <c r="AH19" i="2" a="1"/>
  <c r="AH19" i="2" s="1"/>
  <c r="AH90" i="2" a="1"/>
  <c r="AH90" i="2" s="1"/>
  <c r="AH151" i="2" a="1"/>
  <c r="AH151" i="2" s="1"/>
  <c r="AH163" i="2" a="1"/>
  <c r="AH163" i="2" s="1"/>
  <c r="AH62" i="2" a="1"/>
  <c r="AH62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CN203" i="2" s="1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<sst xmlns="http://schemas.openxmlformats.org/spreadsheetml/2006/main" count="1172" uniqueCount="327">
  <si>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</si>
  <si>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</si>
  <si>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</si>
  <si>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</si>
  <si>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</si>
  <si>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</si>
  <si>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</si>
  <si>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</si>
  <si>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</si>
  <si>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</si>
  <si>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</si>
  <si>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</si>
  <si>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</si>
  <si>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</si>
  <si>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</si>
  <si>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</si>
  <si>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</si>
  <si>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</si>
  <si>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</si>
  <si>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</si>
  <si>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</si>
  <si>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</si>
  <si>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</si>
  <si>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</si>
  <si>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</si>
  <si>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</si>
  <si>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</si>
  <si>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</si>
  <si>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</si>
  <si>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</si>
  <si>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</si>
  <si>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</si>
  <si>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</si>
  <si>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</si>
  <si>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</si>
  <si>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</si>
  <si>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</si>
  <si>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</si>
  <si>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</si>
  <si>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</si>
  <si>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</si>
  <si>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</si>
  <si>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</si>
  <si>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</si>
  <si>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</si>
  <si>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</si>
  <si>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</si>
  <si>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</si>
  <si>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</si>
  <si>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</si>
  <si>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</si>
  <si>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</si>
  <si>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</si>
  <si>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</si>
  <si>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</si>
  <si>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</si>
  <si>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</si>
  <si>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</si>
  <si>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</si>
  <si>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</si>
  <si>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</si>
  <si>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</si>
  <si>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</si>
  <si>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</si>
  <si>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</si>
  <si>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</si>
  <si>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</si>
  <si>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</si>
  <si>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</si>
  <si>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</si>
  <si>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</si>
  <si>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</si>
  <si>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</si>
  <si>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</si>
  <si>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</si>
  <si>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</si>
  <si>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</si>
  <si>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</si>
  <si>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</si>
  <si>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</si>
  <si>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</si>
  <si>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</si>
  <si>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</si>
  <si>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</si>
  <si>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</si>
  <si>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</si>
  <si>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</si>
  <si>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</si>
  <si>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</si>
  <si>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</si>
  <si>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</si>
  <si>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</si>
  <si>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</si>
  <si>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</si>
  <si>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</si>
  <si>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</si>
  <si>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</si>
  <si>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</si>
  <si>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</si>
  <si>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</si>
  <si>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</si>
  <si>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</si>
  <si>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</si>
  <si>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</si>
  <si>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</si>
  <si>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</si>
  <si>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</si>
  <si>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</si>
  <si>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</si>
  <si>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</si>
  <si>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</si>
  <si>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</si>
  <si>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</si>
  <si>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</si>
  <si>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</si>
  <si>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</si>
  <si>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</si>
  <si>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</si>
  <si>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</si>
  <si>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</si>
  <si>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</si>
  <si>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</si>
  <si>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</si>
  <si>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</si>
  <si>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</si>
  <si>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</si>
  <si>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</si>
  <si>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</si>
  <si>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</si>
  <si>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</si>
  <si>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</si>
  <si>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</si>
  <si>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</si>
  <si>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</si>
  <si>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</si>
  <si>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</si>
  <si>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</si>
  <si>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</si>
  <si>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</si>
  <si>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</si>
  <si>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</si>
  <si>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</si>
  <si>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</si>
  <si>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</si>
  <si>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</si>
  <si>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</si>
  <si>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</si>
  <si>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</si>
  <si>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</si>
  <si>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</si>
  <si>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</si>
  <si>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</si>
  <si>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</si>
  <si>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</si>
  <si>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</si>
  <si>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</si>
  <si>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</si>
  <si>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</si>
  <si>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</si>
  <si>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</si>
  <si>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</si>
  <si>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</si>
  <si>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</si>
  <si>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</si>
  <si>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</si>
  <si>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</si>
  <si>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</si>
  <si>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</si>
  <si>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</si>
  <si>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</si>
  <si>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</si>
  <si>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</si>
  <si>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</si>
  <si>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</si>
  <si>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</si>
  <si>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</si>
  <si>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</si>
  <si>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</si>
  <si>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</si>
  <si>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</si>
  <si>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</si>
  <si>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</si>
  <si>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</si>
  <si>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</si>
  <si>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</si>
  <si>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</si>
  <si>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</si>
  <si>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</si>
  <si>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</si>
  <si>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</si>
  <si>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</si>
  <si>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</si>
  <si>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</si>
  <si>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</si>
  <si>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</si>
  <si>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</si>
  <si>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</si>
  <si>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</si>
  <si>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</si>
  <si>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</si>
  <si>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</si>
  <si>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</si>
  <si>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</si>
  <si>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</si>
  <si>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</si>
  <si>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</si>
  <si>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</si>
  <si>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</si>
  <si>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</si>
  <si>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</si>
  <si>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</si>
  <si>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</si>
  <si>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</si>
  <si>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</si>
  <si>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</si>
  <si>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</si>
  <si>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</si>
  <si>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</si>
  <si>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</si>
  <si>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</si>
  <si>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</si>
  <si>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</si>
  <si>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</si>
  <si>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</si>
  <si>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</si>
  <si>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</si>
  <si>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</si>
  <si>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</si>
  <si>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</si>
  <si>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</si>
  <si>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</si>
  <si>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</si>
  <si>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</si>
  <si>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</si>
  <si>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</si>
  <si>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</si>
  <si>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</si>
  <si>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</si>
  <si>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</si>
  <si>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</si>
  <si>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</si>
  <si>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</si>
  <si>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</si>
  <si>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</si>
  <si>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</si>
  <si>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</si>
  <si>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</si>
  <si>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</si>
  <si>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</si>
  <si>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</si>
  <si>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</si>
  <si>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</si>
  <si>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</si>
  <si>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</si>
  <si>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</si>
  <si>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</si>
  <si>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</si>
  <si>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</si>
  <si>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</si>
  <si>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</si>
  <si>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</si>
  <si>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</si>
  <si>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</si>
  <si>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</si>
  <si>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</si>
  <si>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</si>
  <si>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</si>
  <si>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</si>
  <si>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</si>
  <si>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</si>
  <si>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</si>
  <si>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</si>
  <si>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</si>
  <si>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</si>
  <si>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</si>
  <si>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</si>
  <si>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</si>
  <si>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</si>
  <si>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</si>
  <si>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</si>
  <si>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</si>
  <si>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</si>
  <si>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</si>
  <si>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</si>
  <si>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</si>
  <si>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</si>
  <si>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</si>
  <si>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</si>
  <si>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</si>
  <si>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</si>
  <si>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</si>
  <si>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</si>
  <si>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</si>
  <si>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</si>
  <si>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</si>
  <si>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</si>
  <si>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</si>
  <si>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</si>
  <si>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</si>
  <si>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</si>
  <si>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</si>
  <si>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</si>
  <si>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</si>
  <si>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</si>
  <si>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</si>
  <si>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</si>
  <si>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</si>
  <si>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</si>
  <si>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</si>
  <si>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</si>
  <si>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</si>
  <si>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</si>
  <si>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</si>
  <si>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</si>
  <si>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</si>
  <si>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</si>
  <si>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</si>
  <si>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</si>
  <si>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</si>
  <si>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</si>
  <si>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</si>
  <si>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</si>
  <si>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</si>
  <si>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</si>
  <si>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pin maritime</t>
  </si>
  <si>
    <t>pin sylvestre</t>
  </si>
  <si>
    <t>alisier torminal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</si>
</sst>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2.0397714284229629</c:v>
                </c:pt>
                <c:pt idx="2">
                  <c:v>2.6830501318721502</c:v>
                </c:pt>
                <c:pt idx="3">
                  <c:v>3.5300330763175403</c:v>
                </c:pt>
                <c:pt idx="4">
                  <c:v>4.6454756176067766</c:v>
                </c:pt>
                <c:pt idx="5">
                  <c:v>6.1147922436081394</c:v>
                </c:pt>
                <c:pt idx="6">
                  <c:v>8.0506694835935235</c:v>
                </c:pt>
                <c:pt idx="7">
                  <c:v>10.601802064162893</c:v>
                </c:pt>
                <c:pt idx="8">
                  <c:v>13.96443594132149</c:v>
                </c:pt>
                <c:pt idx="9">
                  <c:v>18.397622508108167</c:v>
                </c:pt>
                <c:pt idx="10">
                  <c:v>24.243380340766453</c:v>
                </c:pt>
                <c:pt idx="11">
                  <c:v>31.953347449743802</c:v>
                </c:pt>
                <c:pt idx="12">
                  <c:v>42.124018808482084</c:v>
                </c:pt>
                <c:pt idx="13">
                  <c:v>55.543341570302402</c:v>
                </c:pt>
                <c:pt idx="14">
                  <c:v>73.252337685254929</c:v>
                </c:pt>
                <c:pt idx="15">
                  <c:v>96.626611933989992</c:v>
                </c:pt>
                <c:pt idx="16">
                  <c:v>127.4841772510066</c:v>
                </c:pt>
                <c:pt idx="17">
                  <c:v>168.22811392921565</c:v>
                </c:pt>
                <c:pt idx="18">
                  <c:v>132.88578577838067</c:v>
                </c:pt>
                <c:pt idx="19">
                  <c:v>152.3357449577359</c:v>
                </c:pt>
                <c:pt idx="20">
                  <c:v>171.72653739413659</c:v>
                </c:pt>
                <c:pt idx="21">
                  <c:v>191.06578969549196</c:v>
                </c:pt>
                <c:pt idx="22">
                  <c:v>210.3594549163457</c:v>
                </c:pt>
                <c:pt idx="23">
                  <c:v>229.61230319271121</c:v>
                </c:pt>
                <c:pt idx="24">
                  <c:v>179.17198857385839</c:v>
                </c:pt>
                <c:pt idx="25">
                  <c:v>198.66710978758559</c:v>
                </c:pt>
                <c:pt idx="26">
                  <c:v>218.14017912965292</c:v>
                </c:pt>
                <c:pt idx="27">
                  <c:v>237.57329645777699</c:v>
                </c:pt>
                <c:pt idx="28">
                  <c:v>256.97018935365219</c:v>
                </c:pt>
                <c:pt idx="29">
                  <c:v>276.33397636592599</c:v>
                </c:pt>
                <c:pt idx="30">
                  <c:v>233.28692088602762</c:v>
                </c:pt>
                <c:pt idx="31">
                  <c:v>251.52986006510639</c:v>
                </c:pt>
                <c:pt idx="32">
                  <c:v>269.74281909874736</c:v>
                </c:pt>
                <c:pt idx="33">
                  <c:v>287.92810676308375</c:v>
                </c:pt>
                <c:pt idx="34">
                  <c:v>306.08771631790279</c:v>
                </c:pt>
                <c:pt idx="35">
                  <c:v>324.77611046953086</c:v>
                </c:pt>
                <c:pt idx="36">
                  <c:v>343.44074860711902</c:v>
                </c:pt>
                <c:pt idx="37">
                  <c:v>275.52335566925433</c:v>
                </c:pt>
                <c:pt idx="38">
                  <c:v>290.26055263427389</c:v>
                </c:pt>
                <c:pt idx="39">
                  <c:v>304.98103484602058</c:v>
                </c:pt>
                <c:pt idx="40">
                  <c:v>319.68572272580451</c:v>
                </c:pt>
                <c:pt idx="41">
                  <c:v>334.37544509568392</c:v>
                </c:pt>
                <c:pt idx="42">
                  <c:v>349.05095200277395</c:v>
                </c:pt>
                <c:pt idx="43">
                  <c:v>363.71292527326744</c:v>
                </c:pt>
                <c:pt idx="44">
                  <c:v>378.36198727524112</c:v>
                </c:pt>
                <c:pt idx="45">
                  <c:v>313.00893373574308</c:v>
                </c:pt>
                <c:pt idx="46">
                  <c:v>330.00728987899697</c:v>
                </c:pt>
                <c:pt idx="47">
                  <c:v>346.98633453163399</c:v>
                </c:pt>
                <c:pt idx="48">
                  <c:v>363.94714544179897</c:v>
                </c:pt>
                <c:pt idx="49">
                  <c:v>380.8906917235426</c:v>
                </c:pt>
                <c:pt idx="50">
                  <c:v>397.81784925270807</c:v>
                </c:pt>
                <c:pt idx="51">
                  <c:v>414.72941330527374</c:v>
                </c:pt>
                <c:pt idx="52">
                  <c:v>431.62610902660271</c:v>
                </c:pt>
                <c:pt idx="53">
                  <c:v>366.26587036399252</c:v>
                </c:pt>
                <c:pt idx="54">
                  <c:v>379.56512784230682</c:v>
                </c:pt>
                <c:pt idx="55">
                  <c:v>392.85424897119816</c:v>
                </c:pt>
                <c:pt idx="56">
                  <c:v>406.13362494673333</c:v>
                </c:pt>
                <c:pt idx="57">
                  <c:v>419.40361929545082</c:v>
                </c:pt>
                <c:pt idx="58">
                  <c:v>432.6645706634269</c:v>
                </c:pt>
                <c:pt idx="59">
                  <c:v>445.91679524557276</c:v>
                </c:pt>
                <c:pt idx="60">
                  <c:v>459.16058891110282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1.7729111845982548</c:v>
                </c:pt>
                <c:pt idx="2">
                  <c:v>2.1151678278372312</c:v>
                </c:pt>
                <c:pt idx="3">
                  <c:v>2.5237467481232607</c:v>
                </c:pt>
                <c:pt idx="4">
                  <c:v>3.0115457623705972</c:v>
                </c:pt>
                <c:pt idx="5">
                  <c:v>3.593979342926795</c:v>
                </c:pt>
                <c:pt idx="6">
                  <c:v>4.2894712021729635</c:v>
                </c:pt>
                <c:pt idx="7">
                  <c:v>5.1200435679930258</c:v>
                </c:pt>
                <c:pt idx="8">
                  <c:v>6.1120221800245114</c:v>
                </c:pt>
                <c:pt idx="9">
                  <c:v>7.2968797909689798</c:v>
                </c:pt>
                <c:pt idx="10">
                  <c:v>8.712245453924151</c:v>
                </c:pt>
                <c:pt idx="11">
                  <c:v>10.403112262766973</c:v>
                </c:pt>
                <c:pt idx="12">
                  <c:v>12.423282664319792</c:v>
                </c:pt>
                <c:pt idx="13">
                  <c:v>14.837098189613906</c:v>
                </c:pt>
                <c:pt idx="14">
                  <c:v>17.721509710216786</c:v>
                </c:pt>
                <c:pt idx="15">
                  <c:v>21.168555417793829</c:v>
                </c:pt>
                <c:pt idx="16">
                  <c:v>25.288327014609248</c:v>
                </c:pt>
                <c:pt idx="17">
                  <c:v>30.212520525604287</c:v>
                </c:pt>
                <c:pt idx="18">
                  <c:v>36.098687221774846</c:v>
                </c:pt>
                <c:pt idx="19">
                  <c:v>43.135323006491404</c:v>
                </c:pt>
                <c:pt idx="20">
                  <c:v>51.547962012479537</c:v>
                </c:pt>
                <c:pt idx="21">
                  <c:v>61.606472988176044</c:v>
                </c:pt>
                <c:pt idx="22">
                  <c:v>73.633796398083533</c:v>
                </c:pt>
                <c:pt idx="23">
                  <c:v>88.016407317478823</c:v>
                </c:pt>
                <c:pt idx="24">
                  <c:v>105.21684572006173</c:v>
                </c:pt>
                <c:pt idx="25">
                  <c:v>125.78872349965967</c:v>
                </c:pt>
                <c:pt idx="26">
                  <c:v>124.28836887153766</c:v>
                </c:pt>
                <c:pt idx="27">
                  <c:v>137.77640210827045</c:v>
                </c:pt>
                <c:pt idx="28">
                  <c:v>151.23268433365888</c:v>
                </c:pt>
                <c:pt idx="29">
                  <c:v>164.66044113992641</c:v>
                </c:pt>
                <c:pt idx="30">
                  <c:v>178.06232809976675</c:v>
                </c:pt>
                <c:pt idx="31">
                  <c:v>162.9213170179128</c:v>
                </c:pt>
                <c:pt idx="32">
                  <c:v>176.32642399290862</c:v>
                </c:pt>
                <c:pt idx="33">
                  <c:v>189.70761630775556</c:v>
                </c:pt>
                <c:pt idx="34">
                  <c:v>203.06681934037002</c:v>
                </c:pt>
                <c:pt idx="35">
                  <c:v>216.40568417713143</c:v>
                </c:pt>
                <c:pt idx="36">
                  <c:v>197.62672417984075</c:v>
                </c:pt>
                <c:pt idx="37">
                  <c:v>213.44317328361072</c:v>
                </c:pt>
                <c:pt idx="38">
                  <c:v>229.23263189102838</c:v>
                </c:pt>
                <c:pt idx="39">
                  <c:v>244.99722113546932</c:v>
                </c:pt>
                <c:pt idx="40">
                  <c:v>260.73876672061471</c:v>
                </c:pt>
                <c:pt idx="41">
                  <c:v>229.47913975307119</c:v>
                </c:pt>
                <c:pt idx="42">
                  <c:v>243.76646443655667</c:v>
                </c:pt>
                <c:pt idx="43">
                  <c:v>258.0347569994421</c:v>
                </c:pt>
                <c:pt idx="44">
                  <c:v>272.28521827223369</c:v>
                </c:pt>
                <c:pt idx="45">
                  <c:v>286.51891307475512</c:v>
                </c:pt>
                <c:pt idx="46">
                  <c:v>300.73679175655633</c:v>
                </c:pt>
                <c:pt idx="47">
                  <c:v>314.93970744758707</c:v>
                </c:pt>
                <c:pt idx="48">
                  <c:v>329.12843003230131</c:v>
                </c:pt>
                <c:pt idx="49">
                  <c:v>343.30365758683416</c:v>
                </c:pt>
                <c:pt idx="50">
                  <c:v>357.46602582767576</c:v>
                </c:pt>
                <c:pt idx="51">
                  <c:v>291.17819254141574</c:v>
                </c:pt>
                <c:pt idx="52">
                  <c:v>304.4113617557411</c:v>
                </c:pt>
                <c:pt idx="53">
                  <c:v>317.63174051702936</c:v>
                </c:pt>
                <c:pt idx="54">
                  <c:v>330.83993628075677</c:v>
                </c:pt>
                <c:pt idx="55">
                  <c:v>344.03650402875382</c:v>
                </c:pt>
                <c:pt idx="56">
                  <c:v>357.22195268358115</c:v>
                </c:pt>
                <c:pt idx="57">
                  <c:v>370.39675052607771</c:v>
                </c:pt>
                <c:pt idx="58">
                  <c:v>383.56132980166291</c:v>
                </c:pt>
                <c:pt idx="59">
                  <c:v>396.71609066110949</c:v>
                </c:pt>
                <c:pt idx="60">
                  <c:v>409.86140455127207</c:v>
                </c:pt>
                <c:pt idx="61">
                  <c:v>348.31076049861173</c:v>
                </c:pt>
                <c:pt idx="62">
                  <c:v>359.90655706035335</c:v>
                </c:pt>
                <c:pt idx="63">
                  <c:v>371.49418337037804</c:v>
                </c:pt>
                <c:pt idx="64">
                  <c:v>383.07393025577699</c:v>
                </c:pt>
                <c:pt idx="65">
                  <c:v>394.64606952207788</c:v>
                </c:pt>
                <c:pt idx="66">
                  <c:v>406.21085573052596</c:v>
                </c:pt>
                <c:pt idx="67">
                  <c:v>417.76852776237479</c:v>
                </c:pt>
                <c:pt idx="68">
                  <c:v>429.31931020102047</c:v>
                </c:pt>
                <c:pt idx="69">
                  <c:v>440.86341455761885</c:v>
                </c:pt>
                <c:pt idx="70">
                  <c:v>452.40104036163103</c:v>
                </c:pt>
                <c:pt idx="71">
                  <c:v>399.27285265946415</c:v>
                </c:pt>
                <c:pt idx="72">
                  <c:v>409.37470543171111</c:v>
                </c:pt>
                <c:pt idx="73">
                  <c:v>419.4711759521465</c:v>
                </c:pt>
                <c:pt idx="74">
                  <c:v>429.56241207278003</c:v>
                </c:pt>
                <c:pt idx="75">
                  <c:v>439.64855413024537</c:v>
                </c:pt>
                <c:pt idx="76">
                  <c:v>449.72973549516274</c:v>
                </c:pt>
                <c:pt idx="77">
                  <c:v>459.80608306967133</c:v>
                </c:pt>
                <c:pt idx="78">
                  <c:v>469.87771773907002</c:v>
                </c:pt>
                <c:pt idx="79">
                  <c:v>479.94475478271625</c:v>
                </c:pt>
                <c:pt idx="80">
                  <c:v>490.0073042486506</c:v>
                </c:pt>
                <c:pt idx="81">
                  <c:v>5.0621685358189711E-12</c:v>
                </c:pt>
                <c:pt idx="82">
                  <c:v>5.0621685358189711E-12</c:v>
                </c:pt>
                <c:pt idx="83">
                  <c:v>5.0621685358189711E-12</c:v>
                </c:pt>
                <c:pt idx="84">
                  <c:v>5.0621685358189711E-12</c:v>
                </c:pt>
                <c:pt idx="85">
                  <c:v>5.0621685358189711E-12</c:v>
                </c:pt>
                <c:pt idx="86">
                  <c:v>5.0621685358189711E-12</c:v>
                </c:pt>
                <c:pt idx="87">
                  <c:v>5.0621685358189711E-12</c:v>
                </c:pt>
                <c:pt idx="88">
                  <c:v>5.0621685358189711E-12</c:v>
                </c:pt>
                <c:pt idx="89">
                  <c:v>5.0621685358189711E-12</c:v>
                </c:pt>
                <c:pt idx="90">
                  <c:v>5.0621685358189711E-12</c:v>
                </c:pt>
                <c:pt idx="91">
                  <c:v>5.0621685358189711E-12</c:v>
                </c:pt>
                <c:pt idx="92">
                  <c:v>5.0621685358189711E-12</c:v>
                </c:pt>
                <c:pt idx="93">
                  <c:v>5.0621685358189711E-12</c:v>
                </c:pt>
                <c:pt idx="94">
                  <c:v>5.0621685358189711E-12</c:v>
                </c:pt>
                <c:pt idx="95">
                  <c:v>5.0621685358189711E-12</c:v>
                </c:pt>
                <c:pt idx="96">
                  <c:v>5.0621685358189711E-12</c:v>
                </c:pt>
                <c:pt idx="97">
                  <c:v>5.0621685358189711E-12</c:v>
                </c:pt>
                <c:pt idx="98">
                  <c:v>5.0621685358189711E-12</c:v>
                </c:pt>
                <c:pt idx="99">
                  <c:v>5.0621685358189711E-12</c:v>
                </c:pt>
                <c:pt idx="100">
                  <c:v>5.0621685358189711E-12</c:v>
                </c:pt>
                <c:pt idx="101">
                  <c:v>5.0621685358189711E-12</c:v>
                </c:pt>
                <c:pt idx="102">
                  <c:v>5.0621685358189711E-12</c:v>
                </c:pt>
                <c:pt idx="103">
                  <c:v>5.0621685358189711E-12</c:v>
                </c:pt>
                <c:pt idx="104">
                  <c:v>5.0621685358189711E-12</c:v>
                </c:pt>
                <c:pt idx="105">
                  <c:v>5.0621685358189711E-12</c:v>
                </c:pt>
                <c:pt idx="106">
                  <c:v>5.0621685358189711E-12</c:v>
                </c:pt>
                <c:pt idx="107">
                  <c:v>5.0621685358189711E-12</c:v>
                </c:pt>
                <c:pt idx="108">
                  <c:v>5.0621685358189711E-12</c:v>
                </c:pt>
                <c:pt idx="109">
                  <c:v>5.0621685358189711E-12</c:v>
                </c:pt>
                <c:pt idx="110">
                  <c:v>5.0621685358189711E-12</c:v>
                </c:pt>
                <c:pt idx="111">
                  <c:v>5.0621685358189711E-12</c:v>
                </c:pt>
                <c:pt idx="112">
                  <c:v>5.0621685358189711E-12</c:v>
                </c:pt>
                <c:pt idx="113">
                  <c:v>5.0621685358189711E-12</c:v>
                </c:pt>
                <c:pt idx="114">
                  <c:v>5.0621685358189711E-12</c:v>
                </c:pt>
                <c:pt idx="115">
                  <c:v>5.0621685358189711E-12</c:v>
                </c:pt>
                <c:pt idx="116">
                  <c:v>5.0621685358189711E-12</c:v>
                </c:pt>
                <c:pt idx="117">
                  <c:v>5.0621685358189711E-12</c:v>
                </c:pt>
                <c:pt idx="118">
                  <c:v>5.0621685358189711E-12</c:v>
                </c:pt>
                <c:pt idx="119">
                  <c:v>5.0621685358189711E-12</c:v>
                </c:pt>
                <c:pt idx="120">
                  <c:v>5.0621685358189711E-12</c:v>
                </c:pt>
                <c:pt idx="121">
                  <c:v>5.0621685358189711E-12</c:v>
                </c:pt>
                <c:pt idx="122">
                  <c:v>5.0621685358189711E-12</c:v>
                </c:pt>
                <c:pt idx="123">
                  <c:v>5.0621685358189711E-12</c:v>
                </c:pt>
                <c:pt idx="124">
                  <c:v>5.0621685358189711E-12</c:v>
                </c:pt>
                <c:pt idx="125">
                  <c:v>5.0621685358189711E-12</c:v>
                </c:pt>
                <c:pt idx="126">
                  <c:v>5.0621685358189711E-12</c:v>
                </c:pt>
                <c:pt idx="127">
                  <c:v>5.0621685358189711E-12</c:v>
                </c:pt>
                <c:pt idx="128">
                  <c:v>5.0621685358189711E-12</c:v>
                </c:pt>
                <c:pt idx="129">
                  <c:v>5.0621685358189711E-12</c:v>
                </c:pt>
                <c:pt idx="130">
                  <c:v>5.0621685358189711E-12</c:v>
                </c:pt>
                <c:pt idx="131">
                  <c:v>5.0621685358189711E-12</c:v>
                </c:pt>
                <c:pt idx="132">
                  <c:v>5.0621685358189711E-12</c:v>
                </c:pt>
                <c:pt idx="133">
                  <c:v>5.0621685358189711E-12</c:v>
                </c:pt>
                <c:pt idx="134">
                  <c:v>5.0621685358189711E-12</c:v>
                </c:pt>
                <c:pt idx="135">
                  <c:v>5.0621685358189711E-12</c:v>
                </c:pt>
                <c:pt idx="136">
                  <c:v>5.0621685358189711E-12</c:v>
                </c:pt>
                <c:pt idx="137">
                  <c:v>5.0621685358189711E-12</c:v>
                </c:pt>
                <c:pt idx="138">
                  <c:v>5.0621685358189711E-12</c:v>
                </c:pt>
                <c:pt idx="139">
                  <c:v>5.0621685358189711E-12</c:v>
                </c:pt>
                <c:pt idx="140">
                  <c:v>5.0621685358189711E-12</c:v>
                </c:pt>
                <c:pt idx="141">
                  <c:v>5.0621685358189711E-12</c:v>
                </c:pt>
                <c:pt idx="142">
                  <c:v>5.0621685358189711E-12</c:v>
                </c:pt>
                <c:pt idx="143">
                  <c:v>5.0621685358189711E-12</c:v>
                </c:pt>
                <c:pt idx="144">
                  <c:v>5.0621685358189711E-12</c:v>
                </c:pt>
                <c:pt idx="145">
                  <c:v>5.0621685358189711E-12</c:v>
                </c:pt>
                <c:pt idx="146">
                  <c:v>5.0621685358189711E-12</c:v>
                </c:pt>
                <c:pt idx="147">
                  <c:v>5.0621685358189711E-12</c:v>
                </c:pt>
                <c:pt idx="148">
                  <c:v>5.0621685358189711E-12</c:v>
                </c:pt>
                <c:pt idx="149">
                  <c:v>5.0621685358189711E-12</c:v>
                </c:pt>
                <c:pt idx="150">
                  <c:v>5.0621685358189711E-12</c:v>
                </c:pt>
                <c:pt idx="151">
                  <c:v>5.0621685358189711E-12</c:v>
                </c:pt>
                <c:pt idx="152">
                  <c:v>5.0621685358189711E-12</c:v>
                </c:pt>
                <c:pt idx="153">
                  <c:v>5.0621685358189711E-12</c:v>
                </c:pt>
                <c:pt idx="154">
                  <c:v>5.0621685358189711E-12</c:v>
                </c:pt>
                <c:pt idx="155">
                  <c:v>5.0621685358189711E-12</c:v>
                </c:pt>
                <c:pt idx="156">
                  <c:v>5.0621685358189711E-12</c:v>
                </c:pt>
                <c:pt idx="157">
                  <c:v>5.0621685358189711E-12</c:v>
                </c:pt>
                <c:pt idx="158">
                  <c:v>5.0621685358189711E-12</c:v>
                </c:pt>
                <c:pt idx="159">
                  <c:v>5.0621685358189711E-12</c:v>
                </c:pt>
                <c:pt idx="160">
                  <c:v>5.0621685358189711E-12</c:v>
                </c:pt>
                <c:pt idx="161">
                  <c:v>5.0621685358189711E-12</c:v>
                </c:pt>
                <c:pt idx="162">
                  <c:v>5.0621685358189711E-12</c:v>
                </c:pt>
                <c:pt idx="163">
                  <c:v>5.0621685358189711E-12</c:v>
                </c:pt>
                <c:pt idx="164">
                  <c:v>5.0621685358189711E-12</c:v>
                </c:pt>
                <c:pt idx="165">
                  <c:v>5.0621685358189711E-12</c:v>
                </c:pt>
                <c:pt idx="166">
                  <c:v>5.0621685358189711E-12</c:v>
                </c:pt>
                <c:pt idx="167">
                  <c:v>5.0621685358189711E-12</c:v>
                </c:pt>
                <c:pt idx="168">
                  <c:v>5.0621685358189711E-12</c:v>
                </c:pt>
                <c:pt idx="169">
                  <c:v>5.0621685358189711E-12</c:v>
                </c:pt>
                <c:pt idx="170">
                  <c:v>5.0621685358189711E-12</c:v>
                </c:pt>
                <c:pt idx="171">
                  <c:v>5.0621685358189711E-12</c:v>
                </c:pt>
                <c:pt idx="172">
                  <c:v>5.0621685358189711E-12</c:v>
                </c:pt>
                <c:pt idx="173">
                  <c:v>5.0621685358189711E-12</c:v>
                </c:pt>
                <c:pt idx="174">
                  <c:v>5.0621685358189711E-12</c:v>
                </c:pt>
                <c:pt idx="175">
                  <c:v>5.0621685358189711E-12</c:v>
                </c:pt>
                <c:pt idx="176">
                  <c:v>5.0621685358189711E-12</c:v>
                </c:pt>
                <c:pt idx="177">
                  <c:v>5.0621685358189711E-12</c:v>
                </c:pt>
                <c:pt idx="178">
                  <c:v>5.0621685358189711E-12</c:v>
                </c:pt>
                <c:pt idx="179">
                  <c:v>5.0621685358189711E-12</c:v>
                </c:pt>
                <c:pt idx="180">
                  <c:v>5.0621685358189711E-12</c:v>
                </c:pt>
                <c:pt idx="181">
                  <c:v>5.0621685358189711E-12</c:v>
                </c:pt>
                <c:pt idx="182">
                  <c:v>5.0621685358189711E-12</c:v>
                </c:pt>
                <c:pt idx="183">
                  <c:v>5.0621685358189711E-12</c:v>
                </c:pt>
                <c:pt idx="184">
                  <c:v>5.0621685358189711E-12</c:v>
                </c:pt>
                <c:pt idx="185">
                  <c:v>5.0621685358189711E-12</c:v>
                </c:pt>
                <c:pt idx="186">
                  <c:v>5.0621685358189711E-12</c:v>
                </c:pt>
                <c:pt idx="187">
                  <c:v>5.0621685358189711E-12</c:v>
                </c:pt>
                <c:pt idx="188">
                  <c:v>5.0621685358189711E-12</c:v>
                </c:pt>
                <c:pt idx="189">
                  <c:v>5.0621685358189711E-12</c:v>
                </c:pt>
                <c:pt idx="190">
                  <c:v>5.0621685358189711E-12</c:v>
                </c:pt>
                <c:pt idx="191">
                  <c:v>5.0621685358189711E-12</c:v>
                </c:pt>
                <c:pt idx="192">
                  <c:v>5.0621685358189711E-12</c:v>
                </c:pt>
                <c:pt idx="193">
                  <c:v>5.0621685358189711E-12</c:v>
                </c:pt>
                <c:pt idx="194">
                  <c:v>5.0621685358189711E-12</c:v>
                </c:pt>
                <c:pt idx="195">
                  <c:v>5.0621685358189711E-12</c:v>
                </c:pt>
                <c:pt idx="196">
                  <c:v>5.0621685358189711E-12</c:v>
                </c:pt>
                <c:pt idx="197">
                  <c:v>5.0621685358189711E-12</c:v>
                </c:pt>
                <c:pt idx="198">
                  <c:v>5.0621685358189711E-12</c:v>
                </c:pt>
                <c:pt idx="199">
                  <c:v>5.0621685358189711E-12</c:v>
                </c:pt>
                <c:pt idx="200">
                  <c:v>5.0621685358189711E-12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2.808913523269716</c:v>
                </c:pt>
                <c:pt idx="2">
                  <c:v>3.2024549307028356</c:v>
                </c:pt>
                <c:pt idx="3">
                  <c:v>3.6513289373607773</c:v>
                </c:pt>
                <c:pt idx="4">
                  <c:v>4.1633414020375676</c:v>
                </c:pt>
                <c:pt idx="5">
                  <c:v>4.7474028110253315</c:v>
                </c:pt>
                <c:pt idx="6">
                  <c:v>5.4136850511054888</c:v>
                </c:pt>
                <c:pt idx="7">
                  <c:v>6.1738004921248475</c:v>
                </c:pt>
                <c:pt idx="8">
                  <c:v>7.04100656176103</c:v>
                </c:pt>
                <c:pt idx="9">
                  <c:v>8.0304394501257814</c:v>
                </c:pt>
                <c:pt idx="10">
                  <c:v>9.1593811020942599</c:v>
                </c:pt>
                <c:pt idx="11">
                  <c:v>10.44756425004144</c:v>
                </c:pt>
                <c:pt idx="12">
                  <c:v>11.917520919716907</c:v>
                </c:pt>
                <c:pt idx="13">
                  <c:v>13.594980619539625</c:v>
                </c:pt>
                <c:pt idx="14">
                  <c:v>15.509325312648487</c:v>
                </c:pt>
                <c:pt idx="15">
                  <c:v>17.694109287621362</c:v>
                </c:pt>
                <c:pt idx="16">
                  <c:v>20.187653206198199</c:v>
                </c:pt>
                <c:pt idx="17">
                  <c:v>23.033722935573341</c:v>
                </c:pt>
                <c:pt idx="18">
                  <c:v>26.282305292835535</c:v>
                </c:pt>
                <c:pt idx="19">
                  <c:v>29.990494567361733</c:v>
                </c:pt>
                <c:pt idx="20">
                  <c:v>34.223505674790481</c:v>
                </c:pt>
                <c:pt idx="21">
                  <c:v>39.055832069512576</c:v>
                </c:pt>
                <c:pt idx="22">
                  <c:v>44.572569142487318</c:v>
                </c:pt>
                <c:pt idx="23">
                  <c:v>50.870926804611692</c:v>
                </c:pt>
                <c:pt idx="24">
                  <c:v>58.061958356588072</c:v>
                </c:pt>
                <c:pt idx="25">
                  <c:v>66.272536635761469</c:v>
                </c:pt>
                <c:pt idx="26">
                  <c:v>76.563490652949312</c:v>
                </c:pt>
                <c:pt idx="27">
                  <c:v>86.819205269098731</c:v>
                </c:pt>
                <c:pt idx="28">
                  <c:v>97.044440512052844</c:v>
                </c:pt>
                <c:pt idx="29">
                  <c:v>107.2428670785069</c:v>
                </c:pt>
                <c:pt idx="30">
                  <c:v>117.41739809202973</c:v>
                </c:pt>
                <c:pt idx="31">
                  <c:v>127.99300373621668</c:v>
                </c:pt>
                <c:pt idx="32">
                  <c:v>138.54744992970467</c:v>
                </c:pt>
                <c:pt idx="33">
                  <c:v>149.0825777016685</c:v>
                </c:pt>
                <c:pt idx="34">
                  <c:v>159.59994614012587</c:v>
                </c:pt>
                <c:pt idx="35">
                  <c:v>170.1008917228489</c:v>
                </c:pt>
                <c:pt idx="36">
                  <c:v>154.13304399541357</c:v>
                </c:pt>
                <c:pt idx="37">
                  <c:v>165.48242110449394</c:v>
                </c:pt>
                <c:pt idx="38">
                  <c:v>176.81341922195415</c:v>
                </c:pt>
                <c:pt idx="39">
                  <c:v>188.1273831228342</c:v>
                </c:pt>
                <c:pt idx="40">
                  <c:v>199.42548241866663</c:v>
                </c:pt>
                <c:pt idx="41">
                  <c:v>181.84387743661719</c:v>
                </c:pt>
                <c:pt idx="42">
                  <c:v>193.56912276774736</c:v>
                </c:pt>
                <c:pt idx="43">
                  <c:v>205.2778545096966</c:v>
                </c:pt>
                <c:pt idx="44">
                  <c:v>216.97114792933803</c:v>
                </c:pt>
                <c:pt idx="45">
                  <c:v>228.64995281860425</c:v>
                </c:pt>
                <c:pt idx="46">
                  <c:v>211.12636896992379</c:v>
                </c:pt>
                <c:pt idx="47">
                  <c:v>222.81230638924691</c:v>
                </c:pt>
                <c:pt idx="48">
                  <c:v>234.48418968616227</c:v>
                </c:pt>
                <c:pt idx="49">
                  <c:v>246.14281741922969</c:v>
                </c:pt>
                <c:pt idx="50">
                  <c:v>257.78890626510457</c:v>
                </c:pt>
                <c:pt idx="51">
                  <c:v>240.31511393681535</c:v>
                </c:pt>
                <c:pt idx="52">
                  <c:v>251.96738727080017</c:v>
                </c:pt>
                <c:pt idx="53">
                  <c:v>263.60745312628939</c:v>
                </c:pt>
                <c:pt idx="54">
                  <c:v>275.23592678364861</c:v>
                </c:pt>
                <c:pt idx="55">
                  <c:v>286.85336725699193</c:v>
                </c:pt>
                <c:pt idx="56">
                  <c:v>269.42310281421265</c:v>
                </c:pt>
                <c:pt idx="57">
                  <c:v>281.04599322042526</c:v>
                </c:pt>
                <c:pt idx="58">
                  <c:v>292.65811116959617</c:v>
                </c:pt>
                <c:pt idx="59">
                  <c:v>304.25994451630169</c:v>
                </c:pt>
                <c:pt idx="60">
                  <c:v>315.85194085471181</c:v>
                </c:pt>
                <c:pt idx="61">
                  <c:v>297.63155783517902</c:v>
                </c:pt>
                <c:pt idx="62">
                  <c:v>308.40105034381315</c:v>
                </c:pt>
                <c:pt idx="63">
                  <c:v>319.16219149284615</c:v>
                </c:pt>
                <c:pt idx="64">
                  <c:v>329.91530269151434</c:v>
                </c:pt>
                <c:pt idx="65">
                  <c:v>340.66068267684102</c:v>
                </c:pt>
                <c:pt idx="66">
                  <c:v>322.4716820606094</c:v>
                </c:pt>
                <c:pt idx="67">
                  <c:v>333.22238359494384</c:v>
                </c:pt>
                <c:pt idx="68">
                  <c:v>343.96544163480115</c:v>
                </c:pt>
                <c:pt idx="69">
                  <c:v>354.70112866153909</c:v>
                </c:pt>
                <c:pt idx="70">
                  <c:v>365.42969930916348</c:v>
                </c:pt>
                <c:pt idx="71">
                  <c:v>346.44355255688674</c:v>
                </c:pt>
                <c:pt idx="72">
                  <c:v>356.35213503949808</c:v>
                </c:pt>
                <c:pt idx="73">
                  <c:v>366.25468615178403</c:v>
                </c:pt>
                <c:pt idx="74">
                  <c:v>376.15139203422905</c:v>
                </c:pt>
                <c:pt idx="75">
                  <c:v>386.04242822867735</c:v>
                </c:pt>
                <c:pt idx="76">
                  <c:v>366.66716434689414</c:v>
                </c:pt>
                <c:pt idx="77">
                  <c:v>376.15139203422905</c:v>
                </c:pt>
                <c:pt idx="78">
                  <c:v>385.63041272508372</c:v>
                </c:pt>
                <c:pt idx="79">
                  <c:v>395.10437251790626</c:v>
                </c:pt>
                <c:pt idx="80">
                  <c:v>404.57340992986093</c:v>
                </c:pt>
                <c:pt idx="81">
                  <c:v>384.80635300902605</c:v>
                </c:pt>
                <c:pt idx="82">
                  <c:v>393.86892067156964</c:v>
                </c:pt>
                <c:pt idx="83">
                  <c:v>402.92696857125173</c:v>
                </c:pt>
                <c:pt idx="84">
                  <c:v>411.98061269157296</c:v>
                </c:pt>
                <c:pt idx="85">
                  <c:v>421.02996350009425</c:v>
                </c:pt>
                <c:pt idx="86">
                  <c:v>400.86871209258248</c:v>
                </c:pt>
                <c:pt idx="87">
                  <c:v>409.51186735681603</c:v>
                </c:pt>
                <c:pt idx="88">
                  <c:v>418.15108380244902</c:v>
                </c:pt>
                <c:pt idx="89">
                  <c:v>426.78645432329745</c:v>
                </c:pt>
                <c:pt idx="90">
                  <c:v>435.41806774560064</c:v>
                </c:pt>
                <c:pt idx="91">
                  <c:v>414.4490387185424</c:v>
                </c:pt>
                <c:pt idx="92">
                  <c:v>422.26363911019592</c:v>
                </c:pt>
                <c:pt idx="93">
                  <c:v>430.07512632625293</c:v>
                </c:pt>
                <c:pt idx="94">
                  <c:v>437.88356491828068</c:v>
                </c:pt>
                <c:pt idx="95">
                  <c:v>445.68901694659007</c:v>
                </c:pt>
                <c:pt idx="96">
                  <c:v>424.31959279145184</c:v>
                </c:pt>
                <c:pt idx="97">
                  <c:v>431.71925936589793</c:v>
                </c:pt>
                <c:pt idx="98">
                  <c:v>439.11620170572888</c:v>
                </c:pt>
                <c:pt idx="99">
                  <c:v>446.51047220041323</c:v>
                </c:pt>
                <c:pt idx="100">
                  <c:v>453.90212136173113</c:v>
                </c:pt>
                <c:pt idx="101">
                  <c:v>434.18520687835735</c:v>
                </c:pt>
                <c:pt idx="102">
                  <c:v>441.17043154942297</c:v>
                </c:pt>
                <c:pt idx="103">
                  <c:v>448.15328569496324</c:v>
                </c:pt>
                <c:pt idx="104">
                  <c:v>455.13381148368109</c:v>
                </c:pt>
                <c:pt idx="105">
                  <c:v>462.11204968448214</c:v>
                </c:pt>
                <c:pt idx="106">
                  <c:v>441.58125287689387</c:v>
                </c:pt>
                <c:pt idx="107">
                  <c:v>447.74259442675447</c:v>
                </c:pt>
                <c:pt idx="108">
                  <c:v>453.90212136173113</c:v>
                </c:pt>
                <c:pt idx="109">
                  <c:v>460.05986179752381</c:v>
                </c:pt>
                <c:pt idx="110">
                  <c:v>466.21584303528101</c:v>
                </c:pt>
                <c:pt idx="111">
                  <c:v>445.27827716326078</c:v>
                </c:pt>
                <c:pt idx="112">
                  <c:v>451.02789946978152</c:v>
                </c:pt>
                <c:pt idx="113">
                  <c:v>456.77595420541826</c:v>
                </c:pt>
                <c:pt idx="114">
                  <c:v>462.52246389410061</c:v>
                </c:pt>
                <c:pt idx="115">
                  <c:v>468.26745045400418</c:v>
                </c:pt>
                <c:pt idx="116">
                  <c:v>446.51047220041346</c:v>
                </c:pt>
                <c:pt idx="117">
                  <c:v>451.43852652349545</c:v>
                </c:pt>
                <c:pt idx="118">
                  <c:v>456.3654303692179</c:v>
                </c:pt>
                <c:pt idx="119">
                  <c:v>461.29119792122486</c:v>
                </c:pt>
                <c:pt idx="120">
                  <c:v>466.2158430352813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1.9746416049804285</c:v>
                </c:pt>
                <c:pt idx="2">
                  <c:v>2.2509696987730163</c:v>
                </c:pt>
                <c:pt idx="3">
                  <c:v>2.566106407367668</c:v>
                </c:pt>
                <c:pt idx="4">
                  <c:v>2.9255207530290543</c:v>
                </c:pt>
                <c:pt idx="5">
                  <c:v>3.3354549320675164</c:v>
                </c:pt>
                <c:pt idx="6">
                  <c:v>3.8030339464912619</c:v>
                </c:pt>
                <c:pt idx="7">
                  <c:v>4.3363908236525202</c:v>
                </c:pt>
                <c:pt idx="8">
                  <c:v>4.9448096458951891</c:v>
                </c:pt>
                <c:pt idx="9">
                  <c:v>5.6388889296865754</c:v>
                </c:pt>
                <c:pt idx="10">
                  <c:v>6.4307282566472246</c:v>
                </c:pt>
                <c:pt idx="11">
                  <c:v>7.3341414738014095</c:v>
                </c:pt>
                <c:pt idx="12">
                  <c:v>8.3649002547148612</c:v>
                </c:pt>
                <c:pt idx="13">
                  <c:v>9.5410123554957611</c:v>
                </c:pt>
                <c:pt idx="14">
                  <c:v>10.883039519666218</c:v>
                </c:pt>
                <c:pt idx="15">
                  <c:v>12.414460694823878</c:v>
                </c:pt>
                <c:pt idx="16">
                  <c:v>14.162087034570909</c:v>
                </c:pt>
                <c:pt idx="17">
                  <c:v>16.15653608599067</c:v>
                </c:pt>
                <c:pt idx="18">
                  <c:v>18.432773622701795</c:v>
                </c:pt>
                <c:pt idx="19">
                  <c:v>21.030732795318858</c:v>
                </c:pt>
                <c:pt idx="20">
                  <c:v>23.996021656852246</c:v>
                </c:pt>
                <c:pt idx="21">
                  <c:v>27.380731705185912</c:v>
                </c:pt>
                <c:pt idx="22">
                  <c:v>31.244361896879429</c:v>
                </c:pt>
                <c:pt idx="23">
                  <c:v>35.654874658866753</c:v>
                </c:pt>
                <c:pt idx="24">
                  <c:v>40.689902794596783</c:v>
                </c:pt>
                <c:pt idx="25">
                  <c:v>46.438128891600911</c:v>
                </c:pt>
                <c:pt idx="26">
                  <c:v>53.641954591289988</c:v>
                </c:pt>
                <c:pt idx="27">
                  <c:v>60.820276546495258</c:v>
                </c:pt>
                <c:pt idx="28">
                  <c:v>67.976539723086475</c:v>
                </c:pt>
                <c:pt idx="29">
                  <c:v>75.113400707379952</c:v>
                </c:pt>
                <c:pt idx="30">
                  <c:v>82.232967808738451</c:v>
                </c:pt>
                <c:pt idx="31">
                  <c:v>89.632636103290338</c:v>
                </c:pt>
                <c:pt idx="32">
                  <c:v>97.016990708955873</c:v>
                </c:pt>
                <c:pt idx="33">
                  <c:v>104.38736403026746</c:v>
                </c:pt>
                <c:pt idx="34">
                  <c:v>111.74488442302163</c:v>
                </c:pt>
                <c:pt idx="35">
                  <c:v>119.09051913372679</c:v>
                </c:pt>
                <c:pt idx="36">
                  <c:v>107.92051495671598</c:v>
                </c:pt>
                <c:pt idx="37">
                  <c:v>115.85984782918003</c:v>
                </c:pt>
                <c:pt idx="38">
                  <c:v>123.78587930910233</c:v>
                </c:pt>
                <c:pt idx="39">
                  <c:v>131.6995826479569</c:v>
                </c:pt>
                <c:pt idx="40">
                  <c:v>139.60180432646686</c:v>
                </c:pt>
                <c:pt idx="41">
                  <c:v>127.30454982664817</c:v>
                </c:pt>
                <c:pt idx="42">
                  <c:v>135.50574130628803</c:v>
                </c:pt>
                <c:pt idx="43">
                  <c:v>143.69498143753455</c:v>
                </c:pt>
                <c:pt idx="44">
                  <c:v>151.87304842123052</c:v>
                </c:pt>
                <c:pt idx="45">
                  <c:v>160.04062964847927</c:v>
                </c:pt>
                <c:pt idx="46">
                  <c:v>147.78536667282091</c:v>
                </c:pt>
                <c:pt idx="47">
                  <c:v>155.95810991244028</c:v>
                </c:pt>
                <c:pt idx="48">
                  <c:v>164.12068178886196</c:v>
                </c:pt>
                <c:pt idx="49">
                  <c:v>172.27366024134895</c:v>
                </c:pt>
                <c:pt idx="50">
                  <c:v>180.4175639489298</c:v>
                </c:pt>
                <c:pt idx="51">
                  <c:v>168.19833649533192</c:v>
                </c:pt>
                <c:pt idx="52">
                  <c:v>176.34671609069377</c:v>
                </c:pt>
                <c:pt idx="53">
                  <c:v>184.48626079093347</c:v>
                </c:pt>
                <c:pt idx="54">
                  <c:v>192.6174158917361</c:v>
                </c:pt>
                <c:pt idx="55">
                  <c:v>200.74058596732002</c:v>
                </c:pt>
                <c:pt idx="56">
                  <c:v>188.55286086725974</c:v>
                </c:pt>
                <c:pt idx="57">
                  <c:v>196.67997521236182</c:v>
                </c:pt>
                <c:pt idx="58">
                  <c:v>204.79929322768081</c:v>
                </c:pt>
                <c:pt idx="59">
                  <c:v>212.91116798727833</c:v>
                </c:pt>
                <c:pt idx="60">
                  <c:v>221.01592342762945</c:v>
                </c:pt>
                <c:pt idx="61">
                  <c:v>208.27670288557758</c:v>
                </c:pt>
                <c:pt idx="62">
                  <c:v>215.80652476655166</c:v>
                </c:pt>
                <c:pt idx="63">
                  <c:v>223.3303025339743</c:v>
                </c:pt>
                <c:pt idx="64">
                  <c:v>230.84826880073911</c:v>
                </c:pt>
                <c:pt idx="65">
                  <c:v>238.36063977122171</c:v>
                </c:pt>
                <c:pt idx="66">
                  <c:v>225.64413155603947</c:v>
                </c:pt>
                <c:pt idx="67">
                  <c:v>233.16035388103322</c:v>
                </c:pt>
                <c:pt idx="68">
                  <c:v>240.67104439435124</c:v>
                </c:pt>
                <c:pt idx="69">
                  <c:v>248.17640029840672</c:v>
                </c:pt>
                <c:pt idx="70">
                  <c:v>255.67660587898308</c:v>
                </c:pt>
                <c:pt idx="71">
                  <c:v>242.40351617973022</c:v>
                </c:pt>
                <c:pt idx="72">
                  <c:v>249.33060885818895</c:v>
                </c:pt>
                <c:pt idx="73">
                  <c:v>256.25333646450889</c:v>
                </c:pt>
                <c:pt idx="74">
                  <c:v>263.17183371378752</c:v>
                </c:pt>
                <c:pt idx="75">
                  <c:v>270.08622765058885</c:v>
                </c:pt>
                <c:pt idx="76">
                  <c:v>256.54169073764297</c:v>
                </c:pt>
                <c:pt idx="77">
                  <c:v>263.17183371378752</c:v>
                </c:pt>
                <c:pt idx="78">
                  <c:v>269.79820824030321</c:v>
                </c:pt>
                <c:pt idx="79">
                  <c:v>276.42092005274134</c:v>
                </c:pt>
                <c:pt idx="80">
                  <c:v>283.04006939986493</c:v>
                </c:pt>
                <c:pt idx="81">
                  <c:v>269.22214864231609</c:v>
                </c:pt>
                <c:pt idx="82">
                  <c:v>275.55729219724816</c:v>
                </c:pt>
                <c:pt idx="83">
                  <c:v>281.88916467282746</c:v>
                </c:pt>
                <c:pt idx="84">
                  <c:v>288.21785000957146</c:v>
                </c:pt>
                <c:pt idx="85">
                  <c:v>294.54342815595732</c:v>
                </c:pt>
                <c:pt idx="86">
                  <c:v>280.45038555869695</c:v>
                </c:pt>
                <c:pt idx="87">
                  <c:v>286.49215636284219</c:v>
                </c:pt>
                <c:pt idx="88">
                  <c:v>292.53107653331614</c:v>
                </c:pt>
                <c:pt idx="89">
                  <c:v>298.56721329998305</c:v>
                </c:pt>
                <c:pt idx="90">
                  <c:v>304.60063094888767</c:v>
                </c:pt>
                <c:pt idx="91">
                  <c:v>289.94331256428501</c:v>
                </c:pt>
                <c:pt idx="92">
                  <c:v>295.40577049938889</c:v>
                </c:pt>
                <c:pt idx="93">
                  <c:v>300.86597534185779</c:v>
                </c:pt>
                <c:pt idx="94">
                  <c:v>306.3239738094739</c:v>
                </c:pt>
                <c:pt idx="95">
                  <c:v>311.77981081702814</c:v>
                </c:pt>
                <c:pt idx="96">
                  <c:v>296.84288301434083</c:v>
                </c:pt>
                <c:pt idx="97">
                  <c:v>302.01520947361507</c:v>
                </c:pt>
                <c:pt idx="98">
                  <c:v>307.18556432776842</c:v>
                </c:pt>
                <c:pt idx="99">
                  <c:v>312.35398549253119</c:v>
                </c:pt>
                <c:pt idx="100">
                  <c:v>317.52050952469767</c:v>
                </c:pt>
                <c:pt idx="101">
                  <c:v>303.73887825775068</c:v>
                </c:pt>
                <c:pt idx="102">
                  <c:v>308.62142925305045</c:v>
                </c:pt>
                <c:pt idx="103">
                  <c:v>313.50226463243433</c:v>
                </c:pt>
                <c:pt idx="104">
                  <c:v>318.38141491457719</c:v>
                </c:pt>
                <c:pt idx="105">
                  <c:v>323.25890960508121</c:v>
                </c:pt>
                <c:pt idx="106">
                  <c:v>308.90858440452911</c:v>
                </c:pt>
                <c:pt idx="107">
                  <c:v>313.21520360849729</c:v>
                </c:pt>
                <c:pt idx="108">
                  <c:v>317.52050952469773</c:v>
                </c:pt>
                <c:pt idx="109">
                  <c:v>321.82452250125181</c:v>
                </c:pt>
                <c:pt idx="110">
                  <c:v>326.12726229676804</c:v>
                </c:pt>
                <c:pt idx="111">
                  <c:v>311.49271468133554</c:v>
                </c:pt>
                <c:pt idx="112">
                  <c:v>315.51152888688654</c:v>
                </c:pt>
                <c:pt idx="113">
                  <c:v>319.52920859735212</c:v>
                </c:pt>
                <c:pt idx="114">
                  <c:v>323.54577011393309</c:v>
                </c:pt>
                <c:pt idx="115">
                  <c:v>327.56122929942904</c:v>
                </c:pt>
                <c:pt idx="116">
                  <c:v>312.35398549253131</c:v>
                </c:pt>
                <c:pt idx="117">
                  <c:v>315.79854343698958</c:v>
                </c:pt>
                <c:pt idx="118">
                  <c:v>319.24226874866315</c:v>
                </c:pt>
                <c:pt idx="119">
                  <c:v>322.68517169265391</c:v>
                </c:pt>
                <c:pt idx="120">
                  <c:v>326.12726229676815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25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25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25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25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25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25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25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25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25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25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25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25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25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25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25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25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25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25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6" zoomScale="90" zoomScaleNormal="90" workbookViewId="0">
      <selection activeCell="E47" sqref="E47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4" t="s">
        <v>190</v>
      </c>
      <c r="D1" s="294"/>
      <c r="E1" s="29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5" t="s">
        <v>231</v>
      </c>
      <c r="B5" s="305"/>
      <c r="C5" s="26">
        <v>2.3199999999999998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324</v>
      </c>
      <c r="C9" s="35">
        <v>0.54300000000000004</v>
      </c>
      <c r="D9" s="36">
        <f t="shared" ref="D9:D18" si="0">C9*$C$5</f>
        <v>1.25976</v>
      </c>
      <c r="E9" s="37">
        <v>60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325</v>
      </c>
      <c r="C10" s="35">
        <v>0.38800000000000001</v>
      </c>
      <c r="D10" s="36">
        <f t="shared" si="0"/>
        <v>0.90015999999999996</v>
      </c>
      <c r="E10" s="37">
        <v>80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326</v>
      </c>
      <c r="C11" s="35">
        <v>3.4000000000000002E-2</v>
      </c>
      <c r="D11" s="36">
        <f t="shared" si="0"/>
        <v>7.8880000000000006E-2</v>
      </c>
      <c r="E11" s="37">
        <v>120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50</v>
      </c>
      <c r="C12" s="35">
        <v>3.4000000000000002E-2</v>
      </c>
      <c r="D12" s="36">
        <f t="shared" si="0"/>
        <v>7.8880000000000006E-2</v>
      </c>
      <c r="E12" s="37">
        <v>120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0.99900000000000011</v>
      </c>
      <c r="D19" s="41">
        <f>SUM(D9:D18)</f>
        <v>2.3176799999999997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5" t="s">
        <v>186</v>
      </c>
      <c r="D34" s="295"/>
      <c r="E34" s="296" t="s">
        <v>187</v>
      </c>
      <c r="F34" s="297"/>
      <c r="G34" s="297"/>
      <c r="H34" s="298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17</v>
      </c>
      <c r="B36" s="63">
        <v>126.33076923076922</v>
      </c>
      <c r="C36" s="63">
        <v>1</v>
      </c>
      <c r="D36" s="63">
        <v>42.084615384615383</v>
      </c>
      <c r="E36" s="54"/>
      <c r="F36" s="54"/>
      <c r="G36" s="54">
        <v>0.5</v>
      </c>
      <c r="H36" s="54">
        <v>0.5</v>
      </c>
      <c r="I36" s="52">
        <f>IFERROR(B36/A36,"")</f>
        <v>7.4312217194570129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23</v>
      </c>
      <c r="B37" s="63">
        <v>173.80769230769229</v>
      </c>
      <c r="C37" s="63">
        <v>2</v>
      </c>
      <c r="D37" s="63">
        <v>54.099999999999994</v>
      </c>
      <c r="E37" s="54"/>
      <c r="F37" s="54">
        <v>0.2</v>
      </c>
      <c r="G37" s="54">
        <v>0.5</v>
      </c>
      <c r="H37" s="54">
        <v>0.3</v>
      </c>
      <c r="I37" s="56">
        <f t="shared" ref="I37:I55" si="1">IF(A37&lt;&gt;0,(B37-(B36-D36))/(A37-A36),"")</f>
        <v>14.926923076923075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25</v>
      </c>
      <c r="B38" s="63">
        <v>149.83076923076922</v>
      </c>
      <c r="C38" s="63"/>
      <c r="D38" s="63"/>
      <c r="E38" s="54"/>
      <c r="F38" s="54"/>
      <c r="G38" s="54"/>
      <c r="H38" s="54"/>
      <c r="I38" s="56">
        <f t="shared" si="1"/>
        <v>15.061538461538461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29</v>
      </c>
      <c r="B39" s="63">
        <v>210.14615384615385</v>
      </c>
      <c r="C39" s="63">
        <v>3</v>
      </c>
      <c r="D39" s="63">
        <v>47.661538461538463</v>
      </c>
      <c r="E39" s="54">
        <v>0.2</v>
      </c>
      <c r="F39" s="54">
        <v>0.3</v>
      </c>
      <c r="G39" s="54">
        <v>0.5</v>
      </c>
      <c r="H39" s="54"/>
      <c r="I39" s="52">
        <f t="shared" si="1"/>
        <v>15.078846153846158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34</v>
      </c>
      <c r="B40" s="63">
        <v>233.36153846153846</v>
      </c>
      <c r="C40" s="63"/>
      <c r="D40" s="63"/>
      <c r="E40" s="54"/>
      <c r="F40" s="54"/>
      <c r="G40" s="54"/>
      <c r="H40" s="54"/>
      <c r="I40" s="52">
        <f t="shared" si="1"/>
        <v>14.175384615384615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36</v>
      </c>
      <c r="B41" s="63">
        <v>262.57692307692309</v>
      </c>
      <c r="C41" s="63">
        <v>4</v>
      </c>
      <c r="D41" s="63">
        <v>64.553846153846152</v>
      </c>
      <c r="E41" s="54"/>
      <c r="F41" s="54"/>
      <c r="G41" s="54"/>
      <c r="H41" s="54"/>
      <c r="I41" s="56">
        <f t="shared" si="1"/>
        <v>14.607692307692318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44</v>
      </c>
      <c r="B42" s="63">
        <v>289.95384615384614</v>
      </c>
      <c r="C42" s="63">
        <v>5</v>
      </c>
      <c r="D42" s="63">
        <v>64.476923076923072</v>
      </c>
      <c r="E42" s="54"/>
      <c r="F42" s="54"/>
      <c r="G42" s="54"/>
      <c r="H42" s="54"/>
      <c r="I42" s="56">
        <f t="shared" si="1"/>
        <v>11.491346153846152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52</v>
      </c>
      <c r="B43" s="63">
        <v>331.81538461538463</v>
      </c>
      <c r="C43" s="63">
        <v>6</v>
      </c>
      <c r="D43" s="63">
        <v>61.784615384615378</v>
      </c>
      <c r="E43" s="54"/>
      <c r="F43" s="54"/>
      <c r="G43" s="54"/>
      <c r="H43" s="54"/>
      <c r="I43" s="52">
        <f t="shared" si="1"/>
        <v>13.292307692307695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60</v>
      </c>
      <c r="B44" s="63">
        <v>353.5</v>
      </c>
      <c r="C44" s="63">
        <v>7</v>
      </c>
      <c r="D44" s="63">
        <v>353.5</v>
      </c>
      <c r="E44" s="54"/>
      <c r="F44" s="54"/>
      <c r="G44" s="54"/>
      <c r="H44" s="54"/>
      <c r="I44" s="52">
        <f t="shared" si="1"/>
        <v>10.433653846153845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pin sylvestre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5" t="s">
        <v>186</v>
      </c>
      <c r="D60" s="295"/>
      <c r="E60" s="296" t="s">
        <v>187</v>
      </c>
      <c r="F60" s="297"/>
      <c r="G60" s="297"/>
      <c r="H60" s="298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25</v>
      </c>
      <c r="B62" s="63">
        <v>98</v>
      </c>
      <c r="C62" s="63">
        <v>1</v>
      </c>
      <c r="D62" s="63">
        <v>12</v>
      </c>
      <c r="E62" s="54"/>
      <c r="F62" s="54"/>
      <c r="G62" s="54">
        <v>1</v>
      </c>
      <c r="H62" s="54"/>
      <c r="I62" s="56">
        <f>IFERROR(B62/A62,"")</f>
        <v>3.92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30</v>
      </c>
      <c r="B63" s="63">
        <v>140</v>
      </c>
      <c r="C63" s="63">
        <v>2</v>
      </c>
      <c r="D63" s="63">
        <v>23</v>
      </c>
      <c r="E63" s="54"/>
      <c r="F63" s="54"/>
      <c r="G63" s="54"/>
      <c r="H63" s="54"/>
      <c r="I63" s="52">
        <f>IF(A63&lt;&gt;0,(B63-(B62-D62))/(A63-A62),"")</f>
        <v>10.8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35</v>
      </c>
      <c r="B64" s="63">
        <v>171</v>
      </c>
      <c r="C64" s="63">
        <v>3</v>
      </c>
      <c r="D64" s="63">
        <v>28</v>
      </c>
      <c r="E64" s="54"/>
      <c r="F64" s="54"/>
      <c r="G64" s="54"/>
      <c r="H64" s="54"/>
      <c r="I64" s="52">
        <f>IF(A64&lt;&gt;0,(B64-(B63-D63))/(A64-A63),"")</f>
        <v>10.8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40</v>
      </c>
      <c r="B65" s="63">
        <v>207</v>
      </c>
      <c r="C65" s="63">
        <v>4</v>
      </c>
      <c r="D65" s="63">
        <v>37</v>
      </c>
      <c r="E65" s="54"/>
      <c r="F65" s="54"/>
      <c r="G65" s="54"/>
      <c r="H65" s="54"/>
      <c r="I65" s="52">
        <f>IF(A65&lt;&gt;0,(B65-(B64-D64))/(A65-A64),"")</f>
        <v>12.8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50</v>
      </c>
      <c r="B66" s="63">
        <v>286</v>
      </c>
      <c r="C66" s="63">
        <v>5</v>
      </c>
      <c r="D66" s="63">
        <v>65</v>
      </c>
      <c r="E66" s="54"/>
      <c r="F66" s="54"/>
      <c r="G66" s="54"/>
      <c r="H66" s="54"/>
      <c r="I66" s="52">
        <f t="shared" ref="I66:I81" si="2">IF(A66&lt;&gt;0,(B66-(B65-D65))/(A66-A65),"")</f>
        <v>11.6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60</v>
      </c>
      <c r="B67" s="63">
        <v>329</v>
      </c>
      <c r="C67" s="63">
        <v>6</v>
      </c>
      <c r="D67" s="63">
        <v>60</v>
      </c>
      <c r="E67" s="54"/>
      <c r="F67" s="54"/>
      <c r="G67" s="54"/>
      <c r="H67" s="54"/>
      <c r="I67" s="52">
        <f t="shared" si="2"/>
        <v>10.8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70</v>
      </c>
      <c r="B68" s="63">
        <v>364</v>
      </c>
      <c r="C68" s="63">
        <v>7</v>
      </c>
      <c r="D68" s="63">
        <v>52</v>
      </c>
      <c r="E68" s="54"/>
      <c r="F68" s="54"/>
      <c r="G68" s="54"/>
      <c r="H68" s="54"/>
      <c r="I68" s="52">
        <f t="shared" si="2"/>
        <v>9.5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80</v>
      </c>
      <c r="B69" s="53">
        <v>395</v>
      </c>
      <c r="C69" s="53">
        <v>8</v>
      </c>
      <c r="D69" s="53">
        <v>395</v>
      </c>
      <c r="E69" s="54"/>
      <c r="F69" s="54"/>
      <c r="G69" s="54"/>
      <c r="H69" s="54"/>
      <c r="I69" s="52">
        <f t="shared" si="2"/>
        <v>8.3000000000000007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alisier torminal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5" t="s">
        <v>186</v>
      </c>
      <c r="D86" s="295"/>
      <c r="E86" s="296" t="s">
        <v>187</v>
      </c>
      <c r="F86" s="297"/>
      <c r="G86" s="297"/>
      <c r="H86" s="298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25</v>
      </c>
      <c r="B88" s="63">
        <v>30</v>
      </c>
      <c r="C88" s="63">
        <v>1</v>
      </c>
      <c r="D88" s="63">
        <v>0</v>
      </c>
      <c r="E88" s="54"/>
      <c r="F88" s="54"/>
      <c r="G88" s="54"/>
      <c r="H88" s="93">
        <v>1</v>
      </c>
      <c r="I88" s="56">
        <f>IFERROR(B88/A88,"")</f>
        <v>1.2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30</v>
      </c>
      <c r="B89" s="63">
        <v>54</v>
      </c>
      <c r="C89" s="63">
        <v>2</v>
      </c>
      <c r="D89" s="63">
        <v>0</v>
      </c>
      <c r="E89" s="54"/>
      <c r="F89" s="54"/>
      <c r="G89" s="54"/>
      <c r="H89" s="93">
        <v>1</v>
      </c>
      <c r="I89" s="56">
        <f t="shared" ref="I89:I107" si="3">IF(A89&lt;&gt;0,(B89-(B88-D88))/(A89-A88),"")</f>
        <v>4.8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35</v>
      </c>
      <c r="B90" s="63">
        <v>79</v>
      </c>
      <c r="C90" s="63">
        <v>3</v>
      </c>
      <c r="D90" s="63">
        <v>13</v>
      </c>
      <c r="E90" s="93"/>
      <c r="F90" s="93"/>
      <c r="G90" s="93"/>
      <c r="H90" s="93"/>
      <c r="I90" s="56">
        <f t="shared" si="3"/>
        <v>5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40</v>
      </c>
      <c r="B91" s="63">
        <v>93</v>
      </c>
      <c r="C91" s="63">
        <v>4</v>
      </c>
      <c r="D91" s="63">
        <v>14</v>
      </c>
      <c r="E91" s="93"/>
      <c r="F91" s="93"/>
      <c r="G91" s="93"/>
      <c r="H91" s="93"/>
      <c r="I91" s="56">
        <f t="shared" si="3"/>
        <v>5.4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45</v>
      </c>
      <c r="B92" s="63">
        <v>107</v>
      </c>
      <c r="C92" s="63">
        <v>5</v>
      </c>
      <c r="D92" s="63">
        <v>14</v>
      </c>
      <c r="E92" s="93"/>
      <c r="F92" s="93"/>
      <c r="G92" s="93"/>
      <c r="H92" s="93"/>
      <c r="I92" s="56">
        <f t="shared" si="3"/>
        <v>5.6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50</v>
      </c>
      <c r="B93" s="63">
        <v>121</v>
      </c>
      <c r="C93" s="63">
        <v>6</v>
      </c>
      <c r="D93" s="63">
        <v>14</v>
      </c>
      <c r="E93" s="93"/>
      <c r="F93" s="93"/>
      <c r="G93" s="93"/>
      <c r="H93" s="93"/>
      <c r="I93" s="56">
        <f t="shared" si="3"/>
        <v>5.6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55</v>
      </c>
      <c r="B94" s="63">
        <v>135</v>
      </c>
      <c r="C94" s="63">
        <v>7</v>
      </c>
      <c r="D94" s="63">
        <v>14</v>
      </c>
      <c r="E94" s="93"/>
      <c r="F94" s="93"/>
      <c r="G94" s="93"/>
      <c r="H94" s="93"/>
      <c r="I94" s="56">
        <f t="shared" si="3"/>
        <v>5.6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60</v>
      </c>
      <c r="B95" s="63">
        <v>149</v>
      </c>
      <c r="C95" s="63">
        <v>8</v>
      </c>
      <c r="D95" s="63">
        <v>14</v>
      </c>
      <c r="E95" s="93"/>
      <c r="F95" s="93"/>
      <c r="G95" s="93"/>
      <c r="H95" s="93"/>
      <c r="I95" s="56">
        <f t="shared" si="3"/>
        <v>5.6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65</v>
      </c>
      <c r="B96" s="63">
        <v>161</v>
      </c>
      <c r="C96" s="63">
        <v>9</v>
      </c>
      <c r="D96" s="63">
        <v>14</v>
      </c>
      <c r="E96" s="93"/>
      <c r="F96" s="93"/>
      <c r="G96" s="93"/>
      <c r="H96" s="93"/>
      <c r="I96" s="56">
        <f t="shared" si="3"/>
        <v>5.2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>
        <v>70</v>
      </c>
      <c r="B97" s="63">
        <v>173</v>
      </c>
      <c r="C97" s="63">
        <v>10</v>
      </c>
      <c r="D97" s="63">
        <v>14</v>
      </c>
      <c r="E97" s="93"/>
      <c r="F97" s="93"/>
      <c r="G97" s="93"/>
      <c r="H97" s="93"/>
      <c r="I97" s="56">
        <f t="shared" si="3"/>
        <v>5.2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>
        <v>75</v>
      </c>
      <c r="B98" s="63">
        <v>183</v>
      </c>
      <c r="C98" s="63">
        <v>11</v>
      </c>
      <c r="D98" s="63">
        <v>14</v>
      </c>
      <c r="E98" s="93"/>
      <c r="F98" s="93"/>
      <c r="G98" s="93"/>
      <c r="H98" s="93"/>
      <c r="I98" s="56">
        <f t="shared" si="3"/>
        <v>4.8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>
        <v>80</v>
      </c>
      <c r="B99" s="63">
        <v>192</v>
      </c>
      <c r="C99" s="63">
        <v>12</v>
      </c>
      <c r="D99" s="63">
        <v>14</v>
      </c>
      <c r="E99" s="93"/>
      <c r="F99" s="93"/>
      <c r="G99" s="93"/>
      <c r="H99" s="93"/>
      <c r="I99" s="56">
        <f t="shared" si="3"/>
        <v>4.5999999999999996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>
        <v>85</v>
      </c>
      <c r="B100" s="63">
        <v>200</v>
      </c>
      <c r="C100" s="63">
        <v>13</v>
      </c>
      <c r="D100" s="63">
        <v>14</v>
      </c>
      <c r="E100" s="68"/>
      <c r="F100" s="68"/>
      <c r="G100" s="68"/>
      <c r="H100" s="68"/>
      <c r="I100" s="56">
        <f t="shared" si="3"/>
        <v>4.4000000000000004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>
        <v>90</v>
      </c>
      <c r="B101" s="63">
        <v>207</v>
      </c>
      <c r="C101" s="63">
        <v>14</v>
      </c>
      <c r="D101" s="63">
        <v>14</v>
      </c>
      <c r="E101" s="68"/>
      <c r="F101" s="68"/>
      <c r="G101" s="68"/>
      <c r="H101" s="68"/>
      <c r="I101" s="56">
        <f t="shared" si="3"/>
        <v>4.2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>
        <v>95</v>
      </c>
      <c r="B102" s="53">
        <v>212</v>
      </c>
      <c r="C102" s="63">
        <v>15</v>
      </c>
      <c r="D102" s="53">
        <v>14</v>
      </c>
      <c r="E102" s="57"/>
      <c r="F102" s="57"/>
      <c r="G102" s="57"/>
      <c r="H102" s="57"/>
      <c r="I102" s="56">
        <f t="shared" si="3"/>
        <v>3.8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>
        <v>100</v>
      </c>
      <c r="B103" s="53">
        <v>216</v>
      </c>
      <c r="C103" s="63">
        <v>16</v>
      </c>
      <c r="D103" s="53">
        <v>13</v>
      </c>
      <c r="E103" s="57"/>
      <c r="F103" s="57"/>
      <c r="G103" s="57"/>
      <c r="H103" s="57"/>
      <c r="I103" s="56">
        <f t="shared" si="3"/>
        <v>3.6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>
        <v>105</v>
      </c>
      <c r="B104" s="53">
        <v>220</v>
      </c>
      <c r="C104" s="63">
        <v>17</v>
      </c>
      <c r="D104" s="53">
        <v>13</v>
      </c>
      <c r="E104" s="57"/>
      <c r="F104" s="57"/>
      <c r="G104" s="57"/>
      <c r="H104" s="57"/>
      <c r="I104" s="56">
        <f t="shared" si="3"/>
        <v>3.4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>
        <v>110</v>
      </c>
      <c r="B105" s="53">
        <v>222</v>
      </c>
      <c r="C105" s="53">
        <v>18</v>
      </c>
      <c r="D105" s="53">
        <v>13</v>
      </c>
      <c r="E105" s="57"/>
      <c r="F105" s="57"/>
      <c r="G105" s="57"/>
      <c r="H105" s="57"/>
      <c r="I105" s="56">
        <f t="shared" si="3"/>
        <v>3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>
        <v>115</v>
      </c>
      <c r="B106" s="53">
        <v>223</v>
      </c>
      <c r="C106" s="53">
        <v>19</v>
      </c>
      <c r="D106" s="53">
        <v>13</v>
      </c>
      <c r="E106" s="57"/>
      <c r="F106" s="57"/>
      <c r="G106" s="57"/>
      <c r="H106" s="57"/>
      <c r="I106" s="56">
        <f t="shared" si="3"/>
        <v>2.8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>
        <v>120</v>
      </c>
      <c r="B107" s="53">
        <v>222</v>
      </c>
      <c r="C107" s="53">
        <v>20</v>
      </c>
      <c r="D107" s="53">
        <v>222</v>
      </c>
      <c r="E107" s="57"/>
      <c r="F107" s="57"/>
      <c r="G107" s="57"/>
      <c r="H107" s="57"/>
      <c r="I107" s="56">
        <f t="shared" si="3"/>
        <v>2.4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Tilleul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5" t="s">
        <v>186</v>
      </c>
      <c r="D112" s="295"/>
      <c r="E112" s="296" t="s">
        <v>187</v>
      </c>
      <c r="F112" s="297"/>
      <c r="G112" s="297"/>
      <c r="H112" s="298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25</v>
      </c>
      <c r="B114" s="63">
        <v>30</v>
      </c>
      <c r="C114" s="53">
        <v>1</v>
      </c>
      <c r="D114" s="63">
        <v>0</v>
      </c>
      <c r="E114" s="54"/>
      <c r="F114" s="54"/>
      <c r="G114" s="54"/>
      <c r="H114" s="54">
        <v>1</v>
      </c>
      <c r="I114" s="56">
        <f>IFERROR(B114/A114,"")</f>
        <v>1.2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30</v>
      </c>
      <c r="B115" s="63">
        <v>54</v>
      </c>
      <c r="C115" s="53">
        <v>2</v>
      </c>
      <c r="D115" s="63">
        <v>0</v>
      </c>
      <c r="E115" s="54"/>
      <c r="F115" s="54"/>
      <c r="G115" s="54"/>
      <c r="H115" s="54">
        <v>1</v>
      </c>
      <c r="I115" s="56">
        <f t="shared" ref="I115:I133" si="4">IF(A115&lt;&gt;0,(B115-(B114-D114))/(A115-A114),"")</f>
        <v>4.8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35</v>
      </c>
      <c r="B116" s="63">
        <v>79</v>
      </c>
      <c r="C116" s="53">
        <v>3</v>
      </c>
      <c r="D116" s="63">
        <v>13</v>
      </c>
      <c r="E116" s="54"/>
      <c r="F116" s="54"/>
      <c r="G116" s="54"/>
      <c r="H116" s="54"/>
      <c r="I116" s="56">
        <f t="shared" si="4"/>
        <v>5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40</v>
      </c>
      <c r="B117" s="63">
        <v>93</v>
      </c>
      <c r="C117" s="53">
        <v>4</v>
      </c>
      <c r="D117" s="63">
        <v>14</v>
      </c>
      <c r="E117" s="54"/>
      <c r="F117" s="54"/>
      <c r="G117" s="54"/>
      <c r="H117" s="54"/>
      <c r="I117" s="56">
        <f t="shared" si="4"/>
        <v>5.4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45</v>
      </c>
      <c r="B118" s="63">
        <v>107</v>
      </c>
      <c r="C118" s="53">
        <v>5</v>
      </c>
      <c r="D118" s="63">
        <v>14</v>
      </c>
      <c r="E118" s="54"/>
      <c r="F118" s="54"/>
      <c r="G118" s="54"/>
      <c r="H118" s="54"/>
      <c r="I118" s="56">
        <f t="shared" si="4"/>
        <v>5.6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50</v>
      </c>
      <c r="B119" s="63">
        <v>121</v>
      </c>
      <c r="C119" s="53">
        <v>6</v>
      </c>
      <c r="D119" s="63">
        <v>14</v>
      </c>
      <c r="E119" s="54"/>
      <c r="F119" s="54"/>
      <c r="G119" s="54"/>
      <c r="H119" s="54"/>
      <c r="I119" s="56">
        <f t="shared" si="4"/>
        <v>5.6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>
        <v>55</v>
      </c>
      <c r="B120" s="63">
        <v>135</v>
      </c>
      <c r="C120" s="63">
        <v>7</v>
      </c>
      <c r="D120" s="63">
        <v>14</v>
      </c>
      <c r="E120" s="93"/>
      <c r="F120" s="93"/>
      <c r="G120" s="93"/>
      <c r="H120" s="93"/>
      <c r="I120" s="56">
        <f t="shared" si="4"/>
        <v>5.6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>
        <v>60</v>
      </c>
      <c r="B121" s="63">
        <v>149</v>
      </c>
      <c r="C121" s="63">
        <v>8</v>
      </c>
      <c r="D121" s="63">
        <v>14</v>
      </c>
      <c r="E121" s="93"/>
      <c r="F121" s="93"/>
      <c r="G121" s="93"/>
      <c r="H121" s="93"/>
      <c r="I121" s="56">
        <f t="shared" si="4"/>
        <v>5.6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>
        <v>65</v>
      </c>
      <c r="B122" s="63">
        <v>161</v>
      </c>
      <c r="C122" s="63">
        <v>9</v>
      </c>
      <c r="D122" s="63">
        <v>14</v>
      </c>
      <c r="E122" s="93"/>
      <c r="F122" s="93"/>
      <c r="G122" s="93"/>
      <c r="H122" s="93"/>
      <c r="I122" s="56">
        <f t="shared" si="4"/>
        <v>5.2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>
        <v>70</v>
      </c>
      <c r="B123" s="63">
        <v>173</v>
      </c>
      <c r="C123" s="63">
        <v>10</v>
      </c>
      <c r="D123" s="63">
        <v>14</v>
      </c>
      <c r="E123" s="93"/>
      <c r="F123" s="93"/>
      <c r="G123" s="93"/>
      <c r="H123" s="93"/>
      <c r="I123" s="56">
        <f t="shared" si="4"/>
        <v>5.2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>
        <v>75</v>
      </c>
      <c r="B124" s="63">
        <v>183</v>
      </c>
      <c r="C124" s="63">
        <v>11</v>
      </c>
      <c r="D124" s="63">
        <v>14</v>
      </c>
      <c r="E124" s="93"/>
      <c r="F124" s="93"/>
      <c r="G124" s="93"/>
      <c r="H124" s="93"/>
      <c r="I124" s="56">
        <f t="shared" si="4"/>
        <v>4.8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>
        <v>80</v>
      </c>
      <c r="B125" s="63">
        <v>192</v>
      </c>
      <c r="C125" s="63">
        <v>12</v>
      </c>
      <c r="D125" s="63">
        <v>14</v>
      </c>
      <c r="E125" s="93"/>
      <c r="F125" s="93"/>
      <c r="G125" s="93"/>
      <c r="H125" s="93"/>
      <c r="I125" s="56">
        <f t="shared" si="4"/>
        <v>4.5999999999999996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>
        <v>85</v>
      </c>
      <c r="B126" s="63">
        <v>200</v>
      </c>
      <c r="C126" s="63">
        <v>13</v>
      </c>
      <c r="D126" s="63">
        <v>14</v>
      </c>
      <c r="E126" s="68"/>
      <c r="F126" s="68"/>
      <c r="G126" s="68"/>
      <c r="H126" s="68"/>
      <c r="I126" s="56">
        <f t="shared" si="4"/>
        <v>4.4000000000000004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>
        <v>90</v>
      </c>
      <c r="B127" s="63">
        <v>207</v>
      </c>
      <c r="C127" s="63">
        <v>14</v>
      </c>
      <c r="D127" s="63">
        <v>14</v>
      </c>
      <c r="E127" s="68"/>
      <c r="F127" s="68"/>
      <c r="G127" s="68"/>
      <c r="H127" s="68"/>
      <c r="I127" s="56">
        <f t="shared" si="4"/>
        <v>4.2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>
        <v>95</v>
      </c>
      <c r="B128" s="53">
        <v>212</v>
      </c>
      <c r="C128" s="53">
        <v>15</v>
      </c>
      <c r="D128" s="53">
        <v>14</v>
      </c>
      <c r="E128" s="57"/>
      <c r="F128" s="57"/>
      <c r="G128" s="57"/>
      <c r="H128" s="57"/>
      <c r="I128" s="56">
        <f t="shared" si="4"/>
        <v>3.8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>
        <v>100</v>
      </c>
      <c r="B129" s="53">
        <v>216</v>
      </c>
      <c r="C129" s="53">
        <v>16</v>
      </c>
      <c r="D129" s="53">
        <v>13</v>
      </c>
      <c r="E129" s="57"/>
      <c r="F129" s="57"/>
      <c r="G129" s="57"/>
      <c r="H129" s="57"/>
      <c r="I129" s="56">
        <f t="shared" si="4"/>
        <v>3.6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>
        <v>105</v>
      </c>
      <c r="B130" s="53">
        <v>220</v>
      </c>
      <c r="C130" s="53">
        <v>17</v>
      </c>
      <c r="D130" s="53">
        <v>13</v>
      </c>
      <c r="E130" s="57"/>
      <c r="F130" s="57"/>
      <c r="G130" s="57"/>
      <c r="H130" s="57"/>
      <c r="I130" s="56">
        <f t="shared" si="4"/>
        <v>3.4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>
        <v>110</v>
      </c>
      <c r="B131" s="53">
        <v>222</v>
      </c>
      <c r="C131" s="53">
        <v>18</v>
      </c>
      <c r="D131" s="53">
        <v>13</v>
      </c>
      <c r="E131" s="57"/>
      <c r="F131" s="57"/>
      <c r="G131" s="57"/>
      <c r="H131" s="57"/>
      <c r="I131" s="56">
        <f t="shared" si="4"/>
        <v>3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>
        <v>115</v>
      </c>
      <c r="B132" s="53">
        <v>223</v>
      </c>
      <c r="C132" s="53">
        <v>19</v>
      </c>
      <c r="D132" s="53">
        <v>13</v>
      </c>
      <c r="E132" s="57"/>
      <c r="F132" s="57"/>
      <c r="G132" s="57"/>
      <c r="H132" s="57"/>
      <c r="I132" s="56">
        <f t="shared" si="4"/>
        <v>2.8</v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>
        <v>120</v>
      </c>
      <c r="B133" s="53">
        <v>222</v>
      </c>
      <c r="C133" s="53">
        <v>20</v>
      </c>
      <c r="D133" s="53">
        <v>222</v>
      </c>
      <c r="E133" s="57"/>
      <c r="F133" s="57"/>
      <c r="G133" s="57"/>
      <c r="H133" s="57"/>
      <c r="I133" s="56">
        <f t="shared" si="4"/>
        <v>2.4</v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5" t="s">
        <v>186</v>
      </c>
      <c r="D138" s="295"/>
      <c r="E138" s="296" t="s">
        <v>187</v>
      </c>
      <c r="F138" s="297"/>
      <c r="G138" s="297"/>
      <c r="H138" s="298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5" t="s">
        <v>186</v>
      </c>
      <c r="D164" s="295"/>
      <c r="E164" s="296" t="s">
        <v>187</v>
      </c>
      <c r="F164" s="297"/>
      <c r="G164" s="297"/>
      <c r="H164" s="298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5" t="s">
        <v>186</v>
      </c>
      <c r="D190" s="295"/>
      <c r="E190" s="296" t="s">
        <v>187</v>
      </c>
      <c r="F190" s="297"/>
      <c r="G190" s="297"/>
      <c r="H190" s="298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5" t="s">
        <v>186</v>
      </c>
      <c r="D216" s="295"/>
      <c r="E216" s="296" t="s">
        <v>187</v>
      </c>
      <c r="F216" s="297"/>
      <c r="G216" s="297"/>
      <c r="H216" s="298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5" t="s">
        <v>186</v>
      </c>
      <c r="D242" s="295"/>
      <c r="E242" s="296" t="s">
        <v>187</v>
      </c>
      <c r="F242" s="297"/>
      <c r="G242" s="297"/>
      <c r="H242" s="298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5" t="s">
        <v>186</v>
      </c>
      <c r="D268" s="295"/>
      <c r="E268" s="296" t="s">
        <v>187</v>
      </c>
      <c r="F268" s="297"/>
      <c r="G268" s="297"/>
      <c r="H268" s="298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F9" sqref="F9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pin maritime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>pin sylvestre</v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>alisier torminal</v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>Tilleul</v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/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257.80952690600492</v>
      </c>
      <c r="T3" s="62">
        <f>IF('Données projet'!E9&gt;30,$R$33-$H$33,LOOKUP('Données projet'!$E$9,$A$3:$A$203,R3:R203)-LOOKUP('Données projet'!$E$9,$A$3:$A$203,$H$3:$H$203))</f>
        <v>269.95358755269427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258.09881752732008</v>
      </c>
      <c r="AO3" s="62">
        <f>IF('Données projet'!E10&gt;30,$AM$33-$H$33,LOOKUP('Données projet'!$E$10,$A$3:$A$203,AM3:AM203)-LOOKUP('Données projet'!$E$10,$A$3:$A$203,$H$3:$H$203))</f>
        <v>214.72899476643335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298.18906674058809</v>
      </c>
      <c r="BJ3" s="62">
        <f>IF('Données projet'!E11&gt;30,$BH$33-$H$33,LOOKUP('Données projet'!$E$11,$A$3:$A$203,BH3:BH203)-LOOKUP('Données projet'!$E$11,$A$3:$A$203,$H$3:$H$203))</f>
        <v>154.08406475869634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218.24409784339861</v>
      </c>
      <c r="CE3" s="62">
        <f>IF('Données projet'!E12&gt;30,$CC$33-$H$33,LOOKUP('Données projet'!$E$12,$A$3:$A$203,CC3:CC203)-LOOKUP('Données projet'!$E$12,$A$3:$A$203,$H$3:$H$203))</f>
        <v>118.89963447540509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7.4312217194570129</v>
      </c>
      <c r="N4" s="14">
        <f>IF('Données projet'!$A$36&gt;35,N3+M4-V3,IF(A4&lt;'Données projet'!$A$36,$K$205^A4,IF(A4='Données projet'!$A$36,'Données projet'!$B$36,N3+M4-V3)))</f>
        <v>1.3292852468636394</v>
      </c>
      <c r="O4" s="14">
        <f>N4*VLOOKUP('Données projet'!$B$9,Paramètres!$A$1:$I$89,3,0)*VLOOKUP('Données projet'!$B$9,Paramètres!$A$1:$I$89,5,0)</f>
        <v>0.79491257762445644</v>
      </c>
      <c r="P4" s="14">
        <f>EXP(-1.0587+0.8836*LN(O4)+0.284)</f>
        <v>0.37624805113513943</v>
      </c>
      <c r="Q4" s="22">
        <f t="shared" ref="Q4:Q34" si="2">(O4+P4)*0.475*44/12</f>
        <v>2.0397714284229629</v>
      </c>
      <c r="R4" s="62">
        <f t="shared" si="0"/>
        <v>259.92866031731182</v>
      </c>
      <c r="S4" s="62">
        <f ca="1">AVERAGE(OFFSET($R$3,0,0,'Données projet'!$E$9+1,1))-AVERAGE(OFFSET($H$3,0,0,'Données projet'!$E$9+1,1))</f>
        <v>257.80952690600492</v>
      </c>
      <c r="T4" s="62">
        <f>$T$3</f>
        <v>269.95358755269427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3.92</v>
      </c>
      <c r="AI4" s="14">
        <f>IF('Données projet'!$A$62&gt;35,AI3+AH4-AQ3,IF(A4&lt;'Données projet'!$A$62,$AF$205^A4,IF(A4='Données projet'!$A$62,'Données projet'!$B$62,AI3+AH4-AQ3)))</f>
        <v>1.201293267214846</v>
      </c>
      <c r="AJ4" s="14">
        <f>AI4*VLOOKUP('Données projet'!$B$10,Paramètres!$A$1:$I$89,3,0)*VLOOKUP('Données projet'!$B$10,Paramètres!$A$1:$I$89,5,0)</f>
        <v>0.68713974884689188</v>
      </c>
      <c r="AK4" s="14">
        <f>EXP(-1.0587+0.8836*LN(AJ4)+0.284)</f>
        <v>0.33079968728607767</v>
      </c>
      <c r="AL4" s="22">
        <f t="shared" ref="AL4:AL67" si="4">(AJ4+AK4)*0.475*44/12</f>
        <v>1.7729111845982548</v>
      </c>
      <c r="AM4" s="62">
        <f t="shared" ref="AM4:AM67" si="5">AL4+(AD4+AE4)*44/12</f>
        <v>259.66180007348709</v>
      </c>
      <c r="AN4" s="62">
        <f ca="1">AVERAGE(OFFSET($AM$3,0,0,'Données projet'!$E$10+1,1))-AVERAGE(OFFSET($H$3,0,0,'Données projet'!$E$10+1,1))</f>
        <v>258.09881752732008</v>
      </c>
      <c r="AO4" s="62">
        <f>$AO$3</f>
        <v>214.72899476643335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1.2</v>
      </c>
      <c r="BD4" s="13">
        <f>IF('Données projet'!$A$88&gt;35,BD3+BC4-BL3,IF(A4&lt;'Données projet'!$A$88,$BA$205^A4,IF(A4='Données projet'!$A$88,'Données projet'!$B$88,BD3+BC4-BL3)))</f>
        <v>1.1457367676485573</v>
      </c>
      <c r="BE4" s="14">
        <f>BD4*VLOOKUP('Données projet'!$B$11,Paramètres!$A$1:$I$89,3,0)*VLOOKUP('Données projet'!$B$11,Paramètres!$A$1:$I$89,5,0)</f>
        <v>1.1081566016696847</v>
      </c>
      <c r="BF4" s="14">
        <f>EXP(-1.0587+0.8836*LN(BE4)+0.284)</f>
        <v>0.50461671312632472</v>
      </c>
      <c r="BG4" s="22">
        <f t="shared" ref="BG4:BG67" si="7">(BE4+BF4)*0.475*44/12</f>
        <v>2.808913523269716</v>
      </c>
      <c r="BH4" s="62">
        <f t="shared" ref="BH4:BH67" si="8">BG4+(AY4+AZ4)*44/12</f>
        <v>260.69780241215858</v>
      </c>
      <c r="BI4" s="62">
        <f ca="1">AVERAGE(OFFSET($BH$3,0,0,'Données projet'!$E$11+1,1))-AVERAGE(OFFSET($H$3,0,0,'Données projet'!$E$11+1,1))</f>
        <v>298.18906674058809</v>
      </c>
      <c r="BJ4" s="62">
        <f>$BJ$3</f>
        <v>154.08406475869634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1.2</v>
      </c>
      <c r="BY4" s="13">
        <f>IF('Données projet'!$A$114&gt;35,BY3+BX4-CG3,IF(A4&lt;'Données projet'!$A$114,$BV$205^A4,IF(A4='Données projet'!$A$114,'Données projet'!$B$114,BY3+BX4-CG3)))</f>
        <v>1.1457367676485573</v>
      </c>
      <c r="BZ4" s="14">
        <f>BY4*VLOOKUP('Données projet'!$B$12,Paramètres!$A$1:$I$89,3,0)*VLOOKUP('Données projet'!$B$12,Paramètres!$A$1:$I$89,5,0)</f>
        <v>0.76856022373865229</v>
      </c>
      <c r="CA4" s="14">
        <f>EXP(-1.0587+0.8836*LN(BZ4)+0.284)</f>
        <v>0.36520529108264627</v>
      </c>
      <c r="CB4" s="22">
        <f t="shared" ref="CB4:CB67" si="10">(BZ4+CA4)*0.475*44/12</f>
        <v>1.9746416049804285</v>
      </c>
      <c r="CC4" s="62">
        <f t="shared" ref="CC4:CC67" si="11">CB4+(BT4+BU4)*44/12</f>
        <v>259.86353049386929</v>
      </c>
      <c r="CD4" s="62">
        <f ca="1">AVERAGE(OFFSET($CC$3,0,0,'Données projet'!$E$12+1,1))-AVERAGE(OFFSET($H$3,0,0,'Données projet'!$E$12+1,1))</f>
        <v>218.24409784339861</v>
      </c>
      <c r="CE4" s="62">
        <f>$CE$3</f>
        <v>118.89963447540509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7.4312217194570129</v>
      </c>
      <c r="N5" s="14">
        <f>IF('Données projet'!$A$36&gt;35,N4+M5-V4,IF(A5&lt;'Données projet'!$A$36,$K$205^A5,IF(A5='Données projet'!$A$36,'Données projet'!$B$36,N4+M5-V4)))</f>
        <v>1.7669992675293267</v>
      </c>
      <c r="O5" s="14">
        <f>N5*VLOOKUP('Données projet'!$B$9,Paramètres!$A$1:$I$89,3,0)*VLOOKUP('Données projet'!$B$9,Paramètres!$A$1:$I$89,5,0)</f>
        <v>1.0566655619825374</v>
      </c>
      <c r="P5" s="14">
        <f t="shared" ref="P5:P68" si="33">EXP(-1.0587+0.8836*LN(O5)+0.284)</f>
        <v>0.48384169076702271</v>
      </c>
      <c r="Q5" s="22">
        <f t="shared" si="2"/>
        <v>2.6830501318721502</v>
      </c>
      <c r="R5" s="62">
        <f t="shared" si="0"/>
        <v>261.79416124298331</v>
      </c>
      <c r="S5" s="62">
        <f ca="1">AVERAGE(OFFSET($R$3,0,0,'Données projet'!$E$9+1,1))-AVERAGE(OFFSET($H$3,0,0,'Données projet'!$E$9+1,1))</f>
        <v>257.80952690600492</v>
      </c>
      <c r="T5" s="62">
        <f t="shared" ref="T5:T68" si="34">$T$3</f>
        <v>269.95358755269427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3.92</v>
      </c>
      <c r="AI5" s="14">
        <f>IF('Données projet'!$A$62&gt;35,AI4+AH5-AQ4,IF(A5&lt;'Données projet'!$A$62,$AF$205^A5,IF(A5='Données projet'!$A$62,'Données projet'!$B$62,AI4+AH5-AQ4)))</f>
        <v>1.4431055138557194</v>
      </c>
      <c r="AJ5" s="14">
        <f>AI5*VLOOKUP('Données projet'!$B$10,Paramètres!$A$1:$I$89,3,0)*VLOOKUP('Données projet'!$B$10,Paramètres!$A$1:$I$89,5,0)</f>
        <v>0.82545635392547156</v>
      </c>
      <c r="AK5" s="14">
        <f t="shared" ref="AK5:AK68" si="35">EXP(-1.0587+0.8836*LN(AJ5)+0.284)</f>
        <v>0.3889940735408815</v>
      </c>
      <c r="AL5" s="22">
        <f t="shared" si="4"/>
        <v>2.1151678278372312</v>
      </c>
      <c r="AM5" s="62">
        <f t="shared" si="5"/>
        <v>261.22627893894838</v>
      </c>
      <c r="AN5" s="62">
        <f ca="1">AVERAGE(OFFSET($AM$3,0,0,'Données projet'!$E$10+1,1))-AVERAGE(OFFSET($H$3,0,0,'Données projet'!$E$10+1,1))</f>
        <v>258.09881752732008</v>
      </c>
      <c r="AO5" s="62">
        <f t="shared" ref="AO5:AO68" si="36">$AO$3</f>
        <v>214.72899476643335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1.2</v>
      </c>
      <c r="BD5" s="13">
        <f>IF('Données projet'!$A$88&gt;35,BD4+BC5-BL4,IF(A5&lt;'Données projet'!$A$88,$BA$205^A5,IF(A5='Données projet'!$A$88,'Données projet'!$B$88,BD4+BC5-BL4)))</f>
        <v>1.312712740741764</v>
      </c>
      <c r="BE5" s="14">
        <f>BD5*VLOOKUP('Données projet'!$B$11,Paramètres!$A$1:$I$89,3,0)*VLOOKUP('Données projet'!$B$11,Paramètres!$A$1:$I$89,5,0)</f>
        <v>1.2696557628454344</v>
      </c>
      <c r="BF5" s="14">
        <f t="shared" ref="BF5:BF68" si="37">EXP(-1.0587+0.8836*LN(BE5)+0.284)</f>
        <v>0.56907434090738995</v>
      </c>
      <c r="BG5" s="22">
        <f t="shared" si="7"/>
        <v>3.2024549307028356</v>
      </c>
      <c r="BH5" s="62">
        <f t="shared" si="8"/>
        <v>262.313566041814</v>
      </c>
      <c r="BI5" s="62">
        <f ca="1">AVERAGE(OFFSET($BH$3,0,0,'Données projet'!$E$11+1,1))-AVERAGE(OFFSET($H$3,0,0,'Données projet'!$E$11+1,1))</f>
        <v>298.18906674058809</v>
      </c>
      <c r="BJ5" s="62">
        <f t="shared" ref="BJ5:BJ68" si="38">$BJ$3</f>
        <v>154.08406475869634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1.2</v>
      </c>
      <c r="BY5" s="13">
        <f>IF('Données projet'!$A$114&gt;35,BY4+BX5-CG4,IF(A5&lt;'Données projet'!$A$114,$BV$205^A5,IF(A5='Données projet'!$A$114,'Données projet'!$B$114,BY4+BX5-CG4)))</f>
        <v>1.312712740741764</v>
      </c>
      <c r="BZ5" s="14">
        <f>BY5*VLOOKUP('Données projet'!$B$12,Paramètres!$A$1:$I$89,3,0)*VLOOKUP('Données projet'!$B$12,Paramètres!$A$1:$I$89,5,0)</f>
        <v>0.88056770648957527</v>
      </c>
      <c r="CA5" s="14">
        <f t="shared" ref="CA5:CA68" si="39">EXP(-1.0587+0.8836*LN(BZ5)+0.284)</f>
        <v>0.41185508706430995</v>
      </c>
      <c r="CB5" s="22">
        <f t="shared" si="10"/>
        <v>2.2509696987730163</v>
      </c>
      <c r="CC5" s="62">
        <f t="shared" si="11"/>
        <v>261.36208080988416</v>
      </c>
      <c r="CD5" s="62">
        <f ca="1">AVERAGE(OFFSET($CC$3,0,0,'Données projet'!$E$12+1,1))-AVERAGE(OFFSET($H$3,0,0,'Données projet'!$E$12+1,1))</f>
        <v>218.24409784339861</v>
      </c>
      <c r="CE5" s="62">
        <f t="shared" ref="CE5:CE68" si="40">$CE$3</f>
        <v>118.89963447540509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7.4312217194570129</v>
      </c>
      <c r="N6" s="14">
        <f>IF('Données projet'!$A$36&gt;35,N5+M6-V5,IF(A6&lt;'Données projet'!$A$36,$K$205^A6,IF(A6='Données projet'!$A$36,'Données projet'!$B$36,N5+M6-V5)))</f>
        <v>2.3488460575455909</v>
      </c>
      <c r="O6" s="14">
        <f>N6*VLOOKUP('Données projet'!$B$9,Paramètres!$A$1:$I$89,3,0)*VLOOKUP('Données projet'!$B$9,Paramètres!$A$1:$I$89,5,0)</f>
        <v>1.4046099424122636</v>
      </c>
      <c r="P6" s="14">
        <f t="shared" si="33"/>
        <v>0.62220330714804695</v>
      </c>
      <c r="Q6" s="22">
        <f t="shared" si="2"/>
        <v>3.5300330763175403</v>
      </c>
      <c r="R6" s="62">
        <f t="shared" si="0"/>
        <v>263.86336640965084</v>
      </c>
      <c r="S6" s="62">
        <f ca="1">AVERAGE(OFFSET($R$3,0,0,'Données projet'!$E$9+1,1))-AVERAGE(OFFSET($H$3,0,0,'Données projet'!$E$9+1,1))</f>
        <v>257.80952690600492</v>
      </c>
      <c r="T6" s="62">
        <f t="shared" si="34"/>
        <v>269.95358755269427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3.92</v>
      </c>
      <c r="AI6" s="14">
        <f>IF('Données projet'!$A$62&gt;35,AI5+AH6-AQ5,IF(A6&lt;'Données projet'!$A$62,$AF$205^A6,IF(A6='Données projet'!$A$62,'Données projet'!$B$62,AI5+AH6-AQ5)))</f>
        <v>1.7335929376754964</v>
      </c>
      <c r="AJ6" s="14">
        <f>AI6*VLOOKUP('Données projet'!$B$10,Paramètres!$A$1:$I$89,3,0)*VLOOKUP('Données projet'!$B$10,Paramètres!$A$1:$I$89,5,0)</f>
        <v>0.99161516035038388</v>
      </c>
      <c r="AK6" s="14">
        <f t="shared" si="35"/>
        <v>0.45742603474431143</v>
      </c>
      <c r="AL6" s="22">
        <f t="shared" si="4"/>
        <v>2.5237467481232607</v>
      </c>
      <c r="AM6" s="62">
        <f t="shared" si="5"/>
        <v>262.85708008145656</v>
      </c>
      <c r="AN6" s="62">
        <f ca="1">AVERAGE(OFFSET($AM$3,0,0,'Données projet'!$E$10+1,1))-AVERAGE(OFFSET($H$3,0,0,'Données projet'!$E$10+1,1))</f>
        <v>258.09881752732008</v>
      </c>
      <c r="AO6" s="62">
        <f t="shared" si="36"/>
        <v>214.72899476643335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1.2</v>
      </c>
      <c r="BD6" s="13">
        <f>IF('Données projet'!$A$88&gt;35,BD5+BC6-BL5,IF(A6&lt;'Données projet'!$A$88,$BA$205^A6,IF(A6='Données projet'!$A$88,'Données projet'!$B$88,BD5+BC6-BL5)))</f>
        <v>1.5040232524285473</v>
      </c>
      <c r="BE6" s="14">
        <f>BD6*VLOOKUP('Données projet'!$B$11,Paramètres!$A$1:$I$89,3,0)*VLOOKUP('Données projet'!$B$11,Paramètres!$A$1:$I$89,5,0)</f>
        <v>1.4546912897488911</v>
      </c>
      <c r="BF6" s="14">
        <f t="shared" si="37"/>
        <v>0.64176551639126822</v>
      </c>
      <c r="BG6" s="22">
        <f t="shared" si="7"/>
        <v>3.6513289373607773</v>
      </c>
      <c r="BH6" s="62">
        <f t="shared" si="8"/>
        <v>263.98466227069412</v>
      </c>
      <c r="BI6" s="62">
        <f ca="1">AVERAGE(OFFSET($BH$3,0,0,'Données projet'!$E$11+1,1))-AVERAGE(OFFSET($H$3,0,0,'Données projet'!$E$11+1,1))</f>
        <v>298.18906674058809</v>
      </c>
      <c r="BJ6" s="62">
        <f t="shared" si="38"/>
        <v>154.08406475869634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1.2</v>
      </c>
      <c r="BY6" s="13">
        <f>IF('Données projet'!$A$114&gt;35,BY5+BX6-CG5,IF(A6&lt;'Données projet'!$A$114,$BV$205^A6,IF(A6='Données projet'!$A$114,'Données projet'!$B$114,BY5+BX6-CG5)))</f>
        <v>1.5040232524285473</v>
      </c>
      <c r="BZ6" s="14">
        <f>BY6*VLOOKUP('Données projet'!$B$12,Paramètres!$A$1:$I$89,3,0)*VLOOKUP('Données projet'!$B$12,Paramètres!$A$1:$I$89,5,0)</f>
        <v>1.0088987977290695</v>
      </c>
      <c r="CA6" s="14">
        <f t="shared" si="39"/>
        <v>0.46446373281696007</v>
      </c>
      <c r="CB6" s="22">
        <f t="shared" si="10"/>
        <v>2.566106407367668</v>
      </c>
      <c r="CC6" s="62">
        <f t="shared" si="11"/>
        <v>262.89943974070098</v>
      </c>
      <c r="CD6" s="62">
        <f ca="1">AVERAGE(OFFSET($CC$3,0,0,'Données projet'!$E$12+1,1))-AVERAGE(OFFSET($H$3,0,0,'Données projet'!$E$12+1,1))</f>
        <v>218.24409784339861</v>
      </c>
      <c r="CE6" s="62">
        <f t="shared" si="40"/>
        <v>118.89963447540509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7.4312217194570129</v>
      </c>
      <c r="N7" s="14">
        <f>IF('Données projet'!$A$36&gt;35,N6+M7-V6,IF(A7&lt;'Données projet'!$A$36,$K$205^A7,IF(A7='Données projet'!$A$36,'Données projet'!$B$36,N6+M7-V6)))</f>
        <v>3.1222864114491768</v>
      </c>
      <c r="O7" s="14">
        <f>N7*VLOOKUP('Données projet'!$B$9,Paramètres!$A$1:$I$89,3,0)*VLOOKUP('Données projet'!$B$9,Paramètres!$A$1:$I$89,5,0)</f>
        <v>1.8671272740466078</v>
      </c>
      <c r="P7" s="14">
        <f t="shared" si="33"/>
        <v>0.80013145376589556</v>
      </c>
      <c r="Q7" s="22">
        <f t="shared" si="2"/>
        <v>4.6454756176067766</v>
      </c>
      <c r="R7" s="62">
        <f t="shared" si="0"/>
        <v>266.20103117316233</v>
      </c>
      <c r="S7" s="62">
        <f ca="1">AVERAGE(OFFSET($R$3,0,0,'Données projet'!$E$9+1,1))-AVERAGE(OFFSET($H$3,0,0,'Données projet'!$E$9+1,1))</f>
        <v>257.80952690600492</v>
      </c>
      <c r="T7" s="62">
        <f t="shared" si="34"/>
        <v>269.95358755269427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3.92</v>
      </c>
      <c r="AI7" s="14">
        <f>IF('Données projet'!$A$62&gt;35,AI6+AH7-AQ6,IF(A7&lt;'Données projet'!$A$62,$AF$205^A7,IF(A7='Données projet'!$A$62,'Données projet'!$B$62,AI6+AH7-AQ6)))</f>
        <v>2.08255352412078</v>
      </c>
      <c r="AJ7" s="14">
        <f>AI7*VLOOKUP('Données projet'!$B$10,Paramètres!$A$1:$I$89,3,0)*VLOOKUP('Données projet'!$B$10,Paramètres!$A$1:$I$89,5,0)</f>
        <v>1.1912206157970862</v>
      </c>
      <c r="AK7" s="14">
        <f t="shared" si="35"/>
        <v>0.53789656833914212</v>
      </c>
      <c r="AL7" s="22">
        <f t="shared" si="4"/>
        <v>3.0115457623705972</v>
      </c>
      <c r="AM7" s="62">
        <f t="shared" si="5"/>
        <v>264.56710131792613</v>
      </c>
      <c r="AN7" s="62">
        <f ca="1">AVERAGE(OFFSET($AM$3,0,0,'Données projet'!$E$10+1,1))-AVERAGE(OFFSET($H$3,0,0,'Données projet'!$E$10+1,1))</f>
        <v>258.09881752732008</v>
      </c>
      <c r="AO7" s="62">
        <f t="shared" si="36"/>
        <v>214.72899476643335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1.2</v>
      </c>
      <c r="BD7" s="13">
        <f>IF('Données projet'!$A$88&gt;35,BD6+BC7-BL6,IF(A7&lt;'Données projet'!$A$88,$BA$205^A7,IF(A7='Données projet'!$A$88,'Données projet'!$B$88,BD6+BC7-BL6)))</f>
        <v>1.7232147397057538</v>
      </c>
      <c r="BE7" s="14">
        <f>BD7*VLOOKUP('Données projet'!$B$11,Paramètres!$A$1:$I$89,3,0)*VLOOKUP('Données projet'!$B$11,Paramètres!$A$1:$I$89,5,0)</f>
        <v>1.6666932962434051</v>
      </c>
      <c r="BF7" s="14">
        <f t="shared" si="37"/>
        <v>0.72374195851500689</v>
      </c>
      <c r="BG7" s="22">
        <f t="shared" si="7"/>
        <v>4.1633414020375676</v>
      </c>
      <c r="BH7" s="62">
        <f t="shared" si="8"/>
        <v>265.71889695759313</v>
      </c>
      <c r="BI7" s="62">
        <f ca="1">AVERAGE(OFFSET($BH$3,0,0,'Données projet'!$E$11+1,1))-AVERAGE(OFFSET($H$3,0,0,'Données projet'!$E$11+1,1))</f>
        <v>298.18906674058809</v>
      </c>
      <c r="BJ7" s="62">
        <f t="shared" si="38"/>
        <v>154.08406475869634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1.2</v>
      </c>
      <c r="BY7" s="13">
        <f>IF('Données projet'!$A$114&gt;35,BY6+BX7-CG6,IF(A7&lt;'Données projet'!$A$114,$BV$205^A7,IF(A7='Données projet'!$A$114,'Données projet'!$B$114,BY6+BX7-CG6)))</f>
        <v>1.7232147397057538</v>
      </c>
      <c r="BZ7" s="14">
        <f>BY7*VLOOKUP('Données projet'!$B$12,Paramètres!$A$1:$I$89,3,0)*VLOOKUP('Données projet'!$B$12,Paramètres!$A$1:$I$89,5,0)</f>
        <v>1.1559324473946198</v>
      </c>
      <c r="CA7" s="14">
        <f t="shared" si="39"/>
        <v>0.5237923868804355</v>
      </c>
      <c r="CB7" s="22">
        <f t="shared" si="10"/>
        <v>2.9255207530290543</v>
      </c>
      <c r="CC7" s="62">
        <f t="shared" si="11"/>
        <v>264.48107630858459</v>
      </c>
      <c r="CD7" s="62">
        <f ca="1">AVERAGE(OFFSET($CC$3,0,0,'Données projet'!$E$12+1,1))-AVERAGE(OFFSET($H$3,0,0,'Données projet'!$E$12+1,1))</f>
        <v>218.24409784339861</v>
      </c>
      <c r="CE7" s="62">
        <f t="shared" si="40"/>
        <v>118.89963447540509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7.4312217194570129</v>
      </c>
      <c r="N8" s="14">
        <f>IF('Données projet'!$A$36&gt;35,N7+M8-V7,IF(A8&lt;'Données projet'!$A$36,$K$205^A8,IF(A8='Données projet'!$A$36,'Données projet'!$B$36,N7+M8-V7)))</f>
        <v>4.1504092632222056</v>
      </c>
      <c r="O8" s="14">
        <f>N8*VLOOKUP('Données projet'!$B$9,Paramètres!$A$1:$I$89,3,0)*VLOOKUP('Données projet'!$B$9,Paramètres!$A$1:$I$89,5,0)</f>
        <v>2.4819447394068792</v>
      </c>
      <c r="P8" s="14">
        <f t="shared" si="33"/>
        <v>1.0289407593154982</v>
      </c>
      <c r="Q8" s="22">
        <f t="shared" si="2"/>
        <v>6.1147922436081394</v>
      </c>
      <c r="R8" s="62">
        <f t="shared" si="0"/>
        <v>268.89257002138589</v>
      </c>
      <c r="S8" s="62">
        <f ca="1">AVERAGE(OFFSET($R$3,0,0,'Données projet'!$E$9+1,1))-AVERAGE(OFFSET($H$3,0,0,'Données projet'!$E$9+1,1))</f>
        <v>257.80952690600492</v>
      </c>
      <c r="T8" s="62">
        <f t="shared" si="34"/>
        <v>269.95358755269427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3.92</v>
      </c>
      <c r="AI8" s="14">
        <f>IF('Données projet'!$A$62&gt;35,AI7+AH8-AQ7,IF(A8&lt;'Données projet'!$A$62,$AF$205^A8,IF(A8='Données projet'!$A$62,'Données projet'!$B$62,AI7+AH8-AQ7)))</f>
        <v>2.5017575271408434</v>
      </c>
      <c r="AJ8" s="14">
        <f>AI8*VLOOKUP('Données projet'!$B$10,Paramètres!$A$1:$I$89,3,0)*VLOOKUP('Données projet'!$B$10,Paramètres!$A$1:$I$89,5,0)</f>
        <v>1.4310053055245626</v>
      </c>
      <c r="AK8" s="14">
        <f t="shared" si="35"/>
        <v>0.63252350381139633</v>
      </c>
      <c r="AL8" s="22">
        <f t="shared" si="4"/>
        <v>3.593979342926795</v>
      </c>
      <c r="AM8" s="62">
        <f t="shared" si="5"/>
        <v>266.37175712070456</v>
      </c>
      <c r="AN8" s="62">
        <f ca="1">AVERAGE(OFFSET($AM$3,0,0,'Données projet'!$E$10+1,1))-AVERAGE(OFFSET($H$3,0,0,'Données projet'!$E$10+1,1))</f>
        <v>258.09881752732008</v>
      </c>
      <c r="AO8" s="62">
        <f t="shared" si="36"/>
        <v>214.72899476643335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1.2</v>
      </c>
      <c r="BD8" s="13">
        <f>IF('Données projet'!$A$88&gt;35,BD7+BC8-BL7,IF(A8&lt;'Données projet'!$A$88,$BA$205^A8,IF(A8='Données projet'!$A$88,'Données projet'!$B$88,BD7+BC8-BL7)))</f>
        <v>1.9743504858348202</v>
      </c>
      <c r="BE8" s="14">
        <f>BD8*VLOOKUP('Données projet'!$B$11,Paramètres!$A$1:$I$89,3,0)*VLOOKUP('Données projet'!$B$11,Paramètres!$A$1:$I$89,5,0)</f>
        <v>1.9095917898994379</v>
      </c>
      <c r="BF8" s="14">
        <f t="shared" si="37"/>
        <v>0.81618972839261894</v>
      </c>
      <c r="BG8" s="22">
        <f t="shared" si="7"/>
        <v>4.7474028110253315</v>
      </c>
      <c r="BH8" s="62">
        <f t="shared" si="8"/>
        <v>267.5251805888031</v>
      </c>
      <c r="BI8" s="62">
        <f ca="1">AVERAGE(OFFSET($BH$3,0,0,'Données projet'!$E$11+1,1))-AVERAGE(OFFSET($H$3,0,0,'Données projet'!$E$11+1,1))</f>
        <v>298.18906674058809</v>
      </c>
      <c r="BJ8" s="62">
        <f t="shared" si="38"/>
        <v>154.08406475869634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1.2</v>
      </c>
      <c r="BY8" s="13">
        <f>IF('Données projet'!$A$114&gt;35,BY7+BX8-CG7,IF(A8&lt;'Données projet'!$A$114,$BV$205^A8,IF(A8='Données projet'!$A$114,'Données projet'!$B$114,BY7+BX8-CG7)))</f>
        <v>1.9743504858348202</v>
      </c>
      <c r="BZ8" s="14">
        <f>BY8*VLOOKUP('Données projet'!$B$12,Paramètres!$A$1:$I$89,3,0)*VLOOKUP('Données projet'!$B$12,Paramètres!$A$1:$I$89,5,0)</f>
        <v>1.3243943058979974</v>
      </c>
      <c r="CA8" s="14">
        <f t="shared" si="39"/>
        <v>0.59069943500201205</v>
      </c>
      <c r="CB8" s="22">
        <f t="shared" si="10"/>
        <v>3.3354549320675164</v>
      </c>
      <c r="CC8" s="62">
        <f t="shared" si="11"/>
        <v>266.11323270984531</v>
      </c>
      <c r="CD8" s="62">
        <f ca="1">AVERAGE(OFFSET($CC$3,0,0,'Données projet'!$E$12+1,1))-AVERAGE(OFFSET($H$3,0,0,'Données projet'!$E$12+1,1))</f>
        <v>218.24409784339861</v>
      </c>
      <c r="CE8" s="62">
        <f t="shared" si="40"/>
        <v>118.89963447540509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7.4312217194570129</v>
      </c>
      <c r="N9" s="14">
        <f>IF('Données projet'!$A$36&gt;35,N8+M9-V8,IF(A9&lt;'Données projet'!$A$36,$K$205^A9,IF(A9='Données projet'!$A$36,'Données projet'!$B$36,N8+M9-V8)))</f>
        <v>5.5170778020474653</v>
      </c>
      <c r="O9" s="14">
        <f>N9*VLOOKUP('Données projet'!$B$9,Paramètres!$A$1:$I$89,3,0)*VLOOKUP('Données projet'!$B$9,Paramètres!$A$1:$I$89,5,0)</f>
        <v>3.2992125256243843</v>
      </c>
      <c r="P9" s="14">
        <f t="shared" si="33"/>
        <v>1.3231814362474952</v>
      </c>
      <c r="Q9" s="22">
        <f t="shared" si="2"/>
        <v>8.0506694835935235</v>
      </c>
      <c r="R9" s="62">
        <f t="shared" si="0"/>
        <v>272.05066948359354</v>
      </c>
      <c r="S9" s="62">
        <f ca="1">AVERAGE(OFFSET($R$3,0,0,'Données projet'!$E$9+1,1))-AVERAGE(OFFSET($H$3,0,0,'Données projet'!$E$9+1,1))</f>
        <v>257.80952690600492</v>
      </c>
      <c r="T9" s="62">
        <f t="shared" si="34"/>
        <v>269.95358755269427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3.92</v>
      </c>
      <c r="AI9" s="14">
        <f>IF('Données projet'!$A$62&gt;35,AI8+AH9-AQ8,IF(A9&lt;'Données projet'!$A$62,$AF$205^A9,IF(A9='Données projet'!$A$62,'Données projet'!$B$62,AI8+AH9-AQ8)))</f>
        <v>3.0053444735583574</v>
      </c>
      <c r="AJ9" s="14">
        <f>AI9*VLOOKUP('Données projet'!$B$10,Paramètres!$A$1:$I$89,3,0)*VLOOKUP('Données projet'!$B$10,Paramètres!$A$1:$I$89,5,0)</f>
        <v>1.7190570388753805</v>
      </c>
      <c r="AK9" s="14">
        <f t="shared" si="35"/>
        <v>0.74379723988421598</v>
      </c>
      <c r="AL9" s="22">
        <f t="shared" si="4"/>
        <v>4.2894712021729635</v>
      </c>
      <c r="AM9" s="62">
        <f t="shared" si="5"/>
        <v>268.28947120217299</v>
      </c>
      <c r="AN9" s="62">
        <f ca="1">AVERAGE(OFFSET($AM$3,0,0,'Données projet'!$E$10+1,1))-AVERAGE(OFFSET($H$3,0,0,'Données projet'!$E$10+1,1))</f>
        <v>258.09881752732008</v>
      </c>
      <c r="AO9" s="62">
        <f t="shared" si="36"/>
        <v>214.72899476643335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1.2</v>
      </c>
      <c r="BD9" s="13">
        <f>IF('Données projet'!$A$88&gt;35,BD8+BC9-BL8,IF(A9&lt;'Données projet'!$A$88,$BA$205^A9,IF(A9='Données projet'!$A$88,'Données projet'!$B$88,BD8+BC9-BL8)))</f>
        <v>2.2620859438457455</v>
      </c>
      <c r="BE9" s="14">
        <f>BD9*VLOOKUP('Données projet'!$B$11,Paramètres!$A$1:$I$89,3,0)*VLOOKUP('Données projet'!$B$11,Paramètres!$A$1:$I$89,5,0)</f>
        <v>2.1878895248876051</v>
      </c>
      <c r="BF9" s="14">
        <f t="shared" si="37"/>
        <v>0.92044638962272363</v>
      </c>
      <c r="BG9" s="22">
        <f t="shared" si="7"/>
        <v>5.4136850511054888</v>
      </c>
      <c r="BH9" s="62">
        <f t="shared" si="8"/>
        <v>269.41368505110552</v>
      </c>
      <c r="BI9" s="62">
        <f ca="1">AVERAGE(OFFSET($BH$3,0,0,'Données projet'!$E$11+1,1))-AVERAGE(OFFSET($H$3,0,0,'Données projet'!$E$11+1,1))</f>
        <v>298.18906674058809</v>
      </c>
      <c r="BJ9" s="62">
        <f t="shared" si="38"/>
        <v>154.08406475869634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1.2</v>
      </c>
      <c r="BY9" s="13">
        <f>IF('Données projet'!$A$114&gt;35,BY8+BX9-CG8,IF(A9&lt;'Données projet'!$A$114,$BV$205^A9,IF(A9='Données projet'!$A$114,'Données projet'!$B$114,BY8+BX9-CG8)))</f>
        <v>2.2620859438457455</v>
      </c>
      <c r="BZ9" s="14">
        <f>BY9*VLOOKUP('Données projet'!$B$12,Paramètres!$A$1:$I$89,3,0)*VLOOKUP('Données projet'!$B$12,Paramètres!$A$1:$I$89,5,0)</f>
        <v>1.517407251131726</v>
      </c>
      <c r="CA9" s="14">
        <f t="shared" si="39"/>
        <v>0.66615290953311335</v>
      </c>
      <c r="CB9" s="22">
        <f t="shared" si="10"/>
        <v>3.8030339464912619</v>
      </c>
      <c r="CC9" s="62">
        <f t="shared" si="11"/>
        <v>267.80303394649127</v>
      </c>
      <c r="CD9" s="62">
        <f ca="1">AVERAGE(OFFSET($CC$3,0,0,'Données projet'!$E$12+1,1))-AVERAGE(OFFSET($H$3,0,0,'Données projet'!$E$12+1,1))</f>
        <v>218.24409784339861</v>
      </c>
      <c r="CE9" s="62">
        <f t="shared" si="40"/>
        <v>118.89963447540509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7.4312217194570129</v>
      </c>
      <c r="N10" s="14">
        <f>IF('Données projet'!$A$36&gt;35,N9+M10-V9,IF(A10&lt;'Données projet'!$A$36,$K$205^A10,IF(A10='Données projet'!$A$36,'Données projet'!$B$36,N9+M10-V9)))</f>
        <v>7.3337701280605696</v>
      </c>
      <c r="O10" s="14">
        <f>N10*VLOOKUP('Données projet'!$B$9,Paramètres!$A$1:$I$89,3,0)*VLOOKUP('Données projet'!$B$9,Paramètres!$A$1:$I$89,5,0)</f>
        <v>4.3855945365802205</v>
      </c>
      <c r="P10" s="14">
        <f t="shared" si="33"/>
        <v>1.7015645433219191</v>
      </c>
      <c r="Q10" s="22">
        <f t="shared" si="2"/>
        <v>10.601802064162893</v>
      </c>
      <c r="R10" s="62">
        <f t="shared" si="0"/>
        <v>275.82402428638511</v>
      </c>
      <c r="S10" s="62">
        <f ca="1">AVERAGE(OFFSET($R$3,0,0,'Données projet'!$E$9+1,1))-AVERAGE(OFFSET($H$3,0,0,'Données projet'!$E$9+1,1))</f>
        <v>257.80952690600492</v>
      </c>
      <c r="T10" s="62">
        <f t="shared" si="34"/>
        <v>269.95358755269427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3.92</v>
      </c>
      <c r="AI10" s="14">
        <f>IF('Données projet'!$A$62&gt;35,AI9+AH10-AQ9,IF(A10&lt;'Données projet'!$A$62,$AF$205^A10,IF(A10='Données projet'!$A$62,'Données projet'!$B$62,AI9+AH10-AQ9)))</f>
        <v>3.6103000817470008</v>
      </c>
      <c r="AJ10" s="14">
        <f>AI10*VLOOKUP('Données projet'!$B$10,Paramètres!$A$1:$I$89,3,0)*VLOOKUP('Données projet'!$B$10,Paramètres!$A$1:$I$89,5,0)</f>
        <v>2.0650916467592846</v>
      </c>
      <c r="AK10" s="14">
        <f t="shared" si="35"/>
        <v>0.87464628701661573</v>
      </c>
      <c r="AL10" s="22">
        <f t="shared" si="4"/>
        <v>5.1200435679930258</v>
      </c>
      <c r="AM10" s="62">
        <f t="shared" si="5"/>
        <v>270.34226579021527</v>
      </c>
      <c r="AN10" s="62">
        <f ca="1">AVERAGE(OFFSET($AM$3,0,0,'Données projet'!$E$10+1,1))-AVERAGE(OFFSET($H$3,0,0,'Données projet'!$E$10+1,1))</f>
        <v>258.09881752732008</v>
      </c>
      <c r="AO10" s="62">
        <f t="shared" si="36"/>
        <v>214.72899476643335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1.2</v>
      </c>
      <c r="BD10" s="13">
        <f>IF('Données projet'!$A$88&gt;35,BD9+BC10-BL9,IF(A10&lt;'Données projet'!$A$88,$BA$205^A10,IF(A10='Données projet'!$A$88,'Données projet'!$B$88,BD9+BC10-BL9)))</f>
        <v>2.5917550374450604</v>
      </c>
      <c r="BE10" s="14">
        <f>BD10*VLOOKUP('Données projet'!$B$11,Paramètres!$A$1:$I$89,3,0)*VLOOKUP('Données projet'!$B$11,Paramètres!$A$1:$I$89,5,0)</f>
        <v>2.5067454722168625</v>
      </c>
      <c r="BF10" s="14">
        <f t="shared" si="37"/>
        <v>1.038020360582093</v>
      </c>
      <c r="BG10" s="22">
        <f t="shared" si="7"/>
        <v>6.1738004921248475</v>
      </c>
      <c r="BH10" s="62">
        <f t="shared" si="8"/>
        <v>271.39602271434705</v>
      </c>
      <c r="BI10" s="62">
        <f ca="1">AVERAGE(OFFSET($BH$3,0,0,'Données projet'!$E$11+1,1))-AVERAGE(OFFSET($H$3,0,0,'Données projet'!$E$11+1,1))</f>
        <v>298.18906674058809</v>
      </c>
      <c r="BJ10" s="62">
        <f t="shared" si="38"/>
        <v>154.08406475869634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1.2</v>
      </c>
      <c r="BY10" s="13">
        <f>IF('Données projet'!$A$114&gt;35,BY9+BX10-CG9,IF(A10&lt;'Données projet'!$A$114,$BV$205^A10,IF(A10='Données projet'!$A$114,'Données projet'!$B$114,BY9+BX10-CG9)))</f>
        <v>2.5917550374450604</v>
      </c>
      <c r="BZ10" s="14">
        <f>BY10*VLOOKUP('Données projet'!$B$12,Paramètres!$A$1:$I$89,3,0)*VLOOKUP('Données projet'!$B$12,Paramètres!$A$1:$I$89,5,0)</f>
        <v>1.7385492791181465</v>
      </c>
      <c r="CA10" s="14">
        <f t="shared" si="39"/>
        <v>0.75124449522779846</v>
      </c>
      <c r="CB10" s="22">
        <f t="shared" si="10"/>
        <v>4.3363908236525202</v>
      </c>
      <c r="CC10" s="62">
        <f t="shared" si="11"/>
        <v>269.55861304587472</v>
      </c>
      <c r="CD10" s="62">
        <f ca="1">AVERAGE(OFFSET($CC$3,0,0,'Données projet'!$E$12+1,1))-AVERAGE(OFFSET($H$3,0,0,'Données projet'!$E$12+1,1))</f>
        <v>218.24409784339861</v>
      </c>
      <c r="CE10" s="62">
        <f t="shared" si="40"/>
        <v>118.89963447540509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7.4312217194570129</v>
      </c>
      <c r="N11" s="14">
        <f>IF('Données projet'!$A$36&gt;35,N10+M11-V10,IF(A11&lt;'Données projet'!$A$36,$K$205^A11,IF(A11='Données projet'!$A$36,'Données projet'!$B$36,N10+M11-V10)))</f>
        <v>9.748672435120179</v>
      </c>
      <c r="O11" s="14">
        <f>N11*VLOOKUP('Données projet'!$B$9,Paramètres!$A$1:$I$89,3,0)*VLOOKUP('Données projet'!$B$9,Paramètres!$A$1:$I$89,5,0)</f>
        <v>5.8297061162018684</v>
      </c>
      <c r="P11" s="14">
        <f t="shared" si="33"/>
        <v>2.1881518405377438</v>
      </c>
      <c r="Q11" s="22">
        <f t="shared" si="2"/>
        <v>13.96443594132149</v>
      </c>
      <c r="R11" s="62">
        <f t="shared" si="0"/>
        <v>280.40888038576594</v>
      </c>
      <c r="S11" s="62">
        <f ca="1">AVERAGE(OFFSET($R$3,0,0,'Données projet'!$E$9+1,1))-AVERAGE(OFFSET($H$3,0,0,'Données projet'!$E$9+1,1))</f>
        <v>257.80952690600492</v>
      </c>
      <c r="T11" s="62">
        <f t="shared" si="34"/>
        <v>269.95358755269427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3.92</v>
      </c>
      <c r="AI11" s="14">
        <f>IF('Données projet'!$A$62&gt;35,AI10+AH11-AQ10,IF(A11&lt;'Données projet'!$A$62,$AF$205^A11,IF(A11='Données projet'!$A$62,'Données projet'!$B$62,AI10+AH11-AQ10)))</f>
        <v>4.33702918082788</v>
      </c>
      <c r="AJ11" s="14">
        <f>AI11*VLOOKUP('Données projet'!$B$10,Paramètres!$A$1:$I$89,3,0)*VLOOKUP('Données projet'!$B$10,Paramètres!$A$1:$I$89,5,0)</f>
        <v>2.4807806914335475</v>
      </c>
      <c r="AK11" s="14">
        <f t="shared" si="35"/>
        <v>1.0285143401594736</v>
      </c>
      <c r="AL11" s="22">
        <f t="shared" si="4"/>
        <v>6.1120221800245114</v>
      </c>
      <c r="AM11" s="62">
        <f t="shared" si="5"/>
        <v>272.55646662446895</v>
      </c>
      <c r="AN11" s="62">
        <f ca="1">AVERAGE(OFFSET($AM$3,0,0,'Données projet'!$E$10+1,1))-AVERAGE(OFFSET($H$3,0,0,'Données projet'!$E$10+1,1))</f>
        <v>258.09881752732008</v>
      </c>
      <c r="AO11" s="62">
        <f t="shared" si="36"/>
        <v>214.72899476643335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1.2</v>
      </c>
      <c r="BD11" s="13">
        <f>IF('Données projet'!$A$88&gt;35,BD10+BC11-BL10,IF(A11&lt;'Données projet'!$A$88,$BA$205^A11,IF(A11='Données projet'!$A$88,'Données projet'!$B$88,BD10+BC11-BL10)))</f>
        <v>2.9694690391391689</v>
      </c>
      <c r="BE11" s="14">
        <f>BD11*VLOOKUP('Données projet'!$B$11,Paramètres!$A$1:$I$89,3,0)*VLOOKUP('Données projet'!$B$11,Paramètres!$A$1:$I$89,5,0)</f>
        <v>2.8720704546554043</v>
      </c>
      <c r="BF11" s="14">
        <f t="shared" si="37"/>
        <v>1.1706127387002112</v>
      </c>
      <c r="BG11" s="22">
        <f t="shared" si="7"/>
        <v>7.04100656176103</v>
      </c>
      <c r="BH11" s="62">
        <f t="shared" si="8"/>
        <v>273.48545100620549</v>
      </c>
      <c r="BI11" s="62">
        <f ca="1">AVERAGE(OFFSET($BH$3,0,0,'Données projet'!$E$11+1,1))-AVERAGE(OFFSET($H$3,0,0,'Données projet'!$E$11+1,1))</f>
        <v>298.18906674058809</v>
      </c>
      <c r="BJ11" s="62">
        <f t="shared" si="38"/>
        <v>154.08406475869634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1.2</v>
      </c>
      <c r="BY11" s="13">
        <f>IF('Données projet'!$A$114&gt;35,BY10+BX11-CG10,IF(A11&lt;'Données projet'!$A$114,$BV$205^A11,IF(A11='Données projet'!$A$114,'Données projet'!$B$114,BY10+BX11-CG10)))</f>
        <v>2.9694690391391689</v>
      </c>
      <c r="BZ11" s="14">
        <f>BY11*VLOOKUP('Données projet'!$B$12,Paramètres!$A$1:$I$89,3,0)*VLOOKUP('Données projet'!$B$12,Paramètres!$A$1:$I$89,5,0)</f>
        <v>1.9919198314545545</v>
      </c>
      <c r="CA11" s="14">
        <f t="shared" si="39"/>
        <v>0.84720532408335292</v>
      </c>
      <c r="CB11" s="22">
        <f t="shared" si="10"/>
        <v>4.9448096458951891</v>
      </c>
      <c r="CC11" s="62">
        <f t="shared" si="11"/>
        <v>271.38925409033965</v>
      </c>
      <c r="CD11" s="62">
        <f ca="1">AVERAGE(OFFSET($CC$3,0,0,'Données projet'!$E$12+1,1))-AVERAGE(OFFSET($H$3,0,0,'Données projet'!$E$12+1,1))</f>
        <v>218.24409784339861</v>
      </c>
      <c r="CE11" s="62">
        <f t="shared" si="40"/>
        <v>118.89963447540509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7.4312217194570129</v>
      </c>
      <c r="N12" s="14">
        <f>IF('Données projet'!$A$36&gt;35,N11+M12-V11,IF(A12&lt;'Données projet'!$A$36,$K$205^A12,IF(A12='Données projet'!$A$36,'Données projet'!$B$36,N11+M12-V11)))</f>
        <v>12.958766444511483</v>
      </c>
      <c r="O12" s="14">
        <f>N12*VLOOKUP('Données projet'!$B$9,Paramètres!$A$1:$I$89,3,0)*VLOOKUP('Données projet'!$B$9,Paramètres!$A$1:$I$89,5,0)</f>
        <v>7.7493423338178671</v>
      </c>
      <c r="P12" s="14">
        <f t="shared" si="33"/>
        <v>2.8138859005026107</v>
      </c>
      <c r="Q12" s="22">
        <f t="shared" si="2"/>
        <v>18.397622508108167</v>
      </c>
      <c r="R12" s="62">
        <f t="shared" si="0"/>
        <v>286.06428917477484</v>
      </c>
      <c r="S12" s="62">
        <f ca="1">AVERAGE(OFFSET($R$3,0,0,'Données projet'!$E$9+1,1))-AVERAGE(OFFSET($H$3,0,0,'Données projet'!$E$9+1,1))</f>
        <v>257.80952690600492</v>
      </c>
      <c r="T12" s="62">
        <f t="shared" si="34"/>
        <v>269.95358755269427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3.92</v>
      </c>
      <c r="AI12" s="14">
        <f>IF('Données projet'!$A$62&gt;35,AI11+AH12-AQ11,IF(A12&lt;'Données projet'!$A$62,$AF$205^A12,IF(A12='Données projet'!$A$62,'Données projet'!$B$62,AI11+AH12-AQ11)))</f>
        <v>5.2100439546428507</v>
      </c>
      <c r="AJ12" s="14">
        <f>AI12*VLOOKUP('Données projet'!$B$10,Paramètres!$A$1:$I$89,3,0)*VLOOKUP('Données projet'!$B$10,Paramètres!$A$1:$I$89,5,0)</f>
        <v>2.980145142055711</v>
      </c>
      <c r="AK12" s="14">
        <f t="shared" si="35"/>
        <v>1.2094509101752824</v>
      </c>
      <c r="AL12" s="22">
        <f t="shared" si="4"/>
        <v>7.2968797909689798</v>
      </c>
      <c r="AM12" s="62">
        <f t="shared" si="5"/>
        <v>274.96354645763569</v>
      </c>
      <c r="AN12" s="62">
        <f ca="1">AVERAGE(OFFSET($AM$3,0,0,'Données projet'!$E$10+1,1))-AVERAGE(OFFSET($H$3,0,0,'Données projet'!$E$10+1,1))</f>
        <v>258.09881752732008</v>
      </c>
      <c r="AO12" s="62">
        <f t="shared" si="36"/>
        <v>214.72899476643335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1.2</v>
      </c>
      <c r="BD12" s="13">
        <f>IF('Données projet'!$A$88&gt;35,BD11+BC12-BL11,IF(A12&lt;'Données projet'!$A$88,$BA$205^A12,IF(A12='Données projet'!$A$88,'Données projet'!$B$88,BD11+BC12-BL11)))</f>
        <v>3.4022298585357786</v>
      </c>
      <c r="BE12" s="14">
        <f>BD12*VLOOKUP('Données projet'!$B$11,Paramètres!$A$1:$I$89,3,0)*VLOOKUP('Données projet'!$B$11,Paramètres!$A$1:$I$89,5,0)</f>
        <v>3.2906367191758048</v>
      </c>
      <c r="BF12" s="14">
        <f t="shared" si="37"/>
        <v>1.3201419124753617</v>
      </c>
      <c r="BG12" s="22">
        <f t="shared" si="7"/>
        <v>8.0304394501257814</v>
      </c>
      <c r="BH12" s="62">
        <f t="shared" si="8"/>
        <v>275.69710611679244</v>
      </c>
      <c r="BI12" s="62">
        <f ca="1">AVERAGE(OFFSET($BH$3,0,0,'Données projet'!$E$11+1,1))-AVERAGE(OFFSET($H$3,0,0,'Données projet'!$E$11+1,1))</f>
        <v>298.18906674058809</v>
      </c>
      <c r="BJ12" s="62">
        <f t="shared" si="38"/>
        <v>154.08406475869634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1.2</v>
      </c>
      <c r="BY12" s="13">
        <f>IF('Données projet'!$A$114&gt;35,BY11+BX12-CG11,IF(A12&lt;'Données projet'!$A$114,$BV$205^A12,IF(A12='Données projet'!$A$114,'Données projet'!$B$114,BY11+BX12-CG11)))</f>
        <v>3.4022298585357786</v>
      </c>
      <c r="BZ12" s="14">
        <f>BY12*VLOOKUP('Données projet'!$B$12,Paramètres!$A$1:$I$89,3,0)*VLOOKUP('Données projet'!$B$12,Paramètres!$A$1:$I$89,5,0)</f>
        <v>2.2822157891058001</v>
      </c>
      <c r="CA12" s="14">
        <f t="shared" si="39"/>
        <v>0.95542378774773573</v>
      </c>
      <c r="CB12" s="22">
        <f t="shared" si="10"/>
        <v>5.6388889296865754</v>
      </c>
      <c r="CC12" s="62">
        <f t="shared" si="11"/>
        <v>273.30555559635326</v>
      </c>
      <c r="CD12" s="62">
        <f ca="1">AVERAGE(OFFSET($CC$3,0,0,'Données projet'!$E$12+1,1))-AVERAGE(OFFSET($H$3,0,0,'Données projet'!$E$12+1,1))</f>
        <v>218.24409784339861</v>
      </c>
      <c r="CE12" s="62">
        <f t="shared" si="40"/>
        <v>118.89963447540509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7.4312217194570129</v>
      </c>
      <c r="N13" s="14">
        <f>IF('Données projet'!$A$36&gt;35,N12+M13-V12,IF(A13&lt;'Données projet'!$A$36,$K$205^A13,IF(A13='Données projet'!$A$36,'Données projet'!$B$36,N12+M13-V12)))</f>
        <v>17.225897052240693</v>
      </c>
      <c r="O13" s="14">
        <f>N13*VLOOKUP('Données projet'!$B$9,Paramètres!$A$1:$I$89,3,0)*VLOOKUP('Données projet'!$B$9,Paramètres!$A$1:$I$89,5,0)</f>
        <v>10.301086437239935</v>
      </c>
      <c r="P13" s="14">
        <f t="shared" si="33"/>
        <v>3.6185577775542006</v>
      </c>
      <c r="Q13" s="22">
        <f t="shared" si="2"/>
        <v>24.243380340766453</v>
      </c>
      <c r="R13" s="62">
        <f t="shared" si="0"/>
        <v>293.13226922965532</v>
      </c>
      <c r="S13" s="62">
        <f ca="1">AVERAGE(OFFSET($R$3,0,0,'Données projet'!$E$9+1,1))-AVERAGE(OFFSET($H$3,0,0,'Données projet'!$E$9+1,1))</f>
        <v>257.80952690600492</v>
      </c>
      <c r="T13" s="62">
        <f t="shared" si="34"/>
        <v>269.95358755269427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3.92</v>
      </c>
      <c r="AI13" s="14">
        <f>IF('Données projet'!$A$62&gt;35,AI12+AH13-AQ12,IF(A13&lt;'Données projet'!$A$62,$AF$205^A13,IF(A13='Données projet'!$A$62,'Données projet'!$B$62,AI12+AH13-AQ12)))</f>
        <v>6.2587907246058672</v>
      </c>
      <c r="AJ13" s="14">
        <f>AI13*VLOOKUP('Données projet'!$B$10,Paramètres!$A$1:$I$89,3,0)*VLOOKUP('Données projet'!$B$10,Paramètres!$A$1:$I$89,5,0)</f>
        <v>3.5800282944745563</v>
      </c>
      <c r="AK13" s="14">
        <f t="shared" si="35"/>
        <v>1.422217899166105</v>
      </c>
      <c r="AL13" s="22">
        <f t="shared" si="4"/>
        <v>8.712245453924151</v>
      </c>
      <c r="AM13" s="62">
        <f t="shared" si="5"/>
        <v>277.601134342813</v>
      </c>
      <c r="AN13" s="62">
        <f ca="1">AVERAGE(OFFSET($AM$3,0,0,'Données projet'!$E$10+1,1))-AVERAGE(OFFSET($H$3,0,0,'Données projet'!$E$10+1,1))</f>
        <v>258.09881752732008</v>
      </c>
      <c r="AO13" s="62">
        <f t="shared" si="36"/>
        <v>214.72899476643335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1.2</v>
      </c>
      <c r="BD13" s="13">
        <f>IF('Données projet'!$A$88&gt;35,BD12+BC13-BL12,IF(A13&lt;'Données projet'!$A$88,$BA$205^A13,IF(A13='Données projet'!$A$88,'Données projet'!$B$88,BD12+BC13-BL12)))</f>
        <v>3.8980598409161908</v>
      </c>
      <c r="BE13" s="14">
        <f>BD13*VLOOKUP('Données projet'!$B$11,Paramètres!$A$1:$I$89,3,0)*VLOOKUP('Données projet'!$B$11,Paramètres!$A$1:$I$89,5,0)</f>
        <v>3.7702034781341398</v>
      </c>
      <c r="BF13" s="14">
        <f t="shared" si="37"/>
        <v>1.4887713173266797</v>
      </c>
      <c r="BG13" s="22">
        <f t="shared" si="7"/>
        <v>9.1593811020942599</v>
      </c>
      <c r="BH13" s="62">
        <f t="shared" si="8"/>
        <v>278.0482699909831</v>
      </c>
      <c r="BI13" s="62">
        <f ca="1">AVERAGE(OFFSET($BH$3,0,0,'Données projet'!$E$11+1,1))-AVERAGE(OFFSET($H$3,0,0,'Données projet'!$E$11+1,1))</f>
        <v>298.18906674058809</v>
      </c>
      <c r="BJ13" s="62">
        <f t="shared" si="38"/>
        <v>154.08406475869634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1.2</v>
      </c>
      <c r="BY13" s="13">
        <f>IF('Données projet'!$A$114&gt;35,BY12+BX13-CG12,IF(A13&lt;'Données projet'!$A$114,$BV$205^A13,IF(A13='Données projet'!$A$114,'Données projet'!$B$114,BY12+BX13-CG12)))</f>
        <v>3.8980598409161908</v>
      </c>
      <c r="BZ13" s="14">
        <f>BY13*VLOOKUP('Données projet'!$B$12,Paramètres!$A$1:$I$89,3,0)*VLOOKUP('Données projet'!$B$12,Paramètres!$A$1:$I$89,5,0)</f>
        <v>2.614818541286581</v>
      </c>
      <c r="CA13" s="14">
        <f t="shared" si="39"/>
        <v>1.0774656252094335</v>
      </c>
      <c r="CB13" s="22">
        <f t="shared" si="10"/>
        <v>6.4307282566472246</v>
      </c>
      <c r="CC13" s="62">
        <f t="shared" si="11"/>
        <v>275.31961714553609</v>
      </c>
      <c r="CD13" s="62">
        <f ca="1">AVERAGE(OFFSET($CC$3,0,0,'Données projet'!$E$12+1,1))-AVERAGE(OFFSET($H$3,0,0,'Données projet'!$E$12+1,1))</f>
        <v>218.24409784339861</v>
      </c>
      <c r="CE13" s="62">
        <f t="shared" si="40"/>
        <v>118.89963447540509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7.4312217194570129</v>
      </c>
      <c r="N14" s="14">
        <f>IF('Données projet'!$A$36&gt;35,N13+M14-V13,IF(A14&lt;'Données projet'!$A$36,$K$205^A14,IF(A14='Données projet'!$A$36,'Données projet'!$B$36,N13+M14-V13)))</f>
        <v>22.89813081553541</v>
      </c>
      <c r="O14" s="14">
        <f>N14*VLOOKUP('Données projet'!$B$9,Paramètres!$A$1:$I$89,3,0)*VLOOKUP('Données projet'!$B$9,Paramètres!$A$1:$I$89,5,0)</f>
        <v>13.693082227690176</v>
      </c>
      <c r="P14" s="14">
        <f t="shared" si="33"/>
        <v>4.6533373606794726</v>
      </c>
      <c r="Q14" s="22">
        <f t="shared" si="2"/>
        <v>31.953347449743802</v>
      </c>
      <c r="R14" s="62">
        <f t="shared" si="0"/>
        <v>302.06445856085497</v>
      </c>
      <c r="S14" s="62">
        <f ca="1">AVERAGE(OFFSET($R$3,0,0,'Données projet'!$E$9+1,1))-AVERAGE(OFFSET($H$3,0,0,'Données projet'!$E$9+1,1))</f>
        <v>257.80952690600492</v>
      </c>
      <c r="T14" s="62">
        <f t="shared" si="34"/>
        <v>269.95358755269427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3.92</v>
      </c>
      <c r="AI14" s="14">
        <f>IF('Données projet'!$A$62&gt;35,AI13+AH14-AQ13,IF(A14&lt;'Données projet'!$A$62,$AF$205^A14,IF(A14='Données projet'!$A$62,'Données projet'!$B$62,AI13+AH14-AQ13)))</f>
        <v>7.518643158375756</v>
      </c>
      <c r="AJ14" s="14">
        <f>AI14*VLOOKUP('Données projet'!$B$10,Paramètres!$A$1:$I$89,3,0)*VLOOKUP('Données projet'!$B$10,Paramètres!$A$1:$I$89,5,0)</f>
        <v>4.3006638865909332</v>
      </c>
      <c r="AK14" s="14">
        <f t="shared" si="35"/>
        <v>1.6724149245671369</v>
      </c>
      <c r="AL14" s="22">
        <f t="shared" si="4"/>
        <v>10.403112262766973</v>
      </c>
      <c r="AM14" s="62">
        <f t="shared" si="5"/>
        <v>280.51422337387811</v>
      </c>
      <c r="AN14" s="62">
        <f ca="1">AVERAGE(OFFSET($AM$3,0,0,'Données projet'!$E$10+1,1))-AVERAGE(OFFSET($H$3,0,0,'Données projet'!$E$10+1,1))</f>
        <v>258.09881752732008</v>
      </c>
      <c r="AO14" s="62">
        <f t="shared" si="36"/>
        <v>214.72899476643335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1.2</v>
      </c>
      <c r="BD14" s="13">
        <f>IF('Données projet'!$A$88&gt;35,BD13+BC14-BL13,IF(A14&lt;'Données projet'!$A$88,$BA$205^A14,IF(A14='Données projet'!$A$88,'Données projet'!$B$88,BD13+BC14-BL13)))</f>
        <v>4.4661504822319662</v>
      </c>
      <c r="BE14" s="14">
        <f>BD14*VLOOKUP('Données projet'!$B$11,Paramètres!$A$1:$I$89,3,0)*VLOOKUP('Données projet'!$B$11,Paramètres!$A$1:$I$89,5,0)</f>
        <v>4.3196607464147583</v>
      </c>
      <c r="BF14" s="14">
        <f t="shared" si="37"/>
        <v>1.6789407368626241</v>
      </c>
      <c r="BG14" s="22">
        <f t="shared" si="7"/>
        <v>10.44756425004144</v>
      </c>
      <c r="BH14" s="62">
        <f t="shared" si="8"/>
        <v>280.55867536115261</v>
      </c>
      <c r="BI14" s="62">
        <f ca="1">AVERAGE(OFFSET($BH$3,0,0,'Données projet'!$E$11+1,1))-AVERAGE(OFFSET($H$3,0,0,'Données projet'!$E$11+1,1))</f>
        <v>298.18906674058809</v>
      </c>
      <c r="BJ14" s="62">
        <f t="shared" si="38"/>
        <v>154.08406475869634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1.2</v>
      </c>
      <c r="BY14" s="13">
        <f>IF('Données projet'!$A$114&gt;35,BY13+BX14-CG13,IF(A14&lt;'Données projet'!$A$114,$BV$205^A14,IF(A14='Données projet'!$A$114,'Données projet'!$B$114,BY13+BX14-CG13)))</f>
        <v>4.4661504822319662</v>
      </c>
      <c r="BZ14" s="14">
        <f>BY14*VLOOKUP('Données projet'!$B$12,Paramètres!$A$1:$I$89,3,0)*VLOOKUP('Données projet'!$B$12,Paramètres!$A$1:$I$89,5,0)</f>
        <v>2.995893743481203</v>
      </c>
      <c r="CA14" s="14">
        <f t="shared" si="39"/>
        <v>1.2150965764047741</v>
      </c>
      <c r="CB14" s="22">
        <f t="shared" si="10"/>
        <v>7.3341414738014095</v>
      </c>
      <c r="CC14" s="62">
        <f t="shared" si="11"/>
        <v>277.44525258491257</v>
      </c>
      <c r="CD14" s="62">
        <f ca="1">AVERAGE(OFFSET($CC$3,0,0,'Données projet'!$E$12+1,1))-AVERAGE(OFFSET($H$3,0,0,'Données projet'!$E$12+1,1))</f>
        <v>218.24409784339861</v>
      </c>
      <c r="CE14" s="62">
        <f t="shared" si="40"/>
        <v>118.89963447540509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7.4312217194570129</v>
      </c>
      <c r="N15" s="14">
        <f>IF('Données projet'!$A$36&gt;35,N14+M15-V14,IF(A15&lt;'Données projet'!$A$36,$K$205^A15,IF(A15='Données projet'!$A$36,'Données projet'!$B$36,N14+M15-V14)))</f>
        <v>30.438147473844893</v>
      </c>
      <c r="O15" s="14">
        <f>N15*VLOOKUP('Données projet'!$B$9,Paramètres!$A$1:$I$89,3,0)*VLOOKUP('Données projet'!$B$9,Paramètres!$A$1:$I$89,5,0)</f>
        <v>18.202012189359248</v>
      </c>
      <c r="P15" s="14">
        <f t="shared" si="33"/>
        <v>5.984027317903192</v>
      </c>
      <c r="Q15" s="22">
        <f t="shared" si="2"/>
        <v>42.124018808482084</v>
      </c>
      <c r="R15" s="62">
        <f t="shared" si="0"/>
        <v>313.45735214181542</v>
      </c>
      <c r="S15" s="62">
        <f ca="1">AVERAGE(OFFSET($R$3,0,0,'Données projet'!$E$9+1,1))-AVERAGE(OFFSET($H$3,0,0,'Données projet'!$E$9+1,1))</f>
        <v>257.80952690600492</v>
      </c>
      <c r="T15" s="62">
        <f t="shared" si="34"/>
        <v>269.95358755269427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3.92</v>
      </c>
      <c r="AI15" s="14">
        <f>IF('Données projet'!$A$62&gt;35,AI14+AH15-AQ14,IF(A15&lt;'Données projet'!$A$62,$AF$205^A15,IF(A15='Données projet'!$A$62,'Données projet'!$B$62,AI14+AH15-AQ14)))</f>
        <v>9.0320954047477606</v>
      </c>
      <c r="AJ15" s="14">
        <f>AI15*VLOOKUP('Données projet'!$B$10,Paramètres!$A$1:$I$89,3,0)*VLOOKUP('Données projet'!$B$10,Paramètres!$A$1:$I$89,5,0)</f>
        <v>5.1663585715157199</v>
      </c>
      <c r="AK15" s="14">
        <f t="shared" si="35"/>
        <v>1.9666266902946876</v>
      </c>
      <c r="AL15" s="22">
        <f t="shared" si="4"/>
        <v>12.423282664319792</v>
      </c>
      <c r="AM15" s="62">
        <f t="shared" si="5"/>
        <v>283.75661599765311</v>
      </c>
      <c r="AN15" s="62">
        <f ca="1">AVERAGE(OFFSET($AM$3,0,0,'Données projet'!$E$10+1,1))-AVERAGE(OFFSET($H$3,0,0,'Données projet'!$E$10+1,1))</f>
        <v>258.09881752732008</v>
      </c>
      <c r="AO15" s="62">
        <f t="shared" si="36"/>
        <v>214.72899476643335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1.2</v>
      </c>
      <c r="BD15" s="13">
        <f>IF('Données projet'!$A$88&gt;35,BD14+BC15-BL14,IF(A15&lt;'Données projet'!$A$88,$BA$205^A15,IF(A15='Données projet'!$A$88,'Données projet'!$B$88,BD14+BC15-BL14)))</f>
        <v>5.1170328173444979</v>
      </c>
      <c r="BE15" s="14">
        <f>BD15*VLOOKUP('Données projet'!$B$11,Paramètres!$A$1:$I$89,3,0)*VLOOKUP('Données projet'!$B$11,Paramètres!$A$1:$I$89,5,0)</f>
        <v>4.9491941409355986</v>
      </c>
      <c r="BF15" s="14">
        <f t="shared" si="37"/>
        <v>1.8934016024425293</v>
      </c>
      <c r="BG15" s="22">
        <f t="shared" si="7"/>
        <v>11.917520919716907</v>
      </c>
      <c r="BH15" s="62">
        <f t="shared" si="8"/>
        <v>283.25085425305019</v>
      </c>
      <c r="BI15" s="62">
        <f ca="1">AVERAGE(OFFSET($BH$3,0,0,'Données projet'!$E$11+1,1))-AVERAGE(OFFSET($H$3,0,0,'Données projet'!$E$11+1,1))</f>
        <v>298.18906674058809</v>
      </c>
      <c r="BJ15" s="62">
        <f t="shared" si="38"/>
        <v>154.08406475869634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1.2</v>
      </c>
      <c r="BY15" s="13">
        <f>IF('Données projet'!$A$114&gt;35,BY14+BX15-CG14,IF(A15&lt;'Données projet'!$A$114,$BV$205^A15,IF(A15='Données projet'!$A$114,'Données projet'!$B$114,BY14+BX15-CG14)))</f>
        <v>5.1170328173444979</v>
      </c>
      <c r="BZ15" s="14">
        <f>BY15*VLOOKUP('Données projet'!$B$12,Paramètres!$A$1:$I$89,3,0)*VLOOKUP('Données projet'!$B$12,Paramètres!$A$1:$I$89,5,0)</f>
        <v>3.4325056138746892</v>
      </c>
      <c r="CA15" s="14">
        <f t="shared" si="39"/>
        <v>1.3703079295022655</v>
      </c>
      <c r="CB15" s="22">
        <f t="shared" si="10"/>
        <v>8.3649002547148612</v>
      </c>
      <c r="CC15" s="62">
        <f t="shared" si="11"/>
        <v>279.6982335880482</v>
      </c>
      <c r="CD15" s="62">
        <f ca="1">AVERAGE(OFFSET($CC$3,0,0,'Données projet'!$E$12+1,1))-AVERAGE(OFFSET($H$3,0,0,'Données projet'!$E$12+1,1))</f>
        <v>218.24409784339861</v>
      </c>
      <c r="CE15" s="62">
        <f t="shared" si="40"/>
        <v>118.89963447540509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7.4312217194570129</v>
      </c>
      <c r="N16" s="14">
        <f>IF('Données projet'!$A$36&gt;35,N15+M16-V15,IF(A16&lt;'Données projet'!$A$36,$K$205^A16,IF(A16='Données projet'!$A$36,'Données projet'!$B$36,N15+M16-V15)))</f>
        <v>40.460980378841768</v>
      </c>
      <c r="O16" s="14">
        <f>N16*VLOOKUP('Données projet'!$B$9,Paramètres!$A$1:$I$89,3,0)*VLOOKUP('Données projet'!$B$9,Paramètres!$A$1:$I$89,5,0)</f>
        <v>24.195666266547377</v>
      </c>
      <c r="P16" s="14">
        <f t="shared" si="33"/>
        <v>7.6952475537219458</v>
      </c>
      <c r="Q16" s="22">
        <f t="shared" si="2"/>
        <v>55.543341570302402</v>
      </c>
      <c r="R16" s="62">
        <f t="shared" si="0"/>
        <v>328.09889712585795</v>
      </c>
      <c r="S16" s="62">
        <f ca="1">AVERAGE(OFFSET($R$3,0,0,'Données projet'!$E$9+1,1))-AVERAGE(OFFSET($H$3,0,0,'Données projet'!$E$9+1,1))</f>
        <v>257.80952690600492</v>
      </c>
      <c r="T16" s="62">
        <f t="shared" si="34"/>
        <v>269.95358755269427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3.92</v>
      </c>
      <c r="AI16" s="14">
        <f>IF('Données projet'!$A$62&gt;35,AI15+AH16-AQ15,IF(A16&lt;'Données projet'!$A$62,$AF$205^A16,IF(A16='Données projet'!$A$62,'Données projet'!$B$62,AI15+AH16-AQ15)))</f>
        <v>10.850195398565635</v>
      </c>
      <c r="AJ16" s="14">
        <f>AI16*VLOOKUP('Données projet'!$B$10,Paramètres!$A$1:$I$89,3,0)*VLOOKUP('Données projet'!$B$10,Paramètres!$A$1:$I$89,5,0)</f>
        <v>6.2063117679795434</v>
      </c>
      <c r="AK16" s="14">
        <f t="shared" si="35"/>
        <v>2.3125962834734182</v>
      </c>
      <c r="AL16" s="22">
        <f t="shared" si="4"/>
        <v>14.837098189613906</v>
      </c>
      <c r="AM16" s="62">
        <f t="shared" si="5"/>
        <v>287.39265374516947</v>
      </c>
      <c r="AN16" s="62">
        <f ca="1">AVERAGE(OFFSET($AM$3,0,0,'Données projet'!$E$10+1,1))-AVERAGE(OFFSET($H$3,0,0,'Données projet'!$E$10+1,1))</f>
        <v>258.09881752732008</v>
      </c>
      <c r="AO16" s="62">
        <f t="shared" si="36"/>
        <v>214.72899476643335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1.2</v>
      </c>
      <c r="BD16" s="13">
        <f>IF('Données projet'!$A$88&gt;35,BD15+BC16-BL15,IF(A16&lt;'Données projet'!$A$88,$BA$205^A16,IF(A16='Données projet'!$A$88,'Données projet'!$B$88,BD15+BC16-BL15)))</f>
        <v>5.8627726400958746</v>
      </c>
      <c r="BE16" s="14">
        <f>BD16*VLOOKUP('Données projet'!$B$11,Paramètres!$A$1:$I$89,3,0)*VLOOKUP('Données projet'!$B$11,Paramètres!$A$1:$I$89,5,0)</f>
        <v>5.6704736975007304</v>
      </c>
      <c r="BF16" s="14">
        <f t="shared" si="37"/>
        <v>2.1352568017564701</v>
      </c>
      <c r="BG16" s="22">
        <f t="shared" si="7"/>
        <v>13.594980619539625</v>
      </c>
      <c r="BH16" s="62">
        <f t="shared" si="8"/>
        <v>286.15053617509517</v>
      </c>
      <c r="BI16" s="62">
        <f ca="1">AVERAGE(OFFSET($BH$3,0,0,'Données projet'!$E$11+1,1))-AVERAGE(OFFSET($H$3,0,0,'Données projet'!$E$11+1,1))</f>
        <v>298.18906674058809</v>
      </c>
      <c r="BJ16" s="62">
        <f t="shared" si="38"/>
        <v>154.08406475869634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1.2</v>
      </c>
      <c r="BY16" s="13">
        <f>IF('Données projet'!$A$114&gt;35,BY15+BX16-CG15,IF(A16&lt;'Données projet'!$A$114,$BV$205^A16,IF(A16='Données projet'!$A$114,'Données projet'!$B$114,BY15+BX16-CG15)))</f>
        <v>5.8627726400958746</v>
      </c>
      <c r="BZ16" s="14">
        <f>BY16*VLOOKUP('Données projet'!$B$12,Paramètres!$A$1:$I$89,3,0)*VLOOKUP('Données projet'!$B$12,Paramètres!$A$1:$I$89,5,0)</f>
        <v>3.9327478869763128</v>
      </c>
      <c r="CA16" s="14">
        <f t="shared" si="39"/>
        <v>1.5453453314901533</v>
      </c>
      <c r="CB16" s="22">
        <f t="shared" si="10"/>
        <v>9.5410123554957611</v>
      </c>
      <c r="CC16" s="62">
        <f t="shared" si="11"/>
        <v>282.0965679110513</v>
      </c>
      <c r="CD16" s="62">
        <f ca="1">AVERAGE(OFFSET($CC$3,0,0,'Données projet'!$E$12+1,1))-AVERAGE(OFFSET($H$3,0,0,'Données projet'!$E$12+1,1))</f>
        <v>218.24409784339861</v>
      </c>
      <c r="CE16" s="62">
        <f t="shared" si="40"/>
        <v>118.89963447540509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7.4312217194570129</v>
      </c>
      <c r="N17" s="14">
        <f>IF('Données projet'!$A$36&gt;35,N16+M17-V16,IF(A17&lt;'Données projet'!$A$36,$K$205^A17,IF(A17='Données projet'!$A$36,'Données projet'!$B$36,N16+M17-V16)))</f>
        <v>53.784184291233551</v>
      </c>
      <c r="O17" s="14">
        <f>N17*VLOOKUP('Données projet'!$B$9,Paramètres!$A$1:$I$89,3,0)*VLOOKUP('Données projet'!$B$9,Paramètres!$A$1:$I$89,5,0)</f>
        <v>32.162942206157666</v>
      </c>
      <c r="P17" s="14">
        <f t="shared" si="33"/>
        <v>9.8958162734145461</v>
      </c>
      <c r="Q17" s="22">
        <f t="shared" si="2"/>
        <v>73.252337685254929</v>
      </c>
      <c r="R17" s="62">
        <f t="shared" si="0"/>
        <v>347.0301154630327</v>
      </c>
      <c r="S17" s="62">
        <f ca="1">AVERAGE(OFFSET($R$3,0,0,'Données projet'!$E$9+1,1))-AVERAGE(OFFSET($H$3,0,0,'Données projet'!$E$9+1,1))</f>
        <v>257.80952690600492</v>
      </c>
      <c r="T17" s="62">
        <f t="shared" si="34"/>
        <v>269.95358755269427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3.92</v>
      </c>
      <c r="AI17" s="14">
        <f>IF('Données projet'!$A$62&gt;35,AI16+AH17-AQ16,IF(A17&lt;'Données projet'!$A$62,$AF$205^A17,IF(A17='Données projet'!$A$62,'Données projet'!$B$62,AI16+AH17-AQ16)))</f>
        <v>13.0342666802624</v>
      </c>
      <c r="AJ17" s="14">
        <f>AI17*VLOOKUP('Données projet'!$B$10,Paramètres!$A$1:$I$89,3,0)*VLOOKUP('Données projet'!$B$10,Paramètres!$A$1:$I$89,5,0)</f>
        <v>7.4556005411100932</v>
      </c>
      <c r="AK17" s="14">
        <f t="shared" si="35"/>
        <v>2.7194289575789719</v>
      </c>
      <c r="AL17" s="22">
        <f t="shared" si="4"/>
        <v>17.721509710216786</v>
      </c>
      <c r="AM17" s="62">
        <f t="shared" si="5"/>
        <v>291.49928748799454</v>
      </c>
      <c r="AN17" s="62">
        <f ca="1">AVERAGE(OFFSET($AM$3,0,0,'Données projet'!$E$10+1,1))-AVERAGE(OFFSET($H$3,0,0,'Données projet'!$E$10+1,1))</f>
        <v>258.09881752732008</v>
      </c>
      <c r="AO17" s="62">
        <f t="shared" si="36"/>
        <v>214.72899476643335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1.2</v>
      </c>
      <c r="BD17" s="13">
        <f>IF('Données projet'!$A$88&gt;35,BD16+BC17-BL16,IF(A17&lt;'Données projet'!$A$88,$BA$205^A17,IF(A17='Données projet'!$A$88,'Données projet'!$B$88,BD16+BC17-BL16)))</f>
        <v>6.7171941741218459</v>
      </c>
      <c r="BE17" s="14">
        <f>BD17*VLOOKUP('Données projet'!$B$11,Paramètres!$A$1:$I$89,3,0)*VLOOKUP('Données projet'!$B$11,Paramètres!$A$1:$I$89,5,0)</f>
        <v>6.4968702052106497</v>
      </c>
      <c r="BF17" s="14">
        <f t="shared" si="37"/>
        <v>2.4080055723865681</v>
      </c>
      <c r="BG17" s="22">
        <f t="shared" si="7"/>
        <v>15.509325312648487</v>
      </c>
      <c r="BH17" s="62">
        <f t="shared" si="8"/>
        <v>289.28710309042629</v>
      </c>
      <c r="BI17" s="62">
        <f ca="1">AVERAGE(OFFSET($BH$3,0,0,'Données projet'!$E$11+1,1))-AVERAGE(OFFSET($H$3,0,0,'Données projet'!$E$11+1,1))</f>
        <v>298.18906674058809</v>
      </c>
      <c r="BJ17" s="62">
        <f t="shared" si="38"/>
        <v>154.08406475869634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1.2</v>
      </c>
      <c r="BY17" s="13">
        <f>IF('Données projet'!$A$114&gt;35,BY16+BX17-CG16,IF(A17&lt;'Données projet'!$A$114,$BV$205^A17,IF(A17='Données projet'!$A$114,'Données projet'!$B$114,BY16+BX17-CG16)))</f>
        <v>6.7171941741218459</v>
      </c>
      <c r="BZ17" s="14">
        <f>BY17*VLOOKUP('Données projet'!$B$12,Paramètres!$A$1:$I$89,3,0)*VLOOKUP('Données projet'!$B$12,Paramètres!$A$1:$I$89,5,0)</f>
        <v>4.5058938520009342</v>
      </c>
      <c r="CA17" s="14">
        <f t="shared" si="39"/>
        <v>1.7427412789078978</v>
      </c>
      <c r="CB17" s="22">
        <f t="shared" si="10"/>
        <v>10.883039519666218</v>
      </c>
      <c r="CC17" s="62">
        <f t="shared" si="11"/>
        <v>284.660817297444</v>
      </c>
      <c r="CD17" s="62">
        <f ca="1">AVERAGE(OFFSET($CC$3,0,0,'Données projet'!$E$12+1,1))-AVERAGE(OFFSET($H$3,0,0,'Données projet'!$E$12+1,1))</f>
        <v>218.24409784339861</v>
      </c>
      <c r="CE17" s="62">
        <f t="shared" si="40"/>
        <v>118.89963447540509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7.4312217194570129</v>
      </c>
      <c r="N18" s="14">
        <f>IF('Données projet'!$A$36&gt;35,N17+M18-V17,IF(A18&lt;'Données projet'!$A$36,$K$205^A18,IF(A18='Données projet'!$A$36,'Données projet'!$B$36,N17+M18-V17)))</f>
        <v>71.494522692931866</v>
      </c>
      <c r="O18" s="14">
        <f>N18*VLOOKUP('Données projet'!$B$9,Paramètres!$A$1:$I$89,3,0)*VLOOKUP('Données projet'!$B$9,Paramètres!$A$1:$I$89,5,0)</f>
        <v>42.753724570373258</v>
      </c>
      <c r="P18" s="14">
        <f t="shared" si="33"/>
        <v>12.725669841487028</v>
      </c>
      <c r="Q18" s="22">
        <f t="shared" si="2"/>
        <v>96.626611933989992</v>
      </c>
      <c r="R18" s="62">
        <f t="shared" si="0"/>
        <v>371.62661193398998</v>
      </c>
      <c r="S18" s="62">
        <f ca="1">AVERAGE(OFFSET($R$3,0,0,'Données projet'!$E$9+1,1))-AVERAGE(OFFSET($H$3,0,0,'Données projet'!$E$9+1,1))</f>
        <v>257.80952690600492</v>
      </c>
      <c r="T18" s="62">
        <f t="shared" si="34"/>
        <v>269.95358755269427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3.92</v>
      </c>
      <c r="AI18" s="14">
        <f>IF('Données projet'!$A$62&gt;35,AI17+AH18-AQ17,IF(A18&lt;'Données projet'!$A$62,$AF$205^A18,IF(A18='Données projet'!$A$62,'Données projet'!$B$62,AI17+AH18-AQ17)))</f>
        <v>15.657976806082024</v>
      </c>
      <c r="AJ18" s="14">
        <f>AI18*VLOOKUP('Données projet'!$B$10,Paramètres!$A$1:$I$89,3,0)*VLOOKUP('Données projet'!$B$10,Paramètres!$A$1:$I$89,5,0)</f>
        <v>8.9563627330789188</v>
      </c>
      <c r="AK18" s="14">
        <f t="shared" si="35"/>
        <v>3.1978317651759127</v>
      </c>
      <c r="AL18" s="22">
        <f t="shared" si="4"/>
        <v>21.168555417793829</v>
      </c>
      <c r="AM18" s="62">
        <f t="shared" si="5"/>
        <v>296.16855541779381</v>
      </c>
      <c r="AN18" s="62">
        <f ca="1">AVERAGE(OFFSET($AM$3,0,0,'Données projet'!$E$10+1,1))-AVERAGE(OFFSET($H$3,0,0,'Données projet'!$E$10+1,1))</f>
        <v>258.09881752732008</v>
      </c>
      <c r="AO18" s="62">
        <f t="shared" si="36"/>
        <v>214.72899476643335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1.2</v>
      </c>
      <c r="BD18" s="13">
        <f>IF('Données projet'!$A$88&gt;35,BD17+BC18-BL17,IF(A18&lt;'Données projet'!$A$88,$BA$205^A18,IF(A18='Données projet'!$A$88,'Données projet'!$B$88,BD17+BC18-BL17)))</f>
        <v>7.6961363407260848</v>
      </c>
      <c r="BE18" s="14">
        <f>BD18*VLOOKUP('Données projet'!$B$11,Paramètres!$A$1:$I$89,3,0)*VLOOKUP('Données projet'!$B$11,Paramètres!$A$1:$I$89,5,0)</f>
        <v>7.4437030687502697</v>
      </c>
      <c r="BF18" s="14">
        <f t="shared" si="37"/>
        <v>2.7155941298840056</v>
      </c>
      <c r="BG18" s="22">
        <f t="shared" si="7"/>
        <v>17.694109287621362</v>
      </c>
      <c r="BH18" s="62">
        <f t="shared" si="8"/>
        <v>292.69410928762136</v>
      </c>
      <c r="BI18" s="62">
        <f ca="1">AVERAGE(OFFSET($BH$3,0,0,'Données projet'!$E$11+1,1))-AVERAGE(OFFSET($H$3,0,0,'Données projet'!$E$11+1,1))</f>
        <v>298.18906674058809</v>
      </c>
      <c r="BJ18" s="62">
        <f t="shared" si="38"/>
        <v>154.08406475869634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1.2</v>
      </c>
      <c r="BY18" s="13">
        <f>IF('Données projet'!$A$114&gt;35,BY17+BX18-CG17,IF(A18&lt;'Données projet'!$A$114,$BV$205^A18,IF(A18='Données projet'!$A$114,'Données projet'!$B$114,BY17+BX18-CG17)))</f>
        <v>7.6961363407260848</v>
      </c>
      <c r="BZ18" s="14">
        <f>BY18*VLOOKUP('Données projet'!$B$12,Paramètres!$A$1:$I$89,3,0)*VLOOKUP('Données projet'!$B$12,Paramètres!$A$1:$I$89,5,0)</f>
        <v>5.1625682573590579</v>
      </c>
      <c r="CA18" s="14">
        <f t="shared" si="39"/>
        <v>1.9653517588077616</v>
      </c>
      <c r="CB18" s="22">
        <f t="shared" si="10"/>
        <v>12.414460694823878</v>
      </c>
      <c r="CC18" s="62">
        <f t="shared" si="11"/>
        <v>287.4144606948239</v>
      </c>
      <c r="CD18" s="62">
        <f ca="1">AVERAGE(OFFSET($CC$3,0,0,'Données projet'!$E$12+1,1))-AVERAGE(OFFSET($H$3,0,0,'Données projet'!$E$12+1,1))</f>
        <v>218.24409784339861</v>
      </c>
      <c r="CE18" s="62">
        <f t="shared" si="40"/>
        <v>118.89963447540509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7.4312217194570129</v>
      </c>
      <c r="N19" s="14">
        <f>IF('Données projet'!$A$36&gt;35,N18+M19-V18,IF(A19&lt;'Données projet'!$A$36,$K$205^A19,IF(A19='Données projet'!$A$36,'Données projet'!$B$36,N18+M19-V18)))</f>
        <v>95.036614247271999</v>
      </c>
      <c r="O19" s="14">
        <f>N19*VLOOKUP('Données projet'!$B$9,Paramètres!$A$1:$I$89,3,0)*VLOOKUP('Données projet'!$B$9,Paramètres!$A$1:$I$89,5,0)</f>
        <v>56.831895319868664</v>
      </c>
      <c r="P19" s="14">
        <f t="shared" si="33"/>
        <v>16.364761474967661</v>
      </c>
      <c r="Q19" s="22">
        <f t="shared" si="2"/>
        <v>127.4841772510066</v>
      </c>
      <c r="R19" s="62">
        <f t="shared" si="0"/>
        <v>403.70639947322883</v>
      </c>
      <c r="S19" s="62">
        <f ca="1">AVERAGE(OFFSET($R$3,0,0,'Données projet'!$E$9+1,1))-AVERAGE(OFFSET($H$3,0,0,'Données projet'!$E$9+1,1))</f>
        <v>257.80952690600492</v>
      </c>
      <c r="T19" s="62">
        <f t="shared" si="34"/>
        <v>269.95358755269427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3.92</v>
      </c>
      <c r="AI19" s="14">
        <f>IF('Données projet'!$A$62&gt;35,AI18+AH19-AQ18,IF(A19&lt;'Données projet'!$A$62,$AF$205^A19,IF(A19='Données projet'!$A$62,'Données projet'!$B$62,AI18+AH19-AQ18)))</f>
        <v>18.809822115352553</v>
      </c>
      <c r="AJ19" s="14">
        <f>AI19*VLOOKUP('Données projet'!$B$10,Paramètres!$A$1:$I$89,3,0)*VLOOKUP('Données projet'!$B$10,Paramètres!$A$1:$I$89,5,0)</f>
        <v>10.759218249981661</v>
      </c>
      <c r="AK19" s="14">
        <f t="shared" si="35"/>
        <v>3.7603953469231675</v>
      </c>
      <c r="AL19" s="22">
        <f t="shared" si="4"/>
        <v>25.288327014609248</v>
      </c>
      <c r="AM19" s="62">
        <f t="shared" si="5"/>
        <v>301.51054923683148</v>
      </c>
      <c r="AN19" s="62">
        <f ca="1">AVERAGE(OFFSET($AM$3,0,0,'Données projet'!$E$10+1,1))-AVERAGE(OFFSET($H$3,0,0,'Données projet'!$E$10+1,1))</f>
        <v>258.09881752732008</v>
      </c>
      <c r="AO19" s="62">
        <f t="shared" si="36"/>
        <v>214.72899476643335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1.2</v>
      </c>
      <c r="BD19" s="13">
        <f>IF('Données projet'!$A$88&gt;35,BD18+BC19-BL18,IF(A19&lt;'Données projet'!$A$88,$BA$205^A19,IF(A19='Données projet'!$A$88,'Données projet'!$B$88,BD18+BC19-BL18)))</f>
        <v>8.8177463744060987</v>
      </c>
      <c r="BE19" s="14">
        <f>BD19*VLOOKUP('Données projet'!$B$11,Paramètres!$A$1:$I$89,3,0)*VLOOKUP('Données projet'!$B$11,Paramètres!$A$1:$I$89,5,0)</f>
        <v>8.528524293325578</v>
      </c>
      <c r="BF19" s="14">
        <f t="shared" si="37"/>
        <v>3.0624727628647754</v>
      </c>
      <c r="BG19" s="22">
        <f t="shared" si="7"/>
        <v>20.187653206198199</v>
      </c>
      <c r="BH19" s="62">
        <f t="shared" si="8"/>
        <v>296.40987542842043</v>
      </c>
      <c r="BI19" s="62">
        <f ca="1">AVERAGE(OFFSET($BH$3,0,0,'Données projet'!$E$11+1,1))-AVERAGE(OFFSET($H$3,0,0,'Données projet'!$E$11+1,1))</f>
        <v>298.18906674058809</v>
      </c>
      <c r="BJ19" s="62">
        <f t="shared" si="38"/>
        <v>154.08406475869634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1.2</v>
      </c>
      <c r="BY19" s="13">
        <f>IF('Données projet'!$A$114&gt;35,BY18+BX19-CG18,IF(A19&lt;'Données projet'!$A$114,$BV$205^A19,IF(A19='Données projet'!$A$114,'Données projet'!$B$114,BY18+BX19-CG18)))</f>
        <v>8.8177463744060987</v>
      </c>
      <c r="BZ19" s="14">
        <f>BY19*VLOOKUP('Données projet'!$B$12,Paramètres!$A$1:$I$89,3,0)*VLOOKUP('Données projet'!$B$12,Paramètres!$A$1:$I$89,5,0)</f>
        <v>5.9149442679516113</v>
      </c>
      <c r="CA19" s="14">
        <f t="shared" si="39"/>
        <v>2.2163975700795318</v>
      </c>
      <c r="CB19" s="22">
        <f t="shared" si="10"/>
        <v>14.162087034570909</v>
      </c>
      <c r="CC19" s="62">
        <f t="shared" si="11"/>
        <v>290.38430925679313</v>
      </c>
      <c r="CD19" s="62">
        <f ca="1">AVERAGE(OFFSET($CC$3,0,0,'Données projet'!$E$12+1,1))-AVERAGE(OFFSET($H$3,0,0,'Données projet'!$E$12+1,1))</f>
        <v>218.24409784339861</v>
      </c>
      <c r="CE19" s="62">
        <f t="shared" si="40"/>
        <v>118.89963447540509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>
        <f>VLOOKUP(A20,'Données projet'!$A$35:$I$55,2,0)</f>
        <v>126.33076923076922</v>
      </c>
      <c r="L20" s="13">
        <f>VLOOKUP(A20,'Données projet'!$A$35:$I$55,9,0)</f>
        <v>7.4312217194570129</v>
      </c>
      <c r="M20" s="13">
        <f t="array" ref="M20">INDEX(L:L,MIN(IF(ISNUMBER(L20:L216),ROW(L20:L216),"")))</f>
        <v>7.4312217194570129</v>
      </c>
      <c r="N20" s="14">
        <f>IF('Données projet'!$A$36&gt;35,N19+M20-V19,IF(A20&lt;'Données projet'!$A$36,$K$205^A20,IF(A20='Données projet'!$A$36,'Données projet'!$B$36,N19+M20-V19)))</f>
        <v>126.33076923076922</v>
      </c>
      <c r="O20" s="14">
        <f>N20*VLOOKUP('Données projet'!$B$9,Paramètres!$A$1:$I$89,3,0)*VLOOKUP('Données projet'!$B$9,Paramètres!$A$1:$I$89,5,0)</f>
        <v>75.5458</v>
      </c>
      <c r="P20" s="14">
        <f t="shared" si="33"/>
        <v>21.044504648353485</v>
      </c>
      <c r="Q20" s="22">
        <f t="shared" si="2"/>
        <v>168.22811392921565</v>
      </c>
      <c r="R20" s="62">
        <f t="shared" si="0"/>
        <v>445.67255837366008</v>
      </c>
      <c r="S20" s="62">
        <f ca="1">AVERAGE(OFFSET($R$3,0,0,'Données projet'!$E$9+1,1))-AVERAGE(OFFSET($H$3,0,0,'Données projet'!$E$9+1,1))</f>
        <v>257.80952690600492</v>
      </c>
      <c r="T20" s="62">
        <f t="shared" si="34"/>
        <v>269.95358755269427</v>
      </c>
      <c r="U20" s="16">
        <f>IF(ISNA(VLOOKUP(A20,'Données projet'!$A$35:$I$55,3,0)),0,VLOOKUP(A20,'Données projet'!$A$35:$I$55,3,0))</f>
        <v>1</v>
      </c>
      <c r="V20" s="16">
        <f>IF(ISNA(VLOOKUP(A20,'Données projet'!$A$35:$I$55,4,0)),0,VLOOKUP(A20,'Données projet'!$A$35:$I$55,4,0))</f>
        <v>42.084615384615383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0.5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14.247218669464779</v>
      </c>
      <c r="AC20" s="24">
        <f t="shared" si="3"/>
        <v>14.247218669464779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3.92</v>
      </c>
      <c r="AI20" s="14">
        <f>IF('Données projet'!$A$62&gt;35,AI19+AH20-AQ19,IF(A20&lt;'Données projet'!$A$62,$AF$205^A20,IF(A20='Données projet'!$A$62,'Données projet'!$B$62,AI19+AH20-AQ19)))</f>
        <v>22.596112664681932</v>
      </c>
      <c r="AJ20" s="14">
        <f>AI20*VLOOKUP('Données projet'!$B$10,Paramètres!$A$1:$I$89,3,0)*VLOOKUP('Données projet'!$B$10,Paramètres!$A$1:$I$89,5,0)</f>
        <v>12.924976444198066</v>
      </c>
      <c r="AK20" s="14">
        <f t="shared" si="35"/>
        <v>4.4219252929909976</v>
      </c>
      <c r="AL20" s="22">
        <f t="shared" si="4"/>
        <v>30.212520525604287</v>
      </c>
      <c r="AM20" s="62">
        <f t="shared" si="5"/>
        <v>307.65696497004876</v>
      </c>
      <c r="AN20" s="62">
        <f ca="1">AVERAGE(OFFSET($AM$3,0,0,'Données projet'!$E$10+1,1))-AVERAGE(OFFSET($H$3,0,0,'Données projet'!$E$10+1,1))</f>
        <v>258.09881752732008</v>
      </c>
      <c r="AO20" s="62">
        <f t="shared" si="36"/>
        <v>214.72899476643335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1.2</v>
      </c>
      <c r="BD20" s="13">
        <f>IF('Données projet'!$A$88&gt;35,BD19+BC20-BL19,IF(A20&lt;'Données projet'!$A$88,$BA$205^A20,IF(A20='Données projet'!$A$88,'Données projet'!$B$88,BD19+BC20-BL19)))</f>
        <v>10.102816228956828</v>
      </c>
      <c r="BE20" s="14">
        <f>BD20*VLOOKUP('Données projet'!$B$11,Paramètres!$A$1:$I$89,3,0)*VLOOKUP('Données projet'!$B$11,Paramètres!$A$1:$I$89,5,0)</f>
        <v>9.7714438566470445</v>
      </c>
      <c r="BF20" s="14">
        <f t="shared" si="37"/>
        <v>3.4536602211941068</v>
      </c>
      <c r="BG20" s="22">
        <f t="shared" si="7"/>
        <v>23.033722935573341</v>
      </c>
      <c r="BH20" s="62">
        <f t="shared" si="8"/>
        <v>300.47816738001779</v>
      </c>
      <c r="BI20" s="62">
        <f ca="1">AVERAGE(OFFSET($BH$3,0,0,'Données projet'!$E$11+1,1))-AVERAGE(OFFSET($H$3,0,0,'Données projet'!$E$11+1,1))</f>
        <v>298.18906674058809</v>
      </c>
      <c r="BJ20" s="62">
        <f t="shared" si="38"/>
        <v>154.08406475869634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1.2</v>
      </c>
      <c r="BY20" s="13">
        <f>IF('Données projet'!$A$114&gt;35,BY19+BX20-CG19,IF(A20&lt;'Données projet'!$A$114,$BV$205^A20,IF(A20='Données projet'!$A$114,'Données projet'!$B$114,BY19+BX20-CG19)))</f>
        <v>10.102816228956828</v>
      </c>
      <c r="BZ20" s="14">
        <f>BY20*VLOOKUP('Données projet'!$B$12,Paramètres!$A$1:$I$89,3,0)*VLOOKUP('Données projet'!$B$12,Paramètres!$A$1:$I$89,5,0)</f>
        <v>6.7769691263842402</v>
      </c>
      <c r="CA20" s="14">
        <f t="shared" si="39"/>
        <v>2.4995109229883949</v>
      </c>
      <c r="CB20" s="22">
        <f t="shared" si="10"/>
        <v>16.15653608599067</v>
      </c>
      <c r="CC20" s="62">
        <f t="shared" si="11"/>
        <v>293.60098053043515</v>
      </c>
      <c r="CD20" s="62">
        <f ca="1">AVERAGE(OFFSET($CC$3,0,0,'Données projet'!$E$12+1,1))-AVERAGE(OFFSET($H$3,0,0,'Données projet'!$E$12+1,1))</f>
        <v>218.24409784339861</v>
      </c>
      <c r="CE20" s="62">
        <f t="shared" si="40"/>
        <v>118.89963447540509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14.926923076923075</v>
      </c>
      <c r="N21" s="14">
        <f>IF('Données projet'!$A$36&gt;35,N20+M21-V20,IF(A21&lt;'Données projet'!$A$36,$K$205^A21,IF(A21='Données projet'!$A$36,'Données projet'!$B$36,N20+M21-V20)))</f>
        <v>99.173076923076934</v>
      </c>
      <c r="O21" s="14">
        <f>N21*VLOOKUP('Données projet'!$B$9,Paramètres!$A$1:$I$89,3,0)*VLOOKUP('Données projet'!$B$9,Paramètres!$A$1:$I$89,5,0)</f>
        <v>59.305500000000016</v>
      </c>
      <c r="P21" s="14">
        <f t="shared" si="33"/>
        <v>16.992558820122873</v>
      </c>
      <c r="Q21" s="22">
        <f t="shared" si="2"/>
        <v>132.88578577838067</v>
      </c>
      <c r="R21" s="62">
        <f t="shared" si="0"/>
        <v>411.55245244504738</v>
      </c>
      <c r="S21" s="62">
        <f ca="1">AVERAGE(OFFSET($R$3,0,0,'Données projet'!$E$9+1,1))-AVERAGE(OFFSET($H$3,0,0,'Données projet'!$E$9+1,1))</f>
        <v>257.80952690600492</v>
      </c>
      <c r="T21" s="62">
        <f t="shared" si="34"/>
        <v>269.95358755269427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10.074304934226127</v>
      </c>
      <c r="AC21" s="24">
        <f t="shared" si="3"/>
        <v>10.074304934226127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3.92</v>
      </c>
      <c r="AI21" s="14">
        <f>IF('Données projet'!$A$62&gt;35,AI20+AH21-AQ20,IF(A21&lt;'Données projet'!$A$62,$AF$205^A21,IF(A21='Données projet'!$A$62,'Données projet'!$B$62,AI20+AH21-AQ20)))</f>
        <v>27.144558009310522</v>
      </c>
      <c r="AJ21" s="14">
        <f>AI21*VLOOKUP('Données projet'!$B$10,Paramètres!$A$1:$I$89,3,0)*VLOOKUP('Données projet'!$B$10,Paramètres!$A$1:$I$89,5,0)</f>
        <v>15.526687181325618</v>
      </c>
      <c r="AK21" s="14">
        <f t="shared" si="35"/>
        <v>5.1998317976838608</v>
      </c>
      <c r="AL21" s="22">
        <f t="shared" si="4"/>
        <v>36.098687221774846</v>
      </c>
      <c r="AM21" s="62">
        <f t="shared" si="5"/>
        <v>314.76535388844155</v>
      </c>
      <c r="AN21" s="62">
        <f ca="1">AVERAGE(OFFSET($AM$3,0,0,'Données projet'!$E$10+1,1))-AVERAGE(OFFSET($H$3,0,0,'Données projet'!$E$10+1,1))</f>
        <v>258.09881752732008</v>
      </c>
      <c r="AO21" s="62">
        <f t="shared" si="36"/>
        <v>214.72899476643335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1.2</v>
      </c>
      <c r="BD21" s="13">
        <f>IF('Données projet'!$A$88&gt;35,BD20+BC21-BL20,IF(A21&lt;'Données projet'!$A$88,$BA$205^A21,IF(A21='Données projet'!$A$88,'Données projet'!$B$88,BD20+BC21-BL20)))</f>
        <v>11.575168010312384</v>
      </c>
      <c r="BE21" s="14">
        <f>BD21*VLOOKUP('Données projet'!$B$11,Paramètres!$A$1:$I$89,3,0)*VLOOKUP('Données projet'!$B$11,Paramètres!$A$1:$I$89,5,0)</f>
        <v>11.195502499574138</v>
      </c>
      <c r="BF21" s="14">
        <f t="shared" si="37"/>
        <v>3.8948163288481799</v>
      </c>
      <c r="BG21" s="22">
        <f t="shared" si="7"/>
        <v>26.282305292835535</v>
      </c>
      <c r="BH21" s="62">
        <f t="shared" si="8"/>
        <v>304.94897195950222</v>
      </c>
      <c r="BI21" s="62">
        <f ca="1">AVERAGE(OFFSET($BH$3,0,0,'Données projet'!$E$11+1,1))-AVERAGE(OFFSET($H$3,0,0,'Données projet'!$E$11+1,1))</f>
        <v>298.18906674058809</v>
      </c>
      <c r="BJ21" s="62">
        <f t="shared" si="38"/>
        <v>154.08406475869634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1.2</v>
      </c>
      <c r="BY21" s="13">
        <f>IF('Données projet'!$A$114&gt;35,BY20+BX21-CG20,IF(A21&lt;'Données projet'!$A$114,$BV$205^A21,IF(A21='Données projet'!$A$114,'Données projet'!$B$114,BY20+BX21-CG20)))</f>
        <v>11.575168010312384</v>
      </c>
      <c r="BZ21" s="14">
        <f>BY21*VLOOKUP('Données projet'!$B$12,Paramètres!$A$1:$I$89,3,0)*VLOOKUP('Données projet'!$B$12,Paramètres!$A$1:$I$89,5,0)</f>
        <v>7.7646227013175473</v>
      </c>
      <c r="CA21" s="14">
        <f t="shared" si="39"/>
        <v>2.8187879911428144</v>
      </c>
      <c r="CB21" s="22">
        <f t="shared" si="10"/>
        <v>18.432773622701795</v>
      </c>
      <c r="CC21" s="62">
        <f t="shared" si="11"/>
        <v>297.09944028936849</v>
      </c>
      <c r="CD21" s="62">
        <f ca="1">AVERAGE(OFFSET($CC$3,0,0,'Données projet'!$E$12+1,1))-AVERAGE(OFFSET($H$3,0,0,'Données projet'!$E$12+1,1))</f>
        <v>218.24409784339861</v>
      </c>
      <c r="CE21" s="62">
        <f t="shared" si="40"/>
        <v>118.89963447540509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14.926923076923075</v>
      </c>
      <c r="N22" s="14">
        <f>IF('Données projet'!$A$36&gt;35,N21+M22-V21,IF(A22&lt;'Données projet'!$A$36,$K$205^A22,IF(A22='Données projet'!$A$36,'Données projet'!$B$36,N21+M22-V21)))</f>
        <v>114.10000000000001</v>
      </c>
      <c r="O22" s="14">
        <f>N22*VLOOKUP('Données projet'!$B$9,Paramètres!$A$1:$I$89,3,0)*VLOOKUP('Données projet'!$B$9,Paramètres!$A$1:$I$89,5,0)</f>
        <v>68.231800000000007</v>
      </c>
      <c r="P22" s="14">
        <f t="shared" si="33"/>
        <v>19.233699497264624</v>
      </c>
      <c r="Q22" s="22">
        <f t="shared" si="2"/>
        <v>152.3357449577359</v>
      </c>
      <c r="R22" s="62">
        <f t="shared" si="0"/>
        <v>432.22463384662478</v>
      </c>
      <c r="S22" s="62">
        <f ca="1">AVERAGE(OFFSET($R$3,0,0,'Données projet'!$E$9+1,1))-AVERAGE(OFFSET($H$3,0,0,'Données projet'!$E$9+1,1))</f>
        <v>257.80952690600492</v>
      </c>
      <c r="T22" s="62">
        <f t="shared" si="34"/>
        <v>269.95358755269427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7.1236093347323903</v>
      </c>
      <c r="AC22" s="24">
        <f t="shared" si="3"/>
        <v>7.1236093347323903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3.92</v>
      </c>
      <c r="AI22" s="14">
        <f>IF('Données projet'!$A$62&gt;35,AI21+AH22-AQ21,IF(A22&lt;'Données projet'!$A$62,$AF$205^A22,IF(A22='Données projet'!$A$62,'Données projet'!$B$62,AI21+AH22-AQ21)))</f>
        <v>32.608574778107553</v>
      </c>
      <c r="AJ22" s="14">
        <f>AI22*VLOOKUP('Données projet'!$B$10,Paramètres!$A$1:$I$89,3,0)*VLOOKUP('Données projet'!$B$10,Paramètres!$A$1:$I$89,5,0)</f>
        <v>18.652104773077522</v>
      </c>
      <c r="AK22" s="14">
        <f t="shared" si="35"/>
        <v>6.1145878622285492</v>
      </c>
      <c r="AL22" s="22">
        <f t="shared" si="4"/>
        <v>43.135323006491404</v>
      </c>
      <c r="AM22" s="62">
        <f t="shared" si="5"/>
        <v>323.02421189538029</v>
      </c>
      <c r="AN22" s="62">
        <f ca="1">AVERAGE(OFFSET($AM$3,0,0,'Données projet'!$E$10+1,1))-AVERAGE(OFFSET($H$3,0,0,'Données projet'!$E$10+1,1))</f>
        <v>258.09881752732008</v>
      </c>
      <c r="AO22" s="62">
        <f t="shared" si="36"/>
        <v>214.72899476643335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1.2</v>
      </c>
      <c r="BD22" s="13">
        <f>IF('Données projet'!$A$88&gt;35,BD21+BC22-BL21,IF(A22&lt;'Données projet'!$A$88,$BA$205^A22,IF(A22='Données projet'!$A$88,'Données projet'!$B$88,BD21+BC22-BL21)))</f>
        <v>13.262095581124292</v>
      </c>
      <c r="BE22" s="14">
        <f>BD22*VLOOKUP('Données projet'!$B$11,Paramètres!$A$1:$I$89,3,0)*VLOOKUP('Données projet'!$B$11,Paramètres!$A$1:$I$89,5,0)</f>
        <v>12.827098846063416</v>
      </c>
      <c r="BF22" s="14">
        <f t="shared" si="37"/>
        <v>4.3923238720390128</v>
      </c>
      <c r="BG22" s="22">
        <f t="shared" si="7"/>
        <v>29.990494567361733</v>
      </c>
      <c r="BH22" s="62">
        <f t="shared" si="8"/>
        <v>309.87938345625059</v>
      </c>
      <c r="BI22" s="62">
        <f ca="1">AVERAGE(OFFSET($BH$3,0,0,'Données projet'!$E$11+1,1))-AVERAGE(OFFSET($H$3,0,0,'Données projet'!$E$11+1,1))</f>
        <v>298.18906674058809</v>
      </c>
      <c r="BJ22" s="62">
        <f t="shared" si="38"/>
        <v>154.08406475869634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1.2</v>
      </c>
      <c r="BY22" s="13">
        <f>IF('Données projet'!$A$114&gt;35,BY21+BX22-CG21,IF(A22&lt;'Données projet'!$A$114,$BV$205^A22,IF(A22='Données projet'!$A$114,'Données projet'!$B$114,BY21+BX22-CG21)))</f>
        <v>13.262095581124292</v>
      </c>
      <c r="BZ22" s="14">
        <f>BY22*VLOOKUP('Données projet'!$B$12,Paramètres!$A$1:$I$89,3,0)*VLOOKUP('Données projet'!$B$12,Paramètres!$A$1:$I$89,5,0)</f>
        <v>8.8962137158181758</v>
      </c>
      <c r="CA22" s="14">
        <f t="shared" si="39"/>
        <v>3.1788481762309284</v>
      </c>
      <c r="CB22" s="22">
        <f t="shared" si="10"/>
        <v>21.030732795318858</v>
      </c>
      <c r="CC22" s="62">
        <f t="shared" si="11"/>
        <v>300.9196216842077</v>
      </c>
      <c r="CD22" s="62">
        <f ca="1">AVERAGE(OFFSET($CC$3,0,0,'Données projet'!$E$12+1,1))-AVERAGE(OFFSET($H$3,0,0,'Données projet'!$E$12+1,1))</f>
        <v>218.24409784339861</v>
      </c>
      <c r="CE22" s="62">
        <f t="shared" si="40"/>
        <v>118.89963447540509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14.926923076923075</v>
      </c>
      <c r="N23" s="14">
        <f>IF('Données projet'!$A$36&gt;35,N22+M23-V22,IF(A23&lt;'Données projet'!$A$36,$K$205^A23,IF(A23='Données projet'!$A$36,'Données projet'!$B$36,N22+M23-V22)))</f>
        <v>129.02692307692308</v>
      </c>
      <c r="O23" s="14">
        <f>N23*VLOOKUP('Données projet'!$B$9,Paramètres!$A$1:$I$89,3,0)*VLOOKUP('Données projet'!$B$9,Paramètres!$A$1:$I$89,5,0)</f>
        <v>77.158100000000005</v>
      </c>
      <c r="P23" s="14">
        <f t="shared" si="33"/>
        <v>21.440868838738705</v>
      </c>
      <c r="Q23" s="22">
        <f t="shared" si="2"/>
        <v>171.72653739413659</v>
      </c>
      <c r="R23" s="62">
        <f t="shared" si="0"/>
        <v>452.83764850524773</v>
      </c>
      <c r="S23" s="62">
        <f ca="1">AVERAGE(OFFSET($R$3,0,0,'Données projet'!$E$9+1,1))-AVERAGE(OFFSET($H$3,0,0,'Données projet'!$E$9+1,1))</f>
        <v>257.80952690600492</v>
      </c>
      <c r="T23" s="62">
        <f t="shared" si="34"/>
        <v>269.95358755269427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5.0371524671130636</v>
      </c>
      <c r="AC23" s="24">
        <f t="shared" si="3"/>
        <v>5.0371524671130636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3.92</v>
      </c>
      <c r="AI23" s="14">
        <f>IF('Données projet'!$A$62&gt;35,AI22+AH23-AQ22,IF(A23&lt;'Données projet'!$A$62,$AF$205^A23,IF(A23='Données projet'!$A$62,'Données projet'!$B$62,AI22+AH23-AQ22)))</f>
        <v>39.172461334412446</v>
      </c>
      <c r="AJ23" s="14">
        <f>AI23*VLOOKUP('Données projet'!$B$10,Paramètres!$A$1:$I$89,3,0)*VLOOKUP('Données projet'!$B$10,Paramètres!$A$1:$I$89,5,0)</f>
        <v>22.40664788328392</v>
      </c>
      <c r="AK23" s="14">
        <f t="shared" si="35"/>
        <v>7.1902681047426107</v>
      </c>
      <c r="AL23" s="22">
        <f t="shared" si="4"/>
        <v>51.547962012479537</v>
      </c>
      <c r="AM23" s="62">
        <f t="shared" si="5"/>
        <v>332.6590731235907</v>
      </c>
      <c r="AN23" s="62">
        <f ca="1">AVERAGE(OFFSET($AM$3,0,0,'Données projet'!$E$10+1,1))-AVERAGE(OFFSET($H$3,0,0,'Données projet'!$E$10+1,1))</f>
        <v>258.09881752732008</v>
      </c>
      <c r="AO23" s="62">
        <f t="shared" si="36"/>
        <v>214.72899476643335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1.2</v>
      </c>
      <c r="BD23" s="13">
        <f>IF('Données projet'!$A$88&gt;35,BD22+BC23-BL22,IF(A23&lt;'Données projet'!$A$88,$BA$205^A23,IF(A23='Données projet'!$A$88,'Données projet'!$B$88,BD22+BC23-BL22)))</f>
        <v>15.194870523363559</v>
      </c>
      <c r="BE23" s="14">
        <f>BD23*VLOOKUP('Données projet'!$B$11,Paramètres!$A$1:$I$89,3,0)*VLOOKUP('Données projet'!$B$11,Paramètres!$A$1:$I$89,5,0)</f>
        <v>14.696478770197235</v>
      </c>
      <c r="BF23" s="14">
        <f t="shared" si="37"/>
        <v>4.9533809473858224</v>
      </c>
      <c r="BG23" s="22">
        <f t="shared" si="7"/>
        <v>34.223505674790481</v>
      </c>
      <c r="BH23" s="62">
        <f t="shared" si="8"/>
        <v>315.33461678590163</v>
      </c>
      <c r="BI23" s="62">
        <f ca="1">AVERAGE(OFFSET($BH$3,0,0,'Données projet'!$E$11+1,1))-AVERAGE(OFFSET($H$3,0,0,'Données projet'!$E$11+1,1))</f>
        <v>298.18906674058809</v>
      </c>
      <c r="BJ23" s="62">
        <f t="shared" si="38"/>
        <v>154.08406475869634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1.2</v>
      </c>
      <c r="BY23" s="13">
        <f>IF('Données projet'!$A$114&gt;35,BY22+BX23-CG22,IF(A23&lt;'Données projet'!$A$114,$BV$205^A23,IF(A23='Données projet'!$A$114,'Données projet'!$B$114,BY22+BX23-CG22)))</f>
        <v>15.194870523363559</v>
      </c>
      <c r="BZ23" s="14">
        <f>BY23*VLOOKUP('Données projet'!$B$12,Paramètres!$A$1:$I$89,3,0)*VLOOKUP('Données projet'!$B$12,Paramètres!$A$1:$I$89,5,0)</f>
        <v>10.192719147072275</v>
      </c>
      <c r="CA23" s="14">
        <f t="shared" si="39"/>
        <v>3.5849009429864291</v>
      </c>
      <c r="CB23" s="22">
        <f t="shared" si="10"/>
        <v>23.996021656852246</v>
      </c>
      <c r="CC23" s="62">
        <f t="shared" si="11"/>
        <v>305.10713276796338</v>
      </c>
      <c r="CD23" s="62">
        <f ca="1">AVERAGE(OFFSET($CC$3,0,0,'Données projet'!$E$12+1,1))-AVERAGE(OFFSET($H$3,0,0,'Données projet'!$E$12+1,1))</f>
        <v>218.24409784339861</v>
      </c>
      <c r="CE23" s="62">
        <f t="shared" si="40"/>
        <v>118.89963447540509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14.926923076923075</v>
      </c>
      <c r="N24" s="14">
        <f>IF('Données projet'!$A$36&gt;35,N23+M24-V23,IF(A24&lt;'Données projet'!$A$36,$K$205^A24,IF(A24='Données projet'!$A$36,'Données projet'!$B$36,N23+M24-V23)))</f>
        <v>143.95384615384614</v>
      </c>
      <c r="O24" s="14">
        <f>N24*VLOOKUP('Données projet'!$B$9,Paramètres!$A$1:$I$89,3,0)*VLOOKUP('Données projet'!$B$9,Paramètres!$A$1:$I$89,5,0)</f>
        <v>86.084400000000002</v>
      </c>
      <c r="P24" s="14">
        <f t="shared" si="33"/>
        <v>23.618445758177199</v>
      </c>
      <c r="Q24" s="22">
        <f t="shared" si="2"/>
        <v>191.06578969549196</v>
      </c>
      <c r="R24" s="62">
        <f t="shared" si="0"/>
        <v>473.39912302882527</v>
      </c>
      <c r="S24" s="62">
        <f ca="1">AVERAGE(OFFSET($R$3,0,0,'Données projet'!$E$9+1,1))-AVERAGE(OFFSET($H$3,0,0,'Données projet'!$E$9+1,1))</f>
        <v>257.80952690600492</v>
      </c>
      <c r="T24" s="62">
        <f t="shared" si="34"/>
        <v>269.95358755269427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3.5618046673661952</v>
      </c>
      <c r="AC24" s="24">
        <f t="shared" si="3"/>
        <v>3.5618046673661952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3.92</v>
      </c>
      <c r="AI24" s="14">
        <f>IF('Données projet'!$A$62&gt;35,AI23+AH24-AQ23,IF(A24&lt;'Données projet'!$A$62,$AF$205^A24,IF(A24='Données projet'!$A$62,'Données projet'!$B$62,AI23+AH24-AQ23)))</f>
        <v>47.05761406126355</v>
      </c>
      <c r="AJ24" s="14">
        <f>AI24*VLOOKUP('Données projet'!$B$10,Paramètres!$A$1:$I$89,3,0)*VLOOKUP('Données projet'!$B$10,Paramètres!$A$1:$I$89,5,0)</f>
        <v>26.91695524304275</v>
      </c>
      <c r="AK24" s="14">
        <f t="shared" si="35"/>
        <v>8.4551823578238796</v>
      </c>
      <c r="AL24" s="22">
        <f t="shared" si="4"/>
        <v>61.606472988176044</v>
      </c>
      <c r="AM24" s="62">
        <f t="shared" si="5"/>
        <v>343.93980632150937</v>
      </c>
      <c r="AN24" s="62">
        <f ca="1">AVERAGE(OFFSET($AM$3,0,0,'Données projet'!$E$10+1,1))-AVERAGE(OFFSET($H$3,0,0,'Données projet'!$E$10+1,1))</f>
        <v>258.09881752732008</v>
      </c>
      <c r="AO24" s="62">
        <f t="shared" si="36"/>
        <v>214.72899476643335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1.2</v>
      </c>
      <c r="BD24" s="13">
        <f>IF('Données projet'!$A$88&gt;35,BD23+BC24-BL23,IF(A24&lt;'Données projet'!$A$88,$BA$205^A24,IF(A24='Données projet'!$A$88,'Données projet'!$B$88,BD23+BC24-BL23)))</f>
        <v>17.409321838276906</v>
      </c>
      <c r="BE24" s="14">
        <f>BD24*VLOOKUP('Données projet'!$B$11,Paramètres!$A$1:$I$89,3,0)*VLOOKUP('Données projet'!$B$11,Paramètres!$A$1:$I$89,5,0)</f>
        <v>16.838296081981426</v>
      </c>
      <c r="BF24" s="14">
        <f t="shared" si="37"/>
        <v>5.5861051062554639</v>
      </c>
      <c r="BG24" s="22">
        <f t="shared" si="7"/>
        <v>39.055832069512576</v>
      </c>
      <c r="BH24" s="62">
        <f t="shared" si="8"/>
        <v>321.38916540284589</v>
      </c>
      <c r="BI24" s="62">
        <f ca="1">AVERAGE(OFFSET($BH$3,0,0,'Données projet'!$E$11+1,1))-AVERAGE(OFFSET($H$3,0,0,'Données projet'!$E$11+1,1))</f>
        <v>298.18906674058809</v>
      </c>
      <c r="BJ24" s="62">
        <f t="shared" si="38"/>
        <v>154.08406475869634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1.2</v>
      </c>
      <c r="BY24" s="13">
        <f>IF('Données projet'!$A$114&gt;35,BY23+BX24-CG23,IF(A24&lt;'Données projet'!$A$114,$BV$205^A24,IF(A24='Données projet'!$A$114,'Données projet'!$B$114,BY23+BX24-CG23)))</f>
        <v>17.409321838276906</v>
      </c>
      <c r="BZ24" s="14">
        <f>BY24*VLOOKUP('Données projet'!$B$12,Paramètres!$A$1:$I$89,3,0)*VLOOKUP('Données projet'!$B$12,Paramètres!$A$1:$I$89,5,0)</f>
        <v>11.678173089116148</v>
      </c>
      <c r="CA24" s="14">
        <f t="shared" si="39"/>
        <v>4.0428211913733714</v>
      </c>
      <c r="CB24" s="22">
        <f t="shared" si="10"/>
        <v>27.380731705185912</v>
      </c>
      <c r="CC24" s="62">
        <f t="shared" si="11"/>
        <v>309.71406503851921</v>
      </c>
      <c r="CD24" s="62">
        <f ca="1">AVERAGE(OFFSET($CC$3,0,0,'Données projet'!$E$12+1,1))-AVERAGE(OFFSET($H$3,0,0,'Données projet'!$E$12+1,1))</f>
        <v>218.24409784339861</v>
      </c>
      <c r="CE24" s="62">
        <f t="shared" si="40"/>
        <v>118.89963447540509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14.926923076923075</v>
      </c>
      <c r="N25" s="14">
        <f>IF('Données projet'!$A$36&gt;35,N24+M25-V24,IF(A25&lt;'Données projet'!$A$36,$K$205^A25,IF(A25='Données projet'!$A$36,'Données projet'!$B$36,N24+M25-V24)))</f>
        <v>158.8807692307692</v>
      </c>
      <c r="O25" s="14">
        <f>N25*VLOOKUP('Données projet'!$B$9,Paramètres!$A$1:$I$89,3,0)*VLOOKUP('Données projet'!$B$9,Paramètres!$A$1:$I$89,5,0)</f>
        <v>95.0107</v>
      </c>
      <c r="P25" s="14">
        <f t="shared" si="33"/>
        <v>25.769848277327686</v>
      </c>
      <c r="Q25" s="22">
        <f t="shared" si="2"/>
        <v>210.3594549163457</v>
      </c>
      <c r="R25" s="62">
        <f t="shared" si="0"/>
        <v>493.91501047190127</v>
      </c>
      <c r="S25" s="62">
        <f ca="1">AVERAGE(OFFSET($R$3,0,0,'Données projet'!$E$9+1,1))-AVERAGE(OFFSET($H$3,0,0,'Données projet'!$E$9+1,1))</f>
        <v>257.80952690600492</v>
      </c>
      <c r="T25" s="62">
        <f t="shared" si="34"/>
        <v>269.95358755269427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2.5185762335565318</v>
      </c>
      <c r="AC25" s="24">
        <f t="shared" si="3"/>
        <v>2.5185762335565318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3.92</v>
      </c>
      <c r="AI25" s="14">
        <f>IF('Données projet'!$A$62&gt;35,AI24+AH25-AQ24,IF(A25&lt;'Données projet'!$A$62,$AF$205^A25,IF(A25='Données projet'!$A$62,'Données projet'!$B$62,AI24+AH25-AQ24)))</f>
        <v>56.529994942990569</v>
      </c>
      <c r="AJ25" s="14">
        <f>AI25*VLOOKUP('Données projet'!$B$10,Paramètres!$A$1:$I$89,3,0)*VLOOKUP('Données projet'!$B$10,Paramètres!$A$1:$I$89,5,0)</f>
        <v>32.335157107390607</v>
      </c>
      <c r="AK25" s="14">
        <f t="shared" si="35"/>
        <v>9.942620728829608</v>
      </c>
      <c r="AL25" s="22">
        <f t="shared" si="4"/>
        <v>73.633796398083533</v>
      </c>
      <c r="AM25" s="62">
        <f t="shared" si="5"/>
        <v>357.18935195363906</v>
      </c>
      <c r="AN25" s="62">
        <f ca="1">AVERAGE(OFFSET($AM$3,0,0,'Données projet'!$E$10+1,1))-AVERAGE(OFFSET($H$3,0,0,'Données projet'!$E$10+1,1))</f>
        <v>258.09881752732008</v>
      </c>
      <c r="AO25" s="62">
        <f t="shared" si="36"/>
        <v>214.72899476643335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1.2</v>
      </c>
      <c r="BD25" s="13">
        <f>IF('Données projet'!$A$88&gt;35,BD24+BC25-BL24,IF(A25&lt;'Données projet'!$A$88,$BA$205^A25,IF(A25='Données projet'!$A$88,'Données projet'!$B$88,BD24+BC25-BL24)))</f>
        <v>19.946500129940819</v>
      </c>
      <c r="BE25" s="14">
        <f>BD25*VLOOKUP('Données projet'!$B$11,Paramètres!$A$1:$I$89,3,0)*VLOOKUP('Données projet'!$B$11,Paramètres!$A$1:$I$89,5,0)</f>
        <v>19.292254925678762</v>
      </c>
      <c r="BF25" s="14">
        <f t="shared" si="37"/>
        <v>6.2996508020651527</v>
      </c>
      <c r="BG25" s="22">
        <f t="shared" si="7"/>
        <v>44.572569142487318</v>
      </c>
      <c r="BH25" s="62">
        <f t="shared" si="8"/>
        <v>328.12812469804288</v>
      </c>
      <c r="BI25" s="62">
        <f ca="1">AVERAGE(OFFSET($BH$3,0,0,'Données projet'!$E$11+1,1))-AVERAGE(OFFSET($H$3,0,0,'Données projet'!$E$11+1,1))</f>
        <v>298.18906674058809</v>
      </c>
      <c r="BJ25" s="62">
        <f t="shared" si="38"/>
        <v>154.08406475869634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1.2</v>
      </c>
      <c r="BY25" s="13">
        <f>IF('Données projet'!$A$114&gt;35,BY24+BX25-CG24,IF(A25&lt;'Données projet'!$A$114,$BV$205^A25,IF(A25='Données projet'!$A$114,'Données projet'!$B$114,BY24+BX25-CG24)))</f>
        <v>19.946500129940819</v>
      </c>
      <c r="BZ25" s="14">
        <f>BY25*VLOOKUP('Données projet'!$B$12,Paramètres!$A$1:$I$89,3,0)*VLOOKUP('Données projet'!$B$12,Paramètres!$A$1:$I$89,5,0)</f>
        <v>13.3801122871643</v>
      </c>
      <c r="CA25" s="14">
        <f t="shared" si="39"/>
        <v>4.5592342564985273</v>
      </c>
      <c r="CB25" s="22">
        <f t="shared" si="10"/>
        <v>31.244361896879429</v>
      </c>
      <c r="CC25" s="62">
        <f t="shared" si="11"/>
        <v>314.79991745243495</v>
      </c>
      <c r="CD25" s="62">
        <f ca="1">AVERAGE(OFFSET($CC$3,0,0,'Données projet'!$E$12+1,1))-AVERAGE(OFFSET($H$3,0,0,'Données projet'!$E$12+1,1))</f>
        <v>218.24409784339861</v>
      </c>
      <c r="CE25" s="62">
        <f t="shared" si="40"/>
        <v>118.89963447540509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>
        <f>VLOOKUP(A26,'Données projet'!$A$35:$I$55,2,0)</f>
        <v>173.80769230769229</v>
      </c>
      <c r="L26" s="13">
        <f>VLOOKUP(A26,'Données projet'!$A$35:$I$55,9,0)</f>
        <v>14.926923076923075</v>
      </c>
      <c r="M26" s="13">
        <f t="array" ref="M26">INDEX(L:L,MIN(IF(ISNUMBER(L26:L222),ROW(L26:L222),"")))</f>
        <v>14.926923076923075</v>
      </c>
      <c r="N26" s="14">
        <f>IF('Données projet'!$A$36&gt;35,N25+M26-V25,IF(A26&lt;'Données projet'!$A$36,$K$205^A26,IF(A26='Données projet'!$A$36,'Données projet'!$B$36,N25+M26-V25)))</f>
        <v>173.80769230769226</v>
      </c>
      <c r="O26" s="14">
        <f>N26*VLOOKUP('Données projet'!$B$9,Paramètres!$A$1:$I$89,3,0)*VLOOKUP('Données projet'!$B$9,Paramètres!$A$1:$I$89,5,0)</f>
        <v>103.93699999999998</v>
      </c>
      <c r="P26" s="14">
        <f t="shared" si="33"/>
        <v>27.897815230264825</v>
      </c>
      <c r="Q26" s="22">
        <f t="shared" si="2"/>
        <v>229.61230319271121</v>
      </c>
      <c r="R26" s="62">
        <f t="shared" si="0"/>
        <v>514.39008097048895</v>
      </c>
      <c r="S26" s="62">
        <f ca="1">AVERAGE(OFFSET($R$3,0,0,'Données projet'!$E$9+1,1))-AVERAGE(OFFSET($H$3,0,0,'Données projet'!$E$9+1,1))</f>
        <v>257.80952690600492</v>
      </c>
      <c r="T26" s="62">
        <f t="shared" si="34"/>
        <v>269.95358755269427</v>
      </c>
      <c r="U26" s="16">
        <f>IF(ISNA(VLOOKUP(A26,'Données projet'!$A$35:$I$55,3,0)),0,VLOOKUP(A26,'Données projet'!$A$35:$I$55,3,0))</f>
        <v>2</v>
      </c>
      <c r="V26" s="16">
        <f>IF(ISNA(VLOOKUP(A26,'Données projet'!$A$35:$I$55,4,0)),0,VLOOKUP(A26,'Données projet'!$A$35:$I$55,4,0))</f>
        <v>54.099999999999994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9.0000000000000011E-2</v>
      </c>
      <c r="Y26" s="17">
        <f>IF(ISNA(VLOOKUP(A26,'Données projet'!$A$35:$I$55,7,0)),0%,VLOOKUP(A26,'Données projet'!$A$35:$I$55,7,0))</f>
        <v>0.5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3.8472991524223912</v>
      </c>
      <c r="AB26" s="23">
        <f>EXP(-LN(2)/2)*AB25+(1-EXP(-LN(2)/2))/(LN(2)/2)*V26*Y26*VLOOKUP('Données projet'!$B$9,Paramètres!$A$1:$I$89,3,0)*0.475*44/12</f>
        <v>20.095778755241454</v>
      </c>
      <c r="AC26" s="24">
        <f t="shared" si="3"/>
        <v>23.943077907663845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3.92</v>
      </c>
      <c r="AI26" s="14">
        <f>IF('Données projet'!$A$62&gt;35,AI25+AH26-AQ25,IF(A26&lt;'Données projet'!$A$62,$AF$205^A26,IF(A26='Données projet'!$A$62,'Données projet'!$B$62,AI25+AH26-AQ25)))</f>
        <v>67.909102320703866</v>
      </c>
      <c r="AJ26" s="14">
        <f>AI26*VLOOKUP('Données projet'!$B$10,Paramètres!$A$1:$I$89,3,0)*VLOOKUP('Données projet'!$B$10,Paramètres!$A$1:$I$89,5,0)</f>
        <v>38.844006527442609</v>
      </c>
      <c r="AK26" s="14">
        <f t="shared" si="35"/>
        <v>11.691729731396913</v>
      </c>
      <c r="AL26" s="22">
        <f t="shared" si="4"/>
        <v>88.016407317478823</v>
      </c>
      <c r="AM26" s="62">
        <f t="shared" si="5"/>
        <v>372.79418509525658</v>
      </c>
      <c r="AN26" s="62">
        <f ca="1">AVERAGE(OFFSET($AM$3,0,0,'Données projet'!$E$10+1,1))-AVERAGE(OFFSET($H$3,0,0,'Données projet'!$E$10+1,1))</f>
        <v>258.09881752732008</v>
      </c>
      <c r="AO26" s="62">
        <f t="shared" si="36"/>
        <v>214.72899476643335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1.2</v>
      </c>
      <c r="BD26" s="13">
        <f>IF('Données projet'!$A$88&gt;35,BD25+BC26-BL25,IF(A26&lt;'Données projet'!$A$88,$BA$205^A26,IF(A26='Données projet'!$A$88,'Données projet'!$B$88,BD25+BC26-BL25)))</f>
        <v>22.853438584779923</v>
      </c>
      <c r="BE26" s="14">
        <f>BD26*VLOOKUP('Données projet'!$B$11,Paramètres!$A$1:$I$89,3,0)*VLOOKUP('Données projet'!$B$11,Paramètres!$A$1:$I$89,5,0)</f>
        <v>22.103845799199142</v>
      </c>
      <c r="BF26" s="14">
        <f t="shared" si="37"/>
        <v>7.1043418398123555</v>
      </c>
      <c r="BG26" s="22">
        <f t="shared" si="7"/>
        <v>50.870926804611692</v>
      </c>
      <c r="BH26" s="62">
        <f t="shared" si="8"/>
        <v>335.64870458238948</v>
      </c>
      <c r="BI26" s="62">
        <f ca="1">AVERAGE(OFFSET($BH$3,0,0,'Données projet'!$E$11+1,1))-AVERAGE(OFFSET($H$3,0,0,'Données projet'!$E$11+1,1))</f>
        <v>298.18906674058809</v>
      </c>
      <c r="BJ26" s="62">
        <f t="shared" si="38"/>
        <v>154.08406475869634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1.2</v>
      </c>
      <c r="BY26" s="13">
        <f>IF('Données projet'!$A$114&gt;35,BY25+BX26-CG25,IF(A26&lt;'Données projet'!$A$114,$BV$205^A26,IF(A26='Données projet'!$A$114,'Données projet'!$B$114,BY25+BX26-CG25)))</f>
        <v>22.853438584779923</v>
      </c>
      <c r="BZ26" s="14">
        <f>BY26*VLOOKUP('Données projet'!$B$12,Paramètres!$A$1:$I$89,3,0)*VLOOKUP('Données projet'!$B$12,Paramètres!$A$1:$I$89,5,0)</f>
        <v>15.330086602670374</v>
      </c>
      <c r="CA26" s="14">
        <f t="shared" si="39"/>
        <v>5.1416117660569478</v>
      </c>
      <c r="CB26" s="22">
        <f t="shared" si="10"/>
        <v>35.654874658866753</v>
      </c>
      <c r="CC26" s="62">
        <f t="shared" si="11"/>
        <v>320.4326524366445</v>
      </c>
      <c r="CD26" s="62">
        <f ca="1">AVERAGE(OFFSET($CC$3,0,0,'Données projet'!$E$12+1,1))-AVERAGE(OFFSET($H$3,0,0,'Données projet'!$E$12+1,1))</f>
        <v>218.24409784339861</v>
      </c>
      <c r="CE26" s="62">
        <f t="shared" si="40"/>
        <v>118.89963447540509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15.061538461538461</v>
      </c>
      <c r="N27" s="14">
        <f>IF('Données projet'!$A$36&gt;35,N26+M27-V26,IF(A27&lt;'Données projet'!$A$36,$K$205^A27,IF(A27='Données projet'!$A$36,'Données projet'!$B$36,N26+M27-V26)))</f>
        <v>134.76923076923075</v>
      </c>
      <c r="O27" s="14">
        <f>N27*VLOOKUP('Données projet'!$B$9,Paramètres!$A$1:$I$89,3,0)*VLOOKUP('Données projet'!$B$9,Paramètres!$A$1:$I$89,5,0)</f>
        <v>80.591999999999985</v>
      </c>
      <c r="P27" s="14">
        <f t="shared" si="33"/>
        <v>22.281869037622069</v>
      </c>
      <c r="Q27" s="22">
        <f t="shared" si="2"/>
        <v>179.17198857385839</v>
      </c>
      <c r="R27" s="62">
        <f t="shared" si="0"/>
        <v>465.17198857385836</v>
      </c>
      <c r="S27" s="62">
        <f ca="1">AVERAGE(OFFSET($R$3,0,0,'Données projet'!$E$9+1,1))-AVERAGE(OFFSET($H$3,0,0,'Données projet'!$E$9+1,1))</f>
        <v>257.80952690600492</v>
      </c>
      <c r="T27" s="62">
        <f t="shared" si="34"/>
        <v>269.95358755269427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3.7420945547787317</v>
      </c>
      <c r="AB27" s="23">
        <f>EXP(-LN(2)/2)*AB26+(1-EXP(-LN(2)/2))/(LN(2)/2)*V27*Y27*VLOOKUP('Données projet'!$B$9,Paramètres!$A$1:$I$89,3,0)*0.475*44/12</f>
        <v>14.20986143105579</v>
      </c>
      <c r="AC27" s="24">
        <f t="shared" si="3"/>
        <v>17.951955985834523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3.92</v>
      </c>
      <c r="AI27" s="14">
        <f>IF('Données projet'!$A$62&gt;35,AI26+AH27-AQ26,IF(A27&lt;'Données projet'!$A$62,$AF$205^A27,IF(A27='Données projet'!$A$62,'Données projet'!$B$62,AI26+AH27-AQ26)))</f>
        <v>81.57874740046563</v>
      </c>
      <c r="AJ27" s="14">
        <f>AI27*VLOOKUP('Données projet'!$B$10,Paramètres!$A$1:$I$89,3,0)*VLOOKUP('Données projet'!$B$10,Paramètres!$A$1:$I$89,5,0)</f>
        <v>46.663043513066341</v>
      </c>
      <c r="AK27" s="14">
        <f t="shared" si="35"/>
        <v>13.748542546299239</v>
      </c>
      <c r="AL27" s="22">
        <f t="shared" si="4"/>
        <v>105.21684572006173</v>
      </c>
      <c r="AM27" s="62">
        <f t="shared" si="5"/>
        <v>391.21684572006171</v>
      </c>
      <c r="AN27" s="62">
        <f ca="1">AVERAGE(OFFSET($AM$3,0,0,'Données projet'!$E$10+1,1))-AVERAGE(OFFSET($H$3,0,0,'Données projet'!$E$10+1,1))</f>
        <v>258.09881752732008</v>
      </c>
      <c r="AO27" s="62">
        <f t="shared" si="36"/>
        <v>214.72899476643335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1.2</v>
      </c>
      <c r="BD27" s="13">
        <f>IF('Données projet'!$A$88&gt;35,BD26+BC27-BL26,IF(A27&lt;'Données projet'!$A$88,$BA$205^A27,IF(A27='Données projet'!$A$88,'Données projet'!$B$88,BD26+BC27-BL26)))</f>
        <v>26.184024853780567</v>
      </c>
      <c r="BE27" s="14">
        <f>BD27*VLOOKUP('Données projet'!$B$11,Paramètres!$A$1:$I$89,3,0)*VLOOKUP('Données projet'!$B$11,Paramètres!$A$1:$I$89,5,0)</f>
        <v>25.325188838576565</v>
      </c>
      <c r="BF27" s="14">
        <f t="shared" si="37"/>
        <v>8.0118207441534324</v>
      </c>
      <c r="BG27" s="22">
        <f t="shared" si="7"/>
        <v>58.061958356588072</v>
      </c>
      <c r="BH27" s="62">
        <f t="shared" si="8"/>
        <v>344.06195835658809</v>
      </c>
      <c r="BI27" s="62">
        <f ca="1">AVERAGE(OFFSET($BH$3,0,0,'Données projet'!$E$11+1,1))-AVERAGE(OFFSET($H$3,0,0,'Données projet'!$E$11+1,1))</f>
        <v>298.18906674058809</v>
      </c>
      <c r="BJ27" s="62">
        <f t="shared" si="38"/>
        <v>154.08406475869634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1.2</v>
      </c>
      <c r="BY27" s="13">
        <f>IF('Données projet'!$A$114&gt;35,BY26+BX27-CG26,IF(A27&lt;'Données projet'!$A$114,$BV$205^A27,IF(A27='Données projet'!$A$114,'Données projet'!$B$114,BY26+BX27-CG26)))</f>
        <v>26.184024853780567</v>
      </c>
      <c r="BZ27" s="14">
        <f>BY27*VLOOKUP('Données projet'!$B$12,Paramètres!$A$1:$I$89,3,0)*VLOOKUP('Données projet'!$B$12,Paramètres!$A$1:$I$89,5,0)</f>
        <v>17.564243871916005</v>
      </c>
      <c r="CA27" s="14">
        <f t="shared" si="39"/>
        <v>5.7983797422065528</v>
      </c>
      <c r="CB27" s="22">
        <f t="shared" si="10"/>
        <v>40.689902794596783</v>
      </c>
      <c r="CC27" s="62">
        <f t="shared" si="11"/>
        <v>326.68990279459678</v>
      </c>
      <c r="CD27" s="62">
        <f ca="1">AVERAGE(OFFSET($CC$3,0,0,'Données projet'!$E$12+1,1))-AVERAGE(OFFSET($H$3,0,0,'Données projet'!$E$12+1,1))</f>
        <v>218.24409784339861</v>
      </c>
      <c r="CE27" s="62">
        <f t="shared" si="40"/>
        <v>118.89963447540509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149.83076923076922</v>
      </c>
      <c r="L28" s="13">
        <f>VLOOKUP(A28,'Données projet'!$A$35:$I$55,9,0)</f>
        <v>15.061538461538461</v>
      </c>
      <c r="M28" s="13">
        <f t="array" ref="M28">INDEX(L:L,MIN(IF(ISNUMBER(L28:L224),ROW(L28:L224),"")))</f>
        <v>15.061538461538461</v>
      </c>
      <c r="N28" s="14">
        <f>IF('Données projet'!$A$36&gt;35,N27+M28-V27,IF(A28&lt;'Données projet'!$A$36,$K$205^A28,IF(A28='Données projet'!$A$36,'Données projet'!$B$36,N27+M28-V27)))</f>
        <v>149.83076923076919</v>
      </c>
      <c r="O28" s="14">
        <f>N28*VLOOKUP('Données projet'!$B$9,Paramètres!$A$1:$I$89,3,0)*VLOOKUP('Données projet'!$B$9,Paramètres!$A$1:$I$89,5,0)</f>
        <v>89.598799999999983</v>
      </c>
      <c r="P28" s="14">
        <f t="shared" si="33"/>
        <v>24.468440069427142</v>
      </c>
      <c r="Q28" s="22">
        <f t="shared" si="2"/>
        <v>198.66710978758559</v>
      </c>
      <c r="R28" s="62">
        <f t="shared" si="0"/>
        <v>485.88933200980784</v>
      </c>
      <c r="S28" s="62">
        <f ca="1">AVERAGE(OFFSET($R$3,0,0,'Données projet'!$E$9+1,1))-AVERAGE(OFFSET($H$3,0,0,'Données projet'!$E$9+1,1))</f>
        <v>257.80952690600492</v>
      </c>
      <c r="T28" s="62">
        <f t="shared" si="34"/>
        <v>269.95358755269427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3.6397667823901072</v>
      </c>
      <c r="AB28" s="23">
        <f>EXP(-LN(2)/2)*AB27+(1-EXP(-LN(2)/2))/(LN(2)/2)*V28*Y28*VLOOKUP('Données projet'!$B$9,Paramètres!$A$1:$I$89,3,0)*0.475*44/12</f>
        <v>10.047889377620729</v>
      </c>
      <c r="AC28" s="24">
        <f t="shared" si="3"/>
        <v>13.687656160010835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98</v>
      </c>
      <c r="AG28" s="13">
        <f>VLOOKUP(A28,'Données projet'!$A$61:$I$81,9,0)</f>
        <v>3.92</v>
      </c>
      <c r="AH28" s="13">
        <f t="array" ref="AH28">INDEX(AG:AG,MIN(IF(ISNUMBER(AG28:AG224),ROW(AG28:AG224),"")))</f>
        <v>3.92</v>
      </c>
      <c r="AI28" s="14">
        <f>IF('Données projet'!$A$62&gt;35,AI27+AH28-AQ27,IF(A28&lt;'Données projet'!$A$62,$AF$205^A28,IF(A28='Données projet'!$A$62,'Données projet'!$B$62,AI27+AH28-AQ27)))</f>
        <v>98</v>
      </c>
      <c r="AJ28" s="14">
        <f>AI28*VLOOKUP('Données projet'!$B$10,Paramètres!$A$1:$I$89,3,0)*VLOOKUP('Données projet'!$B$10,Paramètres!$A$1:$I$89,5,0)</f>
        <v>56.055999999999997</v>
      </c>
      <c r="AK28" s="14">
        <f t="shared" si="35"/>
        <v>16.167190526120397</v>
      </c>
      <c r="AL28" s="22">
        <f t="shared" si="4"/>
        <v>125.78872349965967</v>
      </c>
      <c r="AM28" s="62">
        <f t="shared" si="5"/>
        <v>413.01094572188191</v>
      </c>
      <c r="AN28" s="62">
        <f ca="1">AVERAGE(OFFSET($AM$3,0,0,'Données projet'!$E$10+1,1))-AVERAGE(OFFSET($H$3,0,0,'Données projet'!$E$10+1,1))</f>
        <v>258.09881752732008</v>
      </c>
      <c r="AO28" s="62">
        <f t="shared" si="36"/>
        <v>214.72899476643335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12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1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7.7716424902216614</v>
      </c>
      <c r="AX28" s="23">
        <f t="shared" si="6"/>
        <v>7.7716424902216614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30</v>
      </c>
      <c r="BB28" s="13">
        <f>VLOOKUP(A28,'Données projet'!$A$87:$I$107,9,0)</f>
        <v>1.2</v>
      </c>
      <c r="BC28" s="13">
        <f t="array" ref="BC28">INDEX(BB:BB,MIN(IF(ISNUMBER(BB28:BB224),ROW(BB28:BB224),"")))</f>
        <v>1.2</v>
      </c>
      <c r="BD28" s="13">
        <f>IF('Données projet'!$A$88&gt;35,BD27+BC28-BL27,IF(A28&lt;'Données projet'!$A$88,$BA$205^A28,IF(A28='Données projet'!$A$88,'Données projet'!$B$88,BD27+BC28-BL27)))</f>
        <v>30</v>
      </c>
      <c r="BE28" s="14">
        <f>BD28*VLOOKUP('Données projet'!$B$11,Paramètres!$A$1:$I$89,3,0)*VLOOKUP('Données projet'!$B$11,Paramètres!$A$1:$I$89,5,0)</f>
        <v>29.016000000000002</v>
      </c>
      <c r="BF28" s="14">
        <f t="shared" si="37"/>
        <v>9.0352172071357728</v>
      </c>
      <c r="BG28" s="22">
        <f t="shared" si="7"/>
        <v>66.272536635761469</v>
      </c>
      <c r="BH28" s="62">
        <f t="shared" si="8"/>
        <v>353.4947588579837</v>
      </c>
      <c r="BI28" s="62">
        <f ca="1">AVERAGE(OFFSET($BH$3,0,0,'Données projet'!$E$11+1,1))-AVERAGE(OFFSET($H$3,0,0,'Données projet'!$E$11+1,1))</f>
        <v>298.18906674058809</v>
      </c>
      <c r="BJ28" s="62">
        <f t="shared" si="38"/>
        <v>154.08406475869634</v>
      </c>
      <c r="BK28" s="16">
        <f>IF(ISNA(VLOOKUP(A28,'Données projet'!$A$87:$I$107,3,0)),0,VLOOKUP(A28,'Données projet'!$A$87:$I$107,3,0))</f>
        <v>1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30</v>
      </c>
      <c r="BW28" s="13">
        <f>VLOOKUP(A28,'Données projet'!$A$113:$I$133,9,0)</f>
        <v>1.2</v>
      </c>
      <c r="BX28" s="13">
        <f t="array" ref="BX28">INDEX(BW:BW,MIN(IF(ISNUMBER(BW28:BW224),ROW(BW28:BW224),"")))</f>
        <v>1.2</v>
      </c>
      <c r="BY28" s="13">
        <f>IF('Données projet'!$A$114&gt;35,BY27+BX28-CG27,IF(A28&lt;'Données projet'!$A$114,$BV$205^A28,IF(A28='Données projet'!$A$114,'Données projet'!$B$114,BY27+BX28-CG27)))</f>
        <v>30</v>
      </c>
      <c r="BZ28" s="14">
        <f>BY28*VLOOKUP('Données projet'!$B$12,Paramètres!$A$1:$I$89,3,0)*VLOOKUP('Données projet'!$B$12,Paramètres!$A$1:$I$89,5,0)</f>
        <v>20.124000000000002</v>
      </c>
      <c r="CA28" s="14">
        <f t="shared" si="39"/>
        <v>6.539040511923969</v>
      </c>
      <c r="CB28" s="22">
        <f t="shared" si="10"/>
        <v>46.438128891600911</v>
      </c>
      <c r="CC28" s="62">
        <f t="shared" si="11"/>
        <v>333.66035111382314</v>
      </c>
      <c r="CD28" s="62">
        <f ca="1">AVERAGE(OFFSET($CC$3,0,0,'Données projet'!$E$12+1,1))-AVERAGE(OFFSET($H$3,0,0,'Données projet'!$E$12+1,1))</f>
        <v>218.24409784339861</v>
      </c>
      <c r="CE28" s="62">
        <f t="shared" si="40"/>
        <v>118.89963447540509</v>
      </c>
      <c r="CF28" s="16">
        <f>IF(ISNA(VLOOKUP(A28,'Données projet'!$A$113:$I$133,3,0)),0,VLOOKUP(A28,'Données projet'!$A$113:$I$133,3,0))</f>
        <v>1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15.078846153846158</v>
      </c>
      <c r="N29" s="14">
        <f>IF('Données projet'!$A$36&gt;35,N28+M29-V28,IF(A29&lt;'Données projet'!$A$36,$K$205^A29,IF(A29='Données projet'!$A$36,'Données projet'!$B$36,N28+M29-V28)))</f>
        <v>164.90961538461534</v>
      </c>
      <c r="O29" s="14">
        <f>N29*VLOOKUP('Données projet'!$B$9,Paramètres!$A$1:$I$89,3,0)*VLOOKUP('Données projet'!$B$9,Paramètres!$A$1:$I$89,5,0)</f>
        <v>98.615949999999984</v>
      </c>
      <c r="P29" s="14">
        <f t="shared" si="33"/>
        <v>26.631999739513677</v>
      </c>
      <c r="Q29" s="22">
        <f t="shared" si="2"/>
        <v>218.14017912965292</v>
      </c>
      <c r="R29" s="62">
        <f t="shared" si="0"/>
        <v>506.58462357409735</v>
      </c>
      <c r="S29" s="62">
        <f ca="1">AVERAGE(OFFSET($R$3,0,0,'Données projet'!$E$9+1,1))-AVERAGE(OFFSET($H$3,0,0,'Données projet'!$E$9+1,1))</f>
        <v>257.80952690600492</v>
      </c>
      <c r="T29" s="62">
        <f t="shared" si="34"/>
        <v>269.95358755269427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3.5402371683186336</v>
      </c>
      <c r="AB29" s="23">
        <f>EXP(-LN(2)/2)*AB28+(1-EXP(-LN(2)/2))/(LN(2)/2)*V29*Y29*VLOOKUP('Données projet'!$B$9,Paramètres!$A$1:$I$89,3,0)*0.475*44/12</f>
        <v>7.1049307155278969</v>
      </c>
      <c r="AC29" s="24">
        <f t="shared" si="3"/>
        <v>10.645167883846531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10.8</v>
      </c>
      <c r="AI29" s="14">
        <f>IF('Données projet'!$A$62&gt;35,AI28+AH29-AQ28,IF(A29&lt;'Données projet'!$A$62,$AF$205^A29,IF(A29='Données projet'!$A$62,'Données projet'!$B$62,AI28+AH29-AQ28)))</f>
        <v>96.8</v>
      </c>
      <c r="AJ29" s="14">
        <f>AI29*VLOOKUP('Données projet'!$B$10,Paramètres!$A$1:$I$89,3,0)*VLOOKUP('Données projet'!$B$10,Paramètres!$A$1:$I$89,5,0)</f>
        <v>55.369599999999998</v>
      </c>
      <c r="AK29" s="14">
        <f t="shared" si="35"/>
        <v>15.992142892748898</v>
      </c>
      <c r="AL29" s="22">
        <f t="shared" si="4"/>
        <v>124.28836887153766</v>
      </c>
      <c r="AM29" s="62">
        <f t="shared" si="5"/>
        <v>412.73281331598213</v>
      </c>
      <c r="AN29" s="62">
        <f ca="1">AVERAGE(OFFSET($AM$3,0,0,'Données projet'!$E$10+1,1))-AVERAGE(OFFSET($H$3,0,0,'Données projet'!$E$10+1,1))</f>
        <v>258.09881752732008</v>
      </c>
      <c r="AO29" s="62">
        <f t="shared" si="36"/>
        <v>214.72899476643335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5.4953811057932445</v>
      </c>
      <c r="AX29" s="23">
        <f t="shared" si="6"/>
        <v>5.4953811057932445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4.8</v>
      </c>
      <c r="BD29" s="13">
        <f>IF('Données projet'!$A$88&gt;35,BD28+BC29-BL28,IF(A29&lt;'Données projet'!$A$88,$BA$205^A29,IF(A29='Données projet'!$A$88,'Données projet'!$B$88,BD28+BC29-BL28)))</f>
        <v>34.799999999999997</v>
      </c>
      <c r="BE29" s="14">
        <f>BD29*VLOOKUP('Données projet'!$B$11,Paramètres!$A$1:$I$89,3,0)*VLOOKUP('Données projet'!$B$11,Paramètres!$A$1:$I$89,5,0)</f>
        <v>33.658559999999994</v>
      </c>
      <c r="BF29" s="14">
        <f t="shared" si="37"/>
        <v>10.301338939492439</v>
      </c>
      <c r="BG29" s="22">
        <f t="shared" si="7"/>
        <v>76.563490652949312</v>
      </c>
      <c r="BH29" s="62">
        <f t="shared" si="8"/>
        <v>365.00793509739378</v>
      </c>
      <c r="BI29" s="62">
        <f ca="1">AVERAGE(OFFSET($BH$3,0,0,'Données projet'!$E$11+1,1))-AVERAGE(OFFSET($H$3,0,0,'Données projet'!$E$11+1,1))</f>
        <v>298.18906674058809</v>
      </c>
      <c r="BJ29" s="62">
        <f t="shared" si="38"/>
        <v>154.08406475869634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4.8</v>
      </c>
      <c r="BY29" s="13">
        <f>IF('Données projet'!$A$114&gt;35,BY28+BX29-CG28,IF(A29&lt;'Données projet'!$A$114,$BV$205^A29,IF(A29='Données projet'!$A$114,'Données projet'!$B$114,BY28+BX29-CG28)))</f>
        <v>34.799999999999997</v>
      </c>
      <c r="BZ29" s="14">
        <f>BY29*VLOOKUP('Données projet'!$B$12,Paramètres!$A$1:$I$89,3,0)*VLOOKUP('Données projet'!$B$12,Paramètres!$A$1:$I$89,5,0)</f>
        <v>23.34384</v>
      </c>
      <c r="CA29" s="14">
        <f t="shared" si="39"/>
        <v>7.4553683777741586</v>
      </c>
      <c r="CB29" s="22">
        <f t="shared" si="10"/>
        <v>53.641954591289988</v>
      </c>
      <c r="CC29" s="62">
        <f t="shared" si="11"/>
        <v>342.08639903573442</v>
      </c>
      <c r="CD29" s="62">
        <f ca="1">AVERAGE(OFFSET($CC$3,0,0,'Données projet'!$E$12+1,1))-AVERAGE(OFFSET($H$3,0,0,'Données projet'!$E$12+1,1))</f>
        <v>218.24409784339861</v>
      </c>
      <c r="CE29" s="62">
        <f t="shared" si="40"/>
        <v>118.89963447540509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15.078846153846158</v>
      </c>
      <c r="N30" s="14">
        <f>IF('Données projet'!$A$36&gt;35,N29+M30-V29,IF(A30&lt;'Données projet'!$A$36,$K$205^A30,IF(A30='Données projet'!$A$36,'Données projet'!$B$36,N29+M30-V29)))</f>
        <v>179.98846153846148</v>
      </c>
      <c r="O30" s="14">
        <f>N30*VLOOKUP('Données projet'!$B$9,Paramètres!$A$1:$I$89,3,0)*VLOOKUP('Données projet'!$B$9,Paramètres!$A$1:$I$89,5,0)</f>
        <v>107.63309999999997</v>
      </c>
      <c r="P30" s="14">
        <f t="shared" si="33"/>
        <v>28.772620454226065</v>
      </c>
      <c r="Q30" s="22">
        <f t="shared" si="2"/>
        <v>237.57329645777699</v>
      </c>
      <c r="R30" s="62">
        <f t="shared" si="0"/>
        <v>527.23996312444365</v>
      </c>
      <c r="S30" s="62">
        <f ca="1">AVERAGE(OFFSET($R$3,0,0,'Données projet'!$E$9+1,1))-AVERAGE(OFFSET($H$3,0,0,'Données projet'!$E$9+1,1))</f>
        <v>257.80952690600492</v>
      </c>
      <c r="T30" s="62">
        <f t="shared" si="34"/>
        <v>269.95358755269427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3.4434291967779793</v>
      </c>
      <c r="AB30" s="23">
        <f>EXP(-LN(2)/2)*AB29+(1-EXP(-LN(2)/2))/(LN(2)/2)*V30*Y30*VLOOKUP('Données projet'!$B$9,Paramètres!$A$1:$I$89,3,0)*0.475*44/12</f>
        <v>5.0239446888103654</v>
      </c>
      <c r="AC30" s="24">
        <f t="shared" si="3"/>
        <v>8.4673738855883443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10.8</v>
      </c>
      <c r="AI30" s="14">
        <f>IF('Données projet'!$A$62&gt;35,AI29+AH30-AQ29,IF(A30&lt;'Données projet'!$A$62,$AF$205^A30,IF(A30='Données projet'!$A$62,'Données projet'!$B$62,AI29+AH30-AQ29)))</f>
        <v>107.6</v>
      </c>
      <c r="AJ30" s="14">
        <f>AI30*VLOOKUP('Données projet'!$B$10,Paramètres!$A$1:$I$89,3,0)*VLOOKUP('Données projet'!$B$10,Paramètres!$A$1:$I$89,5,0)</f>
        <v>61.547200000000004</v>
      </c>
      <c r="AK30" s="14">
        <f t="shared" si="35"/>
        <v>17.558868196136149</v>
      </c>
      <c r="AL30" s="22">
        <f t="shared" si="4"/>
        <v>137.77640210827045</v>
      </c>
      <c r="AM30" s="62">
        <f t="shared" si="5"/>
        <v>427.44306877493716</v>
      </c>
      <c r="AN30" s="62">
        <f ca="1">AVERAGE(OFFSET($AM$3,0,0,'Données projet'!$E$10+1,1))-AVERAGE(OFFSET($H$3,0,0,'Données projet'!$E$10+1,1))</f>
        <v>258.09881752732008</v>
      </c>
      <c r="AO30" s="62">
        <f t="shared" si="36"/>
        <v>214.72899476643335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3.8858212451108316</v>
      </c>
      <c r="AX30" s="23">
        <f t="shared" si="6"/>
        <v>3.8858212451108316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4.8</v>
      </c>
      <c r="BD30" s="13">
        <f>IF('Données projet'!$A$88&gt;35,BD29+BC30-BL29,IF(A30&lt;'Données projet'!$A$88,$BA$205^A30,IF(A30='Données projet'!$A$88,'Données projet'!$B$88,BD29+BC30-BL29)))</f>
        <v>39.599999999999994</v>
      </c>
      <c r="BE30" s="14">
        <f>BD30*VLOOKUP('Données projet'!$B$11,Paramètres!$A$1:$I$89,3,0)*VLOOKUP('Données projet'!$B$11,Paramètres!$A$1:$I$89,5,0)</f>
        <v>38.301119999999997</v>
      </c>
      <c r="BF30" s="14">
        <f t="shared" si="37"/>
        <v>11.547227522927502</v>
      </c>
      <c r="BG30" s="22">
        <f t="shared" si="7"/>
        <v>86.819205269098731</v>
      </c>
      <c r="BH30" s="62">
        <f t="shared" si="8"/>
        <v>376.48587193576543</v>
      </c>
      <c r="BI30" s="62">
        <f ca="1">AVERAGE(OFFSET($BH$3,0,0,'Données projet'!$E$11+1,1))-AVERAGE(OFFSET($H$3,0,0,'Données projet'!$E$11+1,1))</f>
        <v>298.18906674058809</v>
      </c>
      <c r="BJ30" s="62">
        <f t="shared" si="38"/>
        <v>154.08406475869634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4.8</v>
      </c>
      <c r="BY30" s="13">
        <f>IF('Données projet'!$A$114&gt;35,BY29+BX30-CG29,IF(A30&lt;'Données projet'!$A$114,$BV$205^A30,IF(A30='Données projet'!$A$114,'Données projet'!$B$114,BY29+BX30-CG29)))</f>
        <v>39.599999999999994</v>
      </c>
      <c r="BZ30" s="14">
        <f>BY30*VLOOKUP('Données projet'!$B$12,Paramètres!$A$1:$I$89,3,0)*VLOOKUP('Données projet'!$B$12,Paramètres!$A$1:$I$89,5,0)</f>
        <v>26.563679999999998</v>
      </c>
      <c r="CA30" s="14">
        <f t="shared" si="39"/>
        <v>8.3570529453561306</v>
      </c>
      <c r="CB30" s="22">
        <f t="shared" si="10"/>
        <v>60.820276546495258</v>
      </c>
      <c r="CC30" s="62">
        <f t="shared" si="11"/>
        <v>350.48694321316196</v>
      </c>
      <c r="CD30" s="62">
        <f ca="1">AVERAGE(OFFSET($CC$3,0,0,'Données projet'!$E$12+1,1))-AVERAGE(OFFSET($H$3,0,0,'Données projet'!$E$12+1,1))</f>
        <v>218.24409784339861</v>
      </c>
      <c r="CE30" s="62">
        <f t="shared" si="40"/>
        <v>118.89963447540509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15.078846153846158</v>
      </c>
      <c r="N31" s="14">
        <f>IF('Données projet'!$A$36&gt;35,N30+M31-V30,IF(A31&lt;'Données projet'!$A$36,$K$205^A31,IF(A31='Données projet'!$A$36,'Données projet'!$B$36,N30+M31-V30)))</f>
        <v>195.06730769230762</v>
      </c>
      <c r="O31" s="14">
        <f>N31*VLOOKUP('Données projet'!$B$9,Paramètres!$A$1:$I$89,3,0)*VLOOKUP('Données projet'!$B$9,Paramètres!$A$1:$I$89,5,0)</f>
        <v>116.65024999999997</v>
      </c>
      <c r="P31" s="14">
        <f t="shared" si="33"/>
        <v>30.892442451857754</v>
      </c>
      <c r="Q31" s="22">
        <f t="shared" si="2"/>
        <v>256.97018935365219</v>
      </c>
      <c r="R31" s="62">
        <f t="shared" si="0"/>
        <v>547.85907824254105</v>
      </c>
      <c r="S31" s="62">
        <f ca="1">AVERAGE(OFFSET($R$3,0,0,'Données projet'!$E$9+1,1))-AVERAGE(OFFSET($H$3,0,0,'Données projet'!$E$9+1,1))</f>
        <v>257.80952690600492</v>
      </c>
      <c r="T31" s="62">
        <f t="shared" si="34"/>
        <v>269.95358755269427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3.349268444310014</v>
      </c>
      <c r="AB31" s="23">
        <f>EXP(-LN(2)/2)*AB30+(1-EXP(-LN(2)/2))/(LN(2)/2)*V31*Y31*VLOOKUP('Données projet'!$B$9,Paramètres!$A$1:$I$89,3,0)*0.475*44/12</f>
        <v>3.5524653577639489</v>
      </c>
      <c r="AC31" s="24">
        <f t="shared" si="3"/>
        <v>6.9017338020739629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10.8</v>
      </c>
      <c r="AI31" s="14">
        <f>IF('Données projet'!$A$62&gt;35,AI30+AH31-AQ30,IF(A31&lt;'Données projet'!$A$62,$AF$205^A31,IF(A31='Données projet'!$A$62,'Données projet'!$B$62,AI30+AH31-AQ30)))</f>
        <v>118.39999999999999</v>
      </c>
      <c r="AJ31" s="14">
        <f>AI31*VLOOKUP('Données projet'!$B$10,Paramètres!$A$1:$I$89,3,0)*VLOOKUP('Données projet'!$B$10,Paramètres!$A$1:$I$89,5,0)</f>
        <v>67.724800000000002</v>
      </c>
      <c r="AK31" s="14">
        <f t="shared" si="35"/>
        <v>19.107363253775425</v>
      </c>
      <c r="AL31" s="22">
        <f t="shared" si="4"/>
        <v>151.23268433365888</v>
      </c>
      <c r="AM31" s="62">
        <f t="shared" si="5"/>
        <v>442.12157322254774</v>
      </c>
      <c r="AN31" s="62">
        <f ca="1">AVERAGE(OFFSET($AM$3,0,0,'Données projet'!$E$10+1,1))-AVERAGE(OFFSET($H$3,0,0,'Données projet'!$E$10+1,1))</f>
        <v>258.09881752732008</v>
      </c>
      <c r="AO31" s="62">
        <f t="shared" si="36"/>
        <v>214.72899476643335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2.7476905528966227</v>
      </c>
      <c r="AX31" s="23">
        <f t="shared" si="6"/>
        <v>2.7476905528966227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4.8</v>
      </c>
      <c r="BD31" s="13">
        <f>IF('Données projet'!$A$88&gt;35,BD30+BC31-BL30,IF(A31&lt;'Données projet'!$A$88,$BA$205^A31,IF(A31='Données projet'!$A$88,'Données projet'!$B$88,BD30+BC31-BL30)))</f>
        <v>44.399999999999991</v>
      </c>
      <c r="BE31" s="14">
        <f>BD31*VLOOKUP('Données projet'!$B$11,Paramètres!$A$1:$I$89,3,0)*VLOOKUP('Données projet'!$B$11,Paramètres!$A$1:$I$89,5,0)</f>
        <v>42.943679999999993</v>
      </c>
      <c r="BF31" s="14">
        <f t="shared" si="37"/>
        <v>12.775615987781539</v>
      </c>
      <c r="BG31" s="22">
        <f t="shared" si="7"/>
        <v>97.044440512052844</v>
      </c>
      <c r="BH31" s="62">
        <f t="shared" si="8"/>
        <v>387.93332940094172</v>
      </c>
      <c r="BI31" s="62">
        <f ca="1">AVERAGE(OFFSET($BH$3,0,0,'Données projet'!$E$11+1,1))-AVERAGE(OFFSET($H$3,0,0,'Données projet'!$E$11+1,1))</f>
        <v>298.18906674058809</v>
      </c>
      <c r="BJ31" s="62">
        <f t="shared" si="38"/>
        <v>154.08406475869634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4.8</v>
      </c>
      <c r="BY31" s="13">
        <f>IF('Données projet'!$A$114&gt;35,BY30+BX31-CG30,IF(A31&lt;'Données projet'!$A$114,$BV$205^A31,IF(A31='Données projet'!$A$114,'Données projet'!$B$114,BY30+BX31-CG30)))</f>
        <v>44.399999999999991</v>
      </c>
      <c r="BZ31" s="14">
        <f>BY31*VLOOKUP('Données projet'!$B$12,Paramètres!$A$1:$I$89,3,0)*VLOOKUP('Données projet'!$B$12,Paramètres!$A$1:$I$89,5,0)</f>
        <v>29.783519999999992</v>
      </c>
      <c r="CA31" s="14">
        <f t="shared" si="39"/>
        <v>9.2460721855042003</v>
      </c>
      <c r="CB31" s="22">
        <f t="shared" si="10"/>
        <v>67.976539723086475</v>
      </c>
      <c r="CC31" s="62">
        <f t="shared" si="11"/>
        <v>358.86542861197535</v>
      </c>
      <c r="CD31" s="62">
        <f ca="1">AVERAGE(OFFSET($CC$3,0,0,'Données projet'!$E$12+1,1))-AVERAGE(OFFSET($H$3,0,0,'Données projet'!$E$12+1,1))</f>
        <v>218.24409784339861</v>
      </c>
      <c r="CE31" s="62">
        <f t="shared" si="40"/>
        <v>118.89963447540509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>
        <f>VLOOKUP(A32,'Données projet'!$A$35:$I$55,2,0)</f>
        <v>210.14615384615385</v>
      </c>
      <c r="L32" s="13">
        <f>VLOOKUP(A32,'Données projet'!$A$35:$I$55,9,0)</f>
        <v>15.078846153846158</v>
      </c>
      <c r="M32" s="13">
        <f t="array" ref="M32">INDEX(L:L,MIN(IF(ISNUMBER(L32:L228),ROW(L32:L228),"")))</f>
        <v>15.078846153846158</v>
      </c>
      <c r="N32" s="14">
        <f>IF('Données projet'!$A$36&gt;35,N31+M32-V31,IF(A32&lt;'Données projet'!$A$36,$K$205^A32,IF(A32='Données projet'!$A$36,'Données projet'!$B$36,N31+M32-V31)))</f>
        <v>210.14615384615377</v>
      </c>
      <c r="O32" s="14">
        <f>N32*VLOOKUP('Données projet'!$B$9,Paramètres!$A$1:$I$89,3,0)*VLOOKUP('Données projet'!$B$9,Paramètres!$A$1:$I$89,5,0)</f>
        <v>125.66739999999997</v>
      </c>
      <c r="P32" s="14">
        <f t="shared" si="33"/>
        <v>32.993256286656127</v>
      </c>
      <c r="Q32" s="22">
        <f t="shared" si="2"/>
        <v>276.33397636592599</v>
      </c>
      <c r="R32" s="62">
        <f t="shared" si="0"/>
        <v>568.44508747703708</v>
      </c>
      <c r="S32" s="62">
        <f ca="1">AVERAGE(OFFSET($R$3,0,0,'Données projet'!$E$9+1,1))-AVERAGE(OFFSET($H$3,0,0,'Données projet'!$E$9+1,1))</f>
        <v>257.80952690600492</v>
      </c>
      <c r="T32" s="62">
        <f t="shared" si="34"/>
        <v>269.95358755269427</v>
      </c>
      <c r="U32" s="16">
        <f>IF(ISNA(VLOOKUP(A32,'Données projet'!$A$35:$I$55,3,0)),0,VLOOKUP(A32,'Données projet'!$A$35:$I$55,3,0))</f>
        <v>3</v>
      </c>
      <c r="V32" s="16">
        <f>IF(ISNA(VLOOKUP(A32,'Données projet'!$A$35:$I$55,4,0)),0,VLOOKUP(A32,'Données projet'!$A$35:$I$55,4,0))</f>
        <v>47.661538461538463</v>
      </c>
      <c r="W32" s="17">
        <f>IF(ISNA(VLOOKUP(A32,'Données projet'!$A$35:$I$55,5,0)),0%,VLOOKUP(A32,'Données projet'!$A$35:$I$55,5,0)*VLOOKUP('Données projet'!$B$9,Paramètres!$A$1:$I$89,7,0))</f>
        <v>9.0000000000000011E-2</v>
      </c>
      <c r="X32" s="17">
        <f>IF(ISNA(VLOOKUP(A32,'Données projet'!$A$35:$I$55,6,0)),0%,VLOOKUP(A32,'Données projet'!$A$35:$I$55,6,0)*VLOOKUP('Données projet'!$B$9,Paramètres!$A$1:$I$89,7,0))</f>
        <v>0.13500000000000001</v>
      </c>
      <c r="Y32" s="17">
        <f>IF(ISNA(VLOOKUP(A32,'Données projet'!$A$35:$I$55,7,0)),0%,VLOOKUP(A32,'Données projet'!$A$35:$I$55,7,0))</f>
        <v>0.5</v>
      </c>
      <c r="Z32" s="23">
        <f>EXP(-LN(2)/35)*Z31+(1-EXP(-LN(2)/35))/(LN(2)/35)*V32*W32*VLOOKUP('Données projet'!$B$9,Paramètres!$A$1:$I$89,3,0)*0.475*44/12</f>
        <v>3.4028288534840034</v>
      </c>
      <c r="AA32" s="23">
        <f>EXP(-LN(2)/25)*AA31+(1-EXP(-LN(2)/25))/(LN(2)/25)*Calculateur!V32*Calculateur!X32*VLOOKUP('Données projet'!$B$9,Paramètres!$A$1:$I$89,3,0)*0.475*44/12</f>
        <v>8.3418284521325763</v>
      </c>
      <c r="AB32" s="23">
        <f>EXP(-LN(2)/2)*AB31+(1-EXP(-LN(2)/2))/(LN(2)/2)*V32*Y32*VLOOKUP('Données projet'!$B$9,Paramètres!$A$1:$I$89,3,0)*0.475*44/12</f>
        <v>18.647188369995344</v>
      </c>
      <c r="AC32" s="24">
        <f t="shared" si="3"/>
        <v>30.391845675611926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10.8</v>
      </c>
      <c r="AI32" s="14">
        <f>IF('Données projet'!$A$62&gt;35,AI31+AH32-AQ31,IF(A32&lt;'Données projet'!$A$62,$AF$205^A32,IF(A32='Données projet'!$A$62,'Données projet'!$B$62,AI31+AH32-AQ31)))</f>
        <v>129.19999999999999</v>
      </c>
      <c r="AJ32" s="14">
        <f>AI32*VLOOKUP('Données projet'!$B$10,Paramètres!$A$1:$I$89,3,0)*VLOOKUP('Données projet'!$B$10,Paramètres!$A$1:$I$89,5,0)</f>
        <v>73.902399999999986</v>
      </c>
      <c r="AK32" s="14">
        <f t="shared" si="35"/>
        <v>20.639480080340533</v>
      </c>
      <c r="AL32" s="22">
        <f t="shared" si="4"/>
        <v>164.66044113992641</v>
      </c>
      <c r="AM32" s="62">
        <f t="shared" si="5"/>
        <v>456.77155225103752</v>
      </c>
      <c r="AN32" s="62">
        <f ca="1">AVERAGE(OFFSET($AM$3,0,0,'Données projet'!$E$10+1,1))-AVERAGE(OFFSET($H$3,0,0,'Données projet'!$E$10+1,1))</f>
        <v>258.09881752732008</v>
      </c>
      <c r="AO32" s="62">
        <f t="shared" si="36"/>
        <v>214.72899476643335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1.942910622555416</v>
      </c>
      <c r="AX32" s="23">
        <f t="shared" si="6"/>
        <v>1.942910622555416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4.8</v>
      </c>
      <c r="BD32" s="13">
        <f>IF('Données projet'!$A$88&gt;35,BD31+BC32-BL31,IF(A32&lt;'Données projet'!$A$88,$BA$205^A32,IF(A32='Données projet'!$A$88,'Données projet'!$B$88,BD31+BC32-BL31)))</f>
        <v>49.199999999999989</v>
      </c>
      <c r="BE32" s="14">
        <f>BD32*VLOOKUP('Données projet'!$B$11,Paramètres!$A$1:$I$89,3,0)*VLOOKUP('Données projet'!$B$11,Paramètres!$A$1:$I$89,5,0)</f>
        <v>47.586239999999989</v>
      </c>
      <c r="BF32" s="14">
        <f t="shared" si="37"/>
        <v>13.98861191110446</v>
      </c>
      <c r="BG32" s="22">
        <f t="shared" si="7"/>
        <v>107.2428670785069</v>
      </c>
      <c r="BH32" s="62">
        <f t="shared" si="8"/>
        <v>399.35397818961803</v>
      </c>
      <c r="BI32" s="62">
        <f ca="1">AVERAGE(OFFSET($BH$3,0,0,'Données projet'!$E$11+1,1))-AVERAGE(OFFSET($H$3,0,0,'Données projet'!$E$11+1,1))</f>
        <v>298.18906674058809</v>
      </c>
      <c r="BJ32" s="62">
        <f t="shared" si="38"/>
        <v>154.08406475869634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4.8</v>
      </c>
      <c r="BY32" s="13">
        <f>IF('Données projet'!$A$114&gt;35,BY31+BX32-CG31,IF(A32&lt;'Données projet'!$A$114,$BV$205^A32,IF(A32='Données projet'!$A$114,'Données projet'!$B$114,BY31+BX32-CG31)))</f>
        <v>49.199999999999989</v>
      </c>
      <c r="BZ32" s="14">
        <f>BY32*VLOOKUP('Données projet'!$B$12,Paramètres!$A$1:$I$89,3,0)*VLOOKUP('Données projet'!$B$12,Paramètres!$A$1:$I$89,5,0)</f>
        <v>33.003359999999994</v>
      </c>
      <c r="CA32" s="14">
        <f t="shared" si="39"/>
        <v>10.12395141093587</v>
      </c>
      <c r="CB32" s="22">
        <f t="shared" si="10"/>
        <v>75.113400707379952</v>
      </c>
      <c r="CC32" s="62">
        <f t="shared" si="11"/>
        <v>367.22451181849112</v>
      </c>
      <c r="CD32" s="62">
        <f ca="1">AVERAGE(OFFSET($CC$3,0,0,'Données projet'!$E$12+1,1))-AVERAGE(OFFSET($H$3,0,0,'Données projet'!$E$12+1,1))</f>
        <v>218.24409784339861</v>
      </c>
      <c r="CE32" s="62">
        <f t="shared" si="40"/>
        <v>118.89963447540509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14.175384615384615</v>
      </c>
      <c r="N33" s="14">
        <f>IF('Données projet'!$A$36&gt;35,N32+M33-V32,IF(A33&lt;'Données projet'!$A$36,$K$205^A33,IF(A33='Données projet'!$A$36,'Données projet'!$B$36,N32+M33-V32)))</f>
        <v>176.65999999999991</v>
      </c>
      <c r="O33" s="14">
        <f>N33*VLOOKUP('Données projet'!$B$9,Paramètres!$A$1:$I$89,3,0)*VLOOKUP('Données projet'!$B$9,Paramètres!$A$1:$I$89,5,0)</f>
        <v>105.64267999999996</v>
      </c>
      <c r="P33" s="14">
        <f t="shared" si="33"/>
        <v>28.301963570925022</v>
      </c>
      <c r="Q33" s="22">
        <f t="shared" si="2"/>
        <v>233.28692088602762</v>
      </c>
      <c r="R33" s="62">
        <f t="shared" si="0"/>
        <v>526.62025421936096</v>
      </c>
      <c r="S33" s="62">
        <f ca="1">AVERAGE(OFFSET($R$3,0,0,'Données projet'!$E$9+1,1))-AVERAGE(OFFSET($H$3,0,0,'Données projet'!$E$9+1,1))</f>
        <v>257.80952690600492</v>
      </c>
      <c r="T33" s="62">
        <f t="shared" si="34"/>
        <v>269.95358755269427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3.3361014551878423</v>
      </c>
      <c r="AA33" s="23">
        <f>EXP(-LN(2)/25)*AA32+(1-EXP(-LN(2)/25))/(LN(2)/25)*Calculateur!V33*Calculateur!X33*VLOOKUP('Données projet'!$B$9,Paramètres!$A$1:$I$89,3,0)*0.475*44/12</f>
        <v>8.1137207144313184</v>
      </c>
      <c r="AB33" s="23">
        <f>EXP(-LN(2)/2)*AB32+(1-EXP(-LN(2)/2))/(LN(2)/2)*V33*Y33*VLOOKUP('Données projet'!$B$9,Paramètres!$A$1:$I$89,3,0)*0.475*44/12</f>
        <v>13.185553346486632</v>
      </c>
      <c r="AC33" s="24">
        <f t="shared" si="3"/>
        <v>24.635375516105793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140</v>
      </c>
      <c r="AG33" s="13">
        <f>VLOOKUP(A33,'Données projet'!$A$61:$I$81,9,0)</f>
        <v>10.8</v>
      </c>
      <c r="AH33" s="13">
        <f t="array" ref="AH33">INDEX(AG:AG,MIN(IF(ISNUMBER(AG33:AG229),ROW(AG33:AG229),"")))</f>
        <v>10.8</v>
      </c>
      <c r="AI33" s="14">
        <f>IF('Données projet'!$A$62&gt;35,AI32+AH33-AQ32,IF(A33&lt;'Données projet'!$A$62,$AF$205^A33,IF(A33='Données projet'!$A$62,'Données projet'!$B$62,AI32+AH33-AQ32)))</f>
        <v>140</v>
      </c>
      <c r="AJ33" s="14">
        <f>AI33*VLOOKUP('Données projet'!$B$10,Paramètres!$A$1:$I$89,3,0)*VLOOKUP('Données projet'!$B$10,Paramètres!$A$1:$I$89,5,0)</f>
        <v>80.08</v>
      </c>
      <c r="AK33" s="14">
        <f t="shared" si="35"/>
        <v>22.156743406564633</v>
      </c>
      <c r="AL33" s="22">
        <f t="shared" si="4"/>
        <v>178.06232809976675</v>
      </c>
      <c r="AM33" s="62">
        <f t="shared" si="5"/>
        <v>471.39566143310003</v>
      </c>
      <c r="AN33" s="62">
        <f ca="1">AVERAGE(OFFSET($AM$3,0,0,'Données projet'!$E$10+1,1))-AVERAGE(OFFSET($H$3,0,0,'Données projet'!$E$10+1,1))</f>
        <v>258.09881752732008</v>
      </c>
      <c r="AO33" s="62">
        <f t="shared" si="36"/>
        <v>214.72899476643335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23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1.3738452764483116</v>
      </c>
      <c r="AX33" s="23">
        <f t="shared" si="6"/>
        <v>1.3738452764483116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54</v>
      </c>
      <c r="BB33" s="13">
        <f>VLOOKUP(A33,'Données projet'!$A$87:$I$107,9,0)</f>
        <v>4.8</v>
      </c>
      <c r="BC33" s="13">
        <f t="array" ref="BC33">INDEX(BB:BB,MIN(IF(ISNUMBER(BB33:BB229),ROW(BB33:BB229),"")))</f>
        <v>4.8</v>
      </c>
      <c r="BD33" s="13">
        <f>IF('Données projet'!$A$88&gt;35,BD32+BC33-BL32,IF(A33&lt;'Données projet'!$A$88,$BA$205^A33,IF(A33='Données projet'!$A$88,'Données projet'!$B$88,BD32+BC33-BL32)))</f>
        <v>53.999999999999986</v>
      </c>
      <c r="BE33" s="14">
        <f>BD33*VLOOKUP('Données projet'!$B$11,Paramètres!$A$1:$I$89,3,0)*VLOOKUP('Données projet'!$B$11,Paramètres!$A$1:$I$89,5,0)</f>
        <v>52.228799999999985</v>
      </c>
      <c r="BF33" s="14">
        <f t="shared" si="37"/>
        <v>15.187887899730002</v>
      </c>
      <c r="BG33" s="22">
        <f t="shared" si="7"/>
        <v>117.41739809202973</v>
      </c>
      <c r="BH33" s="62">
        <f t="shared" si="8"/>
        <v>410.75073142536303</v>
      </c>
      <c r="BI33" s="62">
        <f ca="1">AVERAGE(OFFSET($BH$3,0,0,'Données projet'!$E$11+1,1))-AVERAGE(OFFSET($H$3,0,0,'Données projet'!$E$11+1,1))</f>
        <v>298.18906674058809</v>
      </c>
      <c r="BJ33" s="62">
        <f t="shared" si="38"/>
        <v>154.08406475869634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54</v>
      </c>
      <c r="BW33" s="13">
        <f>VLOOKUP(A33,'Données projet'!$A$113:$I$133,9,0)</f>
        <v>4.8</v>
      </c>
      <c r="BX33" s="13">
        <f t="array" ref="BX33">INDEX(BW:BW,MIN(IF(ISNUMBER(BW33:BW229),ROW(BW33:BW229),"")))</f>
        <v>4.8</v>
      </c>
      <c r="BY33" s="13">
        <f>IF('Données projet'!$A$114&gt;35,BY32+BX33-CG32,IF(A33&lt;'Données projet'!$A$114,$BV$205^A33,IF(A33='Données projet'!$A$114,'Données projet'!$B$114,BY32+BX33-CG32)))</f>
        <v>53.999999999999986</v>
      </c>
      <c r="BZ33" s="14">
        <f>BY33*VLOOKUP('Données projet'!$B$12,Paramètres!$A$1:$I$89,3,0)*VLOOKUP('Données projet'!$B$12,Paramètres!$A$1:$I$89,5,0)</f>
        <v>36.223199999999991</v>
      </c>
      <c r="CA33" s="14">
        <f t="shared" si="39"/>
        <v>10.991901134203907</v>
      </c>
      <c r="CB33" s="22">
        <f t="shared" si="10"/>
        <v>82.232967808738451</v>
      </c>
      <c r="CC33" s="62">
        <f t="shared" si="11"/>
        <v>375.56630114207178</v>
      </c>
      <c r="CD33" s="62">
        <f ca="1">AVERAGE(OFFSET($CC$3,0,0,'Données projet'!$E$12+1,1))-AVERAGE(OFFSET($H$3,0,0,'Données projet'!$E$12+1,1))</f>
        <v>218.24409784339861</v>
      </c>
      <c r="CE33" s="62">
        <f t="shared" si="40"/>
        <v>118.89963447540509</v>
      </c>
      <c r="CF33" s="16">
        <f>IF(ISNA(VLOOKUP(A33,'Données projet'!$A$113:$I$133,3,0)),0,VLOOKUP(A33,'Données projet'!$A$113:$I$133,3,0))</f>
        <v>2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14.175384615384615</v>
      </c>
      <c r="N34" s="14">
        <f>IF('Données projet'!$A$36&gt;35,N33+M34-V33,IF(A34&lt;'Données projet'!$A$36,$K$205^A34,IF(A34='Données projet'!$A$36,'Données projet'!$B$36,N33+M34-V33)))</f>
        <v>190.83538461538453</v>
      </c>
      <c r="O34" s="14">
        <f>N34*VLOOKUP('Données projet'!$B$9,Paramètres!$A$1:$I$89,3,0)*VLOOKUP('Données projet'!$B$9,Paramètres!$A$1:$I$89,5,0)</f>
        <v>114.11955999999996</v>
      </c>
      <c r="P34" s="14">
        <f t="shared" si="33"/>
        <v>30.299498410587454</v>
      </c>
      <c r="Q34" s="22">
        <f t="shared" si="2"/>
        <v>251.52986006510639</v>
      </c>
      <c r="R34" s="62">
        <f t="shared" si="0"/>
        <v>544.86319339843976</v>
      </c>
      <c r="S34" s="62">
        <f ca="1">AVERAGE(OFFSET($R$3,0,0,'Données projet'!$E$9+1,1))-AVERAGE(OFFSET($H$3,0,0,'Données projet'!$E$9+1,1))</f>
        <v>257.80952690600492</v>
      </c>
      <c r="T34" s="62">
        <f t="shared" si="34"/>
        <v>269.95358755269427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3.2706825404725746</v>
      </c>
      <c r="AA34" s="23">
        <f>EXP(-LN(2)/25)*AA33+(1-EXP(-LN(2)/25))/(LN(2)/25)*Calculateur!V34*Calculateur!X34*VLOOKUP('Données projet'!$B$9,Paramètres!$A$1:$I$89,3,0)*0.475*44/12</f>
        <v>7.8918505948131656</v>
      </c>
      <c r="AB34" s="23">
        <f>EXP(-LN(2)/2)*AB33+(1-EXP(-LN(2)/2))/(LN(2)/2)*V34*Y34*VLOOKUP('Données projet'!$B$9,Paramètres!$A$1:$I$89,3,0)*0.475*44/12</f>
        <v>9.3235941849976722</v>
      </c>
      <c r="AC34" s="24">
        <f t="shared" si="3"/>
        <v>20.486127320283412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10.8</v>
      </c>
      <c r="AI34" s="14">
        <f>IF('Données projet'!$A$62&gt;35,AI33+AH34-AQ33,IF(A34&lt;'Données projet'!$A$62,$AF$205^A34,IF(A34='Données projet'!$A$62,'Données projet'!$B$62,AI33+AH34-AQ33)))</f>
        <v>127.80000000000001</v>
      </c>
      <c r="AJ34" s="14">
        <f>AI34*VLOOKUP('Données projet'!$B$10,Paramètres!$A$1:$I$89,3,0)*VLOOKUP('Données projet'!$B$10,Paramètres!$A$1:$I$89,5,0)</f>
        <v>73.101600000000005</v>
      </c>
      <c r="AK34" s="14">
        <f t="shared" si="35"/>
        <v>20.441739914591079</v>
      </c>
      <c r="AL34" s="22">
        <f t="shared" si="4"/>
        <v>162.9213170179128</v>
      </c>
      <c r="AM34" s="62">
        <f t="shared" si="5"/>
        <v>456.25465035124614</v>
      </c>
      <c r="AN34" s="62">
        <f ca="1">AVERAGE(OFFSET($AM$3,0,0,'Données projet'!$E$10+1,1))-AVERAGE(OFFSET($H$3,0,0,'Données projet'!$E$10+1,1))</f>
        <v>258.09881752732008</v>
      </c>
      <c r="AO34" s="62">
        <f t="shared" si="36"/>
        <v>214.72899476643335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0.97145531127770823</v>
      </c>
      <c r="AX34" s="23">
        <f t="shared" si="6"/>
        <v>0.97145531127770823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5</v>
      </c>
      <c r="BD34" s="13">
        <f>IF('Données projet'!$A$88&gt;35,BD33+BC34-BL33,IF(A34&lt;'Données projet'!$A$88,$BA$205^A34,IF(A34='Données projet'!$A$88,'Données projet'!$B$88,BD33+BC34-BL33)))</f>
        <v>58.999999999999986</v>
      </c>
      <c r="BE34" s="14">
        <f>BD34*VLOOKUP('Données projet'!$B$11,Paramètres!$A$1:$I$89,3,0)*VLOOKUP('Données projet'!$B$11,Paramètres!$A$1:$I$89,5,0)</f>
        <v>57.064799999999991</v>
      </c>
      <c r="BF34" s="14">
        <f t="shared" si="37"/>
        <v>16.424005972947381</v>
      </c>
      <c r="BG34" s="22">
        <f t="shared" si="7"/>
        <v>127.99300373621668</v>
      </c>
      <c r="BH34" s="62">
        <f t="shared" si="8"/>
        <v>421.32633706954999</v>
      </c>
      <c r="BI34" s="62">
        <f ca="1">AVERAGE(OFFSET($BH$3,0,0,'Données projet'!$E$11+1,1))-AVERAGE(OFFSET($H$3,0,0,'Données projet'!$E$11+1,1))</f>
        <v>298.18906674058809</v>
      </c>
      <c r="BJ34" s="62">
        <f t="shared" si="38"/>
        <v>154.08406475869634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5</v>
      </c>
      <c r="BY34" s="13">
        <f>IF('Données projet'!$A$114&gt;35,BY33+BX34-CG33,IF(A34&lt;'Données projet'!$A$114,$BV$205^A34,IF(A34='Données projet'!$A$114,'Données projet'!$B$114,BY33+BX34-CG33)))</f>
        <v>58.999999999999986</v>
      </c>
      <c r="BZ34" s="14">
        <f>BY34*VLOOKUP('Données projet'!$B$12,Paramètres!$A$1:$I$89,3,0)*VLOOKUP('Données projet'!$B$12,Paramètres!$A$1:$I$89,5,0)</f>
        <v>39.577199999999991</v>
      </c>
      <c r="CA34" s="14">
        <f t="shared" si="39"/>
        <v>11.886514509066229</v>
      </c>
      <c r="CB34" s="22">
        <f t="shared" si="10"/>
        <v>89.632636103290338</v>
      </c>
      <c r="CC34" s="62">
        <f t="shared" si="11"/>
        <v>382.96596943662365</v>
      </c>
      <c r="CD34" s="62">
        <f ca="1">AVERAGE(OFFSET($CC$3,0,0,'Données projet'!$E$12+1,1))-AVERAGE(OFFSET($H$3,0,0,'Données projet'!$E$12+1,1))</f>
        <v>218.24409784339861</v>
      </c>
      <c r="CE34" s="62">
        <f t="shared" si="40"/>
        <v>118.89963447540509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14.175384615384615</v>
      </c>
      <c r="N35" s="14">
        <f>IF('Données projet'!$A$36&gt;35,N34+M35-V34,IF(A35&lt;'Données projet'!$A$36,$K$205^A35,IF(A35='Données projet'!$A$36,'Données projet'!$B$36,N34+M35-V34)))</f>
        <v>205.01076923076914</v>
      </c>
      <c r="O35" s="14">
        <f>N35*VLOOKUP('Données projet'!$B$9,Paramètres!$A$1:$I$89,3,0)*VLOOKUP('Données projet'!$B$9,Paramètres!$A$1:$I$89,5,0)</f>
        <v>122.59643999999996</v>
      </c>
      <c r="P35" s="14">
        <f t="shared" si="33"/>
        <v>32.279819769615763</v>
      </c>
      <c r="Q35" s="22">
        <f t="shared" ref="Q35:Q66" si="53">(O35+P35)*0.475*44/12</f>
        <v>269.74281909874736</v>
      </c>
      <c r="R35" s="62">
        <f t="shared" si="0"/>
        <v>563.07615243208068</v>
      </c>
      <c r="S35" s="62">
        <f ca="1">AVERAGE(OFFSET($R$3,0,0,'Données projet'!$E$9+1,1))-AVERAGE(OFFSET($H$3,0,0,'Données projet'!$E$9+1,1))</f>
        <v>257.80952690600492</v>
      </c>
      <c r="T35" s="62">
        <f t="shared" si="34"/>
        <v>269.95358755269427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3.206546450773275</v>
      </c>
      <c r="AA35" s="23">
        <f>EXP(-LN(2)/25)*AA34+(1-EXP(-LN(2)/25))/(LN(2)/25)*Calculateur!V35*Calculateur!X35*VLOOKUP('Données projet'!$B$9,Paramètres!$A$1:$I$89,3,0)*0.475*44/12</f>
        <v>7.6760475252836136</v>
      </c>
      <c r="AB35" s="23">
        <f>EXP(-LN(2)/2)*AB34+(1-EXP(-LN(2)/2))/(LN(2)/2)*V35*Y35*VLOOKUP('Données projet'!$B$9,Paramètres!$A$1:$I$89,3,0)*0.475*44/12</f>
        <v>6.592776673243316</v>
      </c>
      <c r="AC35" s="24">
        <f t="shared" si="3"/>
        <v>17.475370649300203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10.8</v>
      </c>
      <c r="AI35" s="14">
        <f>IF('Données projet'!$A$62&gt;35,AI34+AH35-AQ34,IF(A35&lt;'Données projet'!$A$62,$AF$205^A35,IF(A35='Données projet'!$A$62,'Données projet'!$B$62,AI34+AH35-AQ34)))</f>
        <v>138.60000000000002</v>
      </c>
      <c r="AJ35" s="14">
        <f>AI35*VLOOKUP('Données projet'!$B$10,Paramètres!$A$1:$I$89,3,0)*VLOOKUP('Données projet'!$B$10,Paramètres!$A$1:$I$89,5,0)</f>
        <v>79.279200000000017</v>
      </c>
      <c r="AK35" s="14">
        <f t="shared" si="35"/>
        <v>21.960852053344638</v>
      </c>
      <c r="AL35" s="22">
        <f t="shared" si="4"/>
        <v>176.32642399290862</v>
      </c>
      <c r="AM35" s="62">
        <f t="shared" si="5"/>
        <v>469.6597573262419</v>
      </c>
      <c r="AN35" s="62">
        <f ca="1">AVERAGE(OFFSET($AM$3,0,0,'Données projet'!$E$10+1,1))-AVERAGE(OFFSET($H$3,0,0,'Données projet'!$E$10+1,1))</f>
        <v>258.09881752732008</v>
      </c>
      <c r="AO35" s="62">
        <f t="shared" si="36"/>
        <v>214.72899476643335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0.68692263822415589</v>
      </c>
      <c r="AX35" s="23">
        <f t="shared" si="6"/>
        <v>0.68692263822415589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5</v>
      </c>
      <c r="BD35" s="13">
        <f>IF('Données projet'!$A$88&gt;35,BD34+BC35-BL34,IF(A35&lt;'Données projet'!$A$88,$BA$205^A35,IF(A35='Données projet'!$A$88,'Données projet'!$B$88,BD34+BC35-BL34)))</f>
        <v>63.999999999999986</v>
      </c>
      <c r="BE35" s="14">
        <f>BD35*VLOOKUP('Données projet'!$B$11,Paramètres!$A$1:$I$89,3,0)*VLOOKUP('Données projet'!$B$11,Paramètres!$A$1:$I$89,5,0)</f>
        <v>61.90079999999999</v>
      </c>
      <c r="BF35" s="14">
        <f t="shared" si="37"/>
        <v>17.647975079256284</v>
      </c>
      <c r="BG35" s="22">
        <f t="shared" si="7"/>
        <v>138.54744992970467</v>
      </c>
      <c r="BH35" s="62">
        <f t="shared" si="8"/>
        <v>431.88078326303798</v>
      </c>
      <c r="BI35" s="62">
        <f ca="1">AVERAGE(OFFSET($BH$3,0,0,'Données projet'!$E$11+1,1))-AVERAGE(OFFSET($H$3,0,0,'Données projet'!$E$11+1,1))</f>
        <v>298.18906674058809</v>
      </c>
      <c r="BJ35" s="62">
        <f t="shared" si="38"/>
        <v>154.08406475869634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5</v>
      </c>
      <c r="BY35" s="13">
        <f>IF('Données projet'!$A$114&gt;35,BY34+BX35-CG34,IF(A35&lt;'Données projet'!$A$114,$BV$205^A35,IF(A35='Données projet'!$A$114,'Données projet'!$B$114,BY34+BX35-CG34)))</f>
        <v>63.999999999999986</v>
      </c>
      <c r="BZ35" s="14">
        <f>BY35*VLOOKUP('Données projet'!$B$12,Paramètres!$A$1:$I$89,3,0)*VLOOKUP('Données projet'!$B$12,Paramètres!$A$1:$I$89,5,0)</f>
        <v>42.93119999999999</v>
      </c>
      <c r="CA35" s="14">
        <f t="shared" si="39"/>
        <v>12.772335335285687</v>
      </c>
      <c r="CB35" s="22">
        <f t="shared" si="10"/>
        <v>97.016990708955873</v>
      </c>
      <c r="CC35" s="62">
        <f t="shared" si="11"/>
        <v>390.35032404228917</v>
      </c>
      <c r="CD35" s="62">
        <f ca="1">AVERAGE(OFFSET($CC$3,0,0,'Données projet'!$E$12+1,1))-AVERAGE(OFFSET($H$3,0,0,'Données projet'!$E$12+1,1))</f>
        <v>218.24409784339861</v>
      </c>
      <c r="CE35" s="62">
        <f t="shared" si="40"/>
        <v>118.89963447540509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14.175384615384615</v>
      </c>
      <c r="N36" s="14">
        <f>IF('Données projet'!$A$36&gt;35,N35+M36-V35,IF(A36&lt;'Données projet'!$A$36,$K$205^A36,IF(A36='Données projet'!$A$36,'Données projet'!$B$36,N35+M36-V35)))</f>
        <v>219.18615384615376</v>
      </c>
      <c r="O36" s="14">
        <f>N36*VLOOKUP('Données projet'!$B$9,Paramètres!$A$1:$I$89,3,0)*VLOOKUP('Données projet'!$B$9,Paramètres!$A$1:$I$89,5,0)</f>
        <v>131.07331999999994</v>
      </c>
      <c r="P36" s="14">
        <f t="shared" si="33"/>
        <v>34.244253261100795</v>
      </c>
      <c r="Q36" s="22">
        <f t="shared" si="53"/>
        <v>287.92810676308375</v>
      </c>
      <c r="R36" s="62">
        <f t="shared" si="0"/>
        <v>581.26144009641712</v>
      </c>
      <c r="S36" s="62">
        <f ca="1">AVERAGE(OFFSET($R$3,0,0,'Données projet'!$E$9+1,1))-AVERAGE(OFFSET($H$3,0,0,'Données projet'!$E$9+1,1))</f>
        <v>257.80952690600492</v>
      </c>
      <c r="T36" s="62">
        <f t="shared" si="34"/>
        <v>269.95358755269427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3.1436680306738269</v>
      </c>
      <c r="AA36" s="23">
        <f>EXP(-LN(2)/25)*AA35+(1-EXP(-LN(2)/25))/(LN(2)/25)*Calculateur!V36*Calculateur!X36*VLOOKUP('Données projet'!$B$9,Paramètres!$A$1:$I$89,3,0)*0.475*44/12</f>
        <v>7.4661456020389378</v>
      </c>
      <c r="AB36" s="23">
        <f>EXP(-LN(2)/2)*AB35+(1-EXP(-LN(2)/2))/(LN(2)/2)*V36*Y36*VLOOKUP('Données projet'!$B$9,Paramètres!$A$1:$I$89,3,0)*0.475*44/12</f>
        <v>4.6617970924988361</v>
      </c>
      <c r="AC36" s="24">
        <f t="shared" si="3"/>
        <v>15.271610725211602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10.8</v>
      </c>
      <c r="AI36" s="14">
        <f>IF('Données projet'!$A$62&gt;35,AI35+AH36-AQ35,IF(A36&lt;'Données projet'!$A$62,$AF$205^A36,IF(A36='Données projet'!$A$62,'Données projet'!$B$62,AI35+AH36-AQ35)))</f>
        <v>149.40000000000003</v>
      </c>
      <c r="AJ36" s="14">
        <f>AI36*VLOOKUP('Données projet'!$B$10,Paramètres!$A$1:$I$89,3,0)*VLOOKUP('Données projet'!$B$10,Paramètres!$A$1:$I$89,5,0)</f>
        <v>85.45680000000003</v>
      </c>
      <c r="AK36" s="14">
        <f t="shared" si="35"/>
        <v>23.466233286749581</v>
      </c>
      <c r="AL36" s="22">
        <f t="shared" si="4"/>
        <v>189.70761630775556</v>
      </c>
      <c r="AM36" s="62">
        <f t="shared" si="5"/>
        <v>483.0409496410889</v>
      </c>
      <c r="AN36" s="62">
        <f ca="1">AVERAGE(OFFSET($AM$3,0,0,'Données projet'!$E$10+1,1))-AVERAGE(OFFSET($H$3,0,0,'Données projet'!$E$10+1,1))</f>
        <v>258.09881752732008</v>
      </c>
      <c r="AO36" s="62">
        <f t="shared" si="36"/>
        <v>214.72899476643335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0.48572765563885417</v>
      </c>
      <c r="AX36" s="23">
        <f t="shared" si="6"/>
        <v>0.48572765563885417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5</v>
      </c>
      <c r="BD36" s="13">
        <f>IF('Données projet'!$A$88&gt;35,BD35+BC36-BL35,IF(A36&lt;'Données projet'!$A$88,$BA$205^A36,IF(A36='Données projet'!$A$88,'Données projet'!$B$88,BD35+BC36-BL35)))</f>
        <v>68.999999999999986</v>
      </c>
      <c r="BE36" s="14">
        <f>BD36*VLOOKUP('Données projet'!$B$11,Paramètres!$A$1:$I$89,3,0)*VLOOKUP('Données projet'!$B$11,Paramètres!$A$1:$I$89,5,0)</f>
        <v>66.736799999999988</v>
      </c>
      <c r="BF36" s="14">
        <f t="shared" si="37"/>
        <v>18.860852268900583</v>
      </c>
      <c r="BG36" s="22">
        <f t="shared" si="7"/>
        <v>149.0825777016685</v>
      </c>
      <c r="BH36" s="62">
        <f t="shared" si="8"/>
        <v>442.41591103500184</v>
      </c>
      <c r="BI36" s="62">
        <f ca="1">AVERAGE(OFFSET($BH$3,0,0,'Données projet'!$E$11+1,1))-AVERAGE(OFFSET($H$3,0,0,'Données projet'!$E$11+1,1))</f>
        <v>298.18906674058809</v>
      </c>
      <c r="BJ36" s="62">
        <f t="shared" si="38"/>
        <v>154.08406475869634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5</v>
      </c>
      <c r="BY36" s="13">
        <f>IF('Données projet'!$A$114&gt;35,BY35+BX36-CG35,IF(A36&lt;'Données projet'!$A$114,$BV$205^A36,IF(A36='Données projet'!$A$114,'Données projet'!$B$114,BY35+BX36-CG35)))</f>
        <v>68.999999999999986</v>
      </c>
      <c r="BZ36" s="14">
        <f>BY36*VLOOKUP('Données projet'!$B$12,Paramètres!$A$1:$I$89,3,0)*VLOOKUP('Données projet'!$B$12,Paramètres!$A$1:$I$89,5,0)</f>
        <v>46.285199999999996</v>
      </c>
      <c r="CA36" s="14">
        <f t="shared" si="39"/>
        <v>13.650128629818649</v>
      </c>
      <c r="CB36" s="22">
        <f t="shared" si="10"/>
        <v>104.38736403026746</v>
      </c>
      <c r="CC36" s="62">
        <f t="shared" si="11"/>
        <v>397.72069736360078</v>
      </c>
      <c r="CD36" s="62">
        <f ca="1">AVERAGE(OFFSET($CC$3,0,0,'Données projet'!$E$12+1,1))-AVERAGE(OFFSET($H$3,0,0,'Données projet'!$E$12+1,1))</f>
        <v>218.24409784339861</v>
      </c>
      <c r="CE36" s="62">
        <f t="shared" si="40"/>
        <v>118.89963447540509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>
        <f>VLOOKUP(A37,'Données projet'!$A$35:$I$55,2,0)</f>
        <v>233.36153846153846</v>
      </c>
      <c r="L37" s="13">
        <f>VLOOKUP(A37,'Données projet'!$A$35:$I$55,9,0)</f>
        <v>14.175384615384615</v>
      </c>
      <c r="M37" s="13">
        <f t="array" ref="M37">INDEX(L:L,MIN(IF(ISNUMBER(L37:L233),ROW(L37:L233),"")))</f>
        <v>14.175384615384615</v>
      </c>
      <c r="N37" s="14">
        <f>IF('Données projet'!$A$36&gt;35,N36+M37-V36,IF(A37&lt;'Données projet'!$A$36,$K$205^A37,IF(A37='Données projet'!$A$36,'Données projet'!$B$36,N36+M37-V36)))</f>
        <v>233.36153846153837</v>
      </c>
      <c r="O37" s="14">
        <f>N37*VLOOKUP('Données projet'!$B$9,Paramètres!$A$1:$I$89,3,0)*VLOOKUP('Données projet'!$B$9,Paramètres!$A$1:$I$89,5,0)</f>
        <v>139.55019999999996</v>
      </c>
      <c r="P37" s="14">
        <f t="shared" si="33"/>
        <v>36.193943340422692</v>
      </c>
      <c r="Q37" s="22">
        <f t="shared" si="53"/>
        <v>306.08771631790279</v>
      </c>
      <c r="R37" s="62">
        <f t="shared" si="0"/>
        <v>599.4210496512361</v>
      </c>
      <c r="S37" s="62">
        <f ca="1">AVERAGE(OFFSET($R$3,0,0,'Données projet'!$E$9+1,1))-AVERAGE(OFFSET($H$3,0,0,'Données projet'!$E$9+1,1))</f>
        <v>257.80952690600492</v>
      </c>
      <c r="T37" s="62">
        <f t="shared" si="34"/>
        <v>269.95358755269427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3.0820226180404795</v>
      </c>
      <c r="AA37" s="23">
        <f>EXP(-LN(2)/25)*AA36+(1-EXP(-LN(2)/25))/(LN(2)/25)*Calculateur!V37*Calculateur!X37*VLOOKUP('Données projet'!$B$9,Paramètres!$A$1:$I$89,3,0)*0.475*44/12</f>
        <v>7.26198345792365</v>
      </c>
      <c r="AB37" s="23">
        <f>EXP(-LN(2)/2)*AB36+(1-EXP(-LN(2)/2))/(LN(2)/2)*V37*Y37*VLOOKUP('Données projet'!$B$9,Paramètres!$A$1:$I$89,3,0)*0.475*44/12</f>
        <v>3.296388336621658</v>
      </c>
      <c r="AC37" s="24">
        <f t="shared" si="3"/>
        <v>13.640394412585788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10.8</v>
      </c>
      <c r="AI37" s="14">
        <f>IF('Données projet'!$A$62&gt;35,AI36+AH37-AQ36,IF(A37&lt;'Données projet'!$A$62,$AF$205^A37,IF(A37='Données projet'!$A$62,'Données projet'!$B$62,AI36+AH37-AQ36)))</f>
        <v>160.20000000000005</v>
      </c>
      <c r="AJ37" s="14">
        <f>AI37*VLOOKUP('Données projet'!$B$10,Paramètres!$A$1:$I$89,3,0)*VLOOKUP('Données projet'!$B$10,Paramètres!$A$1:$I$89,5,0)</f>
        <v>91.634400000000028</v>
      </c>
      <c r="AK37" s="14">
        <f t="shared" si="35"/>
        <v>24.958989094949281</v>
      </c>
      <c r="AL37" s="22">
        <f t="shared" si="4"/>
        <v>203.06681934037002</v>
      </c>
      <c r="AM37" s="62">
        <f t="shared" si="5"/>
        <v>496.40015267370336</v>
      </c>
      <c r="AN37" s="62">
        <f ca="1">AVERAGE(OFFSET($AM$3,0,0,'Données projet'!$E$10+1,1))-AVERAGE(OFFSET($H$3,0,0,'Données projet'!$E$10+1,1))</f>
        <v>258.09881752732008</v>
      </c>
      <c r="AO37" s="62">
        <f t="shared" si="36"/>
        <v>214.72899476643335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0.343461319112078</v>
      </c>
      <c r="AX37" s="23">
        <f t="shared" si="6"/>
        <v>0.343461319112078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5</v>
      </c>
      <c r="BD37" s="13">
        <f>IF('Données projet'!$A$88&gt;35,BD36+BC37-BL36,IF(A37&lt;'Données projet'!$A$88,$BA$205^A37,IF(A37='Données projet'!$A$88,'Données projet'!$B$88,BD36+BC37-BL36)))</f>
        <v>73.999999999999986</v>
      </c>
      <c r="BE37" s="14">
        <f>BD37*VLOOKUP('Données projet'!$B$11,Paramètres!$A$1:$I$89,3,0)*VLOOKUP('Données projet'!$B$11,Paramètres!$A$1:$I$89,5,0)</f>
        <v>71.572799999999987</v>
      </c>
      <c r="BF37" s="14">
        <f t="shared" si="37"/>
        <v>20.063532712034</v>
      </c>
      <c r="BG37" s="22">
        <f t="shared" si="7"/>
        <v>159.59994614012587</v>
      </c>
      <c r="BH37" s="62">
        <f t="shared" si="8"/>
        <v>452.93327947345915</v>
      </c>
      <c r="BI37" s="62">
        <f ca="1">AVERAGE(OFFSET($BH$3,0,0,'Données projet'!$E$11+1,1))-AVERAGE(OFFSET($H$3,0,0,'Données projet'!$E$11+1,1))</f>
        <v>298.18906674058809</v>
      </c>
      <c r="BJ37" s="62">
        <f t="shared" si="38"/>
        <v>154.08406475869634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5</v>
      </c>
      <c r="BY37" s="13">
        <f>IF('Données projet'!$A$114&gt;35,BY36+BX37-CG36,IF(A37&lt;'Données projet'!$A$114,$BV$205^A37,IF(A37='Données projet'!$A$114,'Données projet'!$B$114,BY36+BX37-CG36)))</f>
        <v>73.999999999999986</v>
      </c>
      <c r="BZ37" s="14">
        <f>BY37*VLOOKUP('Données projet'!$B$12,Paramètres!$A$1:$I$89,3,0)*VLOOKUP('Données projet'!$B$12,Paramètres!$A$1:$I$89,5,0)</f>
        <v>49.639199999999988</v>
      </c>
      <c r="CA37" s="14">
        <f t="shared" si="39"/>
        <v>14.520542252452634</v>
      </c>
      <c r="CB37" s="22">
        <f t="shared" si="10"/>
        <v>111.74488442302163</v>
      </c>
      <c r="CC37" s="62">
        <f t="shared" si="11"/>
        <v>405.07821775635495</v>
      </c>
      <c r="CD37" s="62">
        <f ca="1">AVERAGE(OFFSET($CC$3,0,0,'Données projet'!$E$12+1,1))-AVERAGE(OFFSET($H$3,0,0,'Données projet'!$E$12+1,1))</f>
        <v>218.24409784339861</v>
      </c>
      <c r="CE37" s="62">
        <f t="shared" si="40"/>
        <v>118.89963447540509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14.607692307692318</v>
      </c>
      <c r="N38" s="14">
        <f>IF('Données projet'!$A$36&gt;35,N37+M38-V37,IF(A38&lt;'Données projet'!$A$36,$K$205^A38,IF(A38='Données projet'!$A$36,'Données projet'!$B$36,N37+M38-V37)))</f>
        <v>247.96923076923071</v>
      </c>
      <c r="O38" s="14">
        <f>N38*VLOOKUP('Données projet'!$B$9,Paramètres!$A$1:$I$89,3,0)*VLOOKUP('Données projet'!$B$9,Paramètres!$A$1:$I$89,5,0)</f>
        <v>148.28559999999996</v>
      </c>
      <c r="P38" s="14">
        <f t="shared" si="33"/>
        <v>38.188721800687638</v>
      </c>
      <c r="Q38" s="22">
        <f t="shared" si="53"/>
        <v>324.77611046953086</v>
      </c>
      <c r="R38" s="62">
        <f t="shared" si="0"/>
        <v>618.10944380286423</v>
      </c>
      <c r="S38" s="62">
        <f ca="1">AVERAGE(OFFSET($R$3,0,0,'Données projet'!$E$9+1,1))-AVERAGE(OFFSET($H$3,0,0,'Données projet'!$E$9+1,1))</f>
        <v>257.80952690600492</v>
      </c>
      <c r="T38" s="62">
        <f t="shared" si="34"/>
        <v>269.95358755269427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3.021586034348883</v>
      </c>
      <c r="AA38" s="23">
        <f>EXP(-LN(2)/25)*AA37+(1-EXP(-LN(2)/25))/(LN(2)/25)*Calculateur!V38*Calculateur!X38*VLOOKUP('Données projet'!$B$9,Paramètres!$A$1:$I$89,3,0)*0.475*44/12</f>
        <v>7.0634041383756152</v>
      </c>
      <c r="AB38" s="23">
        <f>EXP(-LN(2)/2)*AB37+(1-EXP(-LN(2)/2))/(LN(2)/2)*V38*Y38*VLOOKUP('Données projet'!$B$9,Paramètres!$A$1:$I$89,3,0)*0.475*44/12</f>
        <v>2.3308985462494181</v>
      </c>
      <c r="AC38" s="24">
        <f t="shared" si="3"/>
        <v>12.415888718973918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171</v>
      </c>
      <c r="AG38" s="13">
        <f>VLOOKUP(A38,'Données projet'!$A$61:$I$81,9,0)</f>
        <v>10.8</v>
      </c>
      <c r="AH38" s="13">
        <f t="array" ref="AH38">INDEX(AG:AG,MIN(IF(ISNUMBER(AG38:AG234),ROW(AG38:AG234),"")))</f>
        <v>10.8</v>
      </c>
      <c r="AI38" s="14">
        <f>IF('Données projet'!$A$62&gt;35,AI37+AH38-AQ37,IF(A38&lt;'Données projet'!$A$62,$AF$205^A38,IF(A38='Données projet'!$A$62,'Données projet'!$B$62,AI37+AH38-AQ37)))</f>
        <v>171.00000000000006</v>
      </c>
      <c r="AJ38" s="14">
        <f>AI38*VLOOKUP('Données projet'!$B$10,Paramètres!$A$1:$I$89,3,0)*VLOOKUP('Données projet'!$B$10,Paramètres!$A$1:$I$89,5,0)</f>
        <v>97.81200000000004</v>
      </c>
      <c r="AK38" s="14">
        <f t="shared" si="35"/>
        <v>26.440067470123285</v>
      </c>
      <c r="AL38" s="22">
        <f t="shared" si="4"/>
        <v>216.40568417713143</v>
      </c>
      <c r="AM38" s="62">
        <f t="shared" si="5"/>
        <v>509.73901751046475</v>
      </c>
      <c r="AN38" s="62">
        <f ca="1">AVERAGE(OFFSET($AM$3,0,0,'Données projet'!$E$10+1,1))-AVERAGE(OFFSET($H$3,0,0,'Données projet'!$E$10+1,1))</f>
        <v>258.09881752732008</v>
      </c>
      <c r="AO38" s="62">
        <f t="shared" si="36"/>
        <v>214.72899476643335</v>
      </c>
      <c r="AP38" s="16">
        <f>IF(ISNA(VLOOKUP(A38,'Données projet'!$A$61:$I$81,3,0)),0,VLOOKUP(A38,'Données projet'!$A$61:$I$81,3,0))</f>
        <v>3</v>
      </c>
      <c r="AQ38" s="16">
        <f>IF(ISNA(VLOOKUP(A38,'Données projet'!$A$61:$I$81,4,0)),0,VLOOKUP(A38,'Données projet'!$A$61:$I$81,4,0))</f>
        <v>28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0.24286382781942714</v>
      </c>
      <c r="AX38" s="23">
        <f t="shared" si="6"/>
        <v>0.24286382781942714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79</v>
      </c>
      <c r="BB38" s="13">
        <f>VLOOKUP(A38,'Données projet'!$A$87:$I$107,9,0)</f>
        <v>5</v>
      </c>
      <c r="BC38" s="13">
        <f t="array" ref="BC38">INDEX(BB:BB,MIN(IF(ISNUMBER(BB38:BB234),ROW(BB38:BB234),"")))</f>
        <v>5</v>
      </c>
      <c r="BD38" s="13">
        <f>IF('Données projet'!$A$88&gt;35,BD37+BC38-BL37,IF(A38&lt;'Données projet'!$A$88,$BA$205^A38,IF(A38='Données projet'!$A$88,'Données projet'!$B$88,BD37+BC38-BL37)))</f>
        <v>78.999999999999986</v>
      </c>
      <c r="BE38" s="14">
        <f>BD38*VLOOKUP('Données projet'!$B$11,Paramètres!$A$1:$I$89,3,0)*VLOOKUP('Données projet'!$B$11,Paramètres!$A$1:$I$89,5,0)</f>
        <v>76.408799999999985</v>
      </c>
      <c r="BF38" s="14">
        <f t="shared" si="37"/>
        <v>21.256783764315173</v>
      </c>
      <c r="BG38" s="22">
        <f t="shared" si="7"/>
        <v>170.1008917228489</v>
      </c>
      <c r="BH38" s="62">
        <f t="shared" si="8"/>
        <v>463.43422505618219</v>
      </c>
      <c r="BI38" s="62">
        <f ca="1">AVERAGE(OFFSET($BH$3,0,0,'Données projet'!$E$11+1,1))-AVERAGE(OFFSET($H$3,0,0,'Données projet'!$E$11+1,1))</f>
        <v>298.18906674058809</v>
      </c>
      <c r="BJ38" s="62">
        <f t="shared" si="38"/>
        <v>154.08406475869634</v>
      </c>
      <c r="BK38" s="16">
        <f>IF(ISNA(VLOOKUP(A38,'Données projet'!$A$87:$I$107,3,0)),0,VLOOKUP(A38,'Données projet'!$A$87:$I$107,3,0))</f>
        <v>3</v>
      </c>
      <c r="BL38" s="16">
        <f>IF(ISNA(VLOOKUP(A38,'Données projet'!$A$87:$I$107,4,0)),0,VLOOKUP(A38,'Données projet'!$A$87:$I$107,4,0))</f>
        <v>13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79</v>
      </c>
      <c r="BW38" s="13">
        <f>VLOOKUP(A38,'Données projet'!$A$113:$I$133,9,0)</f>
        <v>5</v>
      </c>
      <c r="BX38" s="13">
        <f t="array" ref="BX38">INDEX(BW:BW,MIN(IF(ISNUMBER(BW38:BW234),ROW(BW38:BW234),"")))</f>
        <v>5</v>
      </c>
      <c r="BY38" s="13">
        <f>IF('Données projet'!$A$114&gt;35,BY37+BX38-CG37,IF(A38&lt;'Données projet'!$A$114,$BV$205^A38,IF(A38='Données projet'!$A$114,'Données projet'!$B$114,BY37+BX38-CG37)))</f>
        <v>78.999999999999986</v>
      </c>
      <c r="BZ38" s="14">
        <f>BY38*VLOOKUP('Données projet'!$B$12,Paramètres!$A$1:$I$89,3,0)*VLOOKUP('Données projet'!$B$12,Paramètres!$A$1:$I$89,5,0)</f>
        <v>52.993199999999987</v>
      </c>
      <c r="CA38" s="14">
        <f t="shared" si="39"/>
        <v>15.384131560034538</v>
      </c>
      <c r="CB38" s="22">
        <f t="shared" si="10"/>
        <v>119.09051913372679</v>
      </c>
      <c r="CC38" s="62">
        <f t="shared" si="11"/>
        <v>412.4238524670601</v>
      </c>
      <c r="CD38" s="62">
        <f ca="1">AVERAGE(OFFSET($CC$3,0,0,'Données projet'!$E$12+1,1))-AVERAGE(OFFSET($H$3,0,0,'Données projet'!$E$12+1,1))</f>
        <v>218.24409784339861</v>
      </c>
      <c r="CE38" s="62">
        <f t="shared" si="40"/>
        <v>118.89963447540509</v>
      </c>
      <c r="CF38" s="16">
        <f>IF(ISNA(VLOOKUP(A38,'Données projet'!$A$113:$I$133,3,0)),0,VLOOKUP(A38,'Données projet'!$A$113:$I$133,3,0))</f>
        <v>3</v>
      </c>
      <c r="CG38" s="16">
        <f>IF(ISNA(VLOOKUP(A38,'Données projet'!$A$113:$I$133,4,0)),0,VLOOKUP(A38,'Données projet'!$A$113:$I$133,4,0))</f>
        <v>13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>
        <f>VLOOKUP(A39,'Données projet'!$A$35:$I$55,2,0)</f>
        <v>262.57692307692309</v>
      </c>
      <c r="L39" s="13">
        <f>VLOOKUP(A39,'Données projet'!$A$35:$I$55,9,0)</f>
        <v>14.607692307692318</v>
      </c>
      <c r="M39" s="13">
        <f t="array" ref="M39">INDEX(L:L,MIN(IF(ISNUMBER(L39:L235),ROW(L39:L235),"")))</f>
        <v>14.607692307692318</v>
      </c>
      <c r="N39" s="14">
        <f>IF('Données projet'!$A$36&gt;35,N38+M39-V38,IF(A39&lt;'Données projet'!$A$36,$K$205^A39,IF(A39='Données projet'!$A$36,'Données projet'!$B$36,N38+M39-V38)))</f>
        <v>262.57692307692304</v>
      </c>
      <c r="O39" s="14">
        <f>N39*VLOOKUP('Données projet'!$B$9,Paramètres!$A$1:$I$89,3,0)*VLOOKUP('Données projet'!$B$9,Paramètres!$A$1:$I$89,5,0)</f>
        <v>157.02099999999999</v>
      </c>
      <c r="P39" s="14">
        <f t="shared" si="33"/>
        <v>40.169860444278903</v>
      </c>
      <c r="Q39" s="22">
        <f t="shared" si="53"/>
        <v>343.44074860711902</v>
      </c>
      <c r="R39" s="62">
        <f t="shared" si="0"/>
        <v>636.77408194045233</v>
      </c>
      <c r="S39" s="62">
        <f ca="1">AVERAGE(OFFSET($R$3,0,0,'Données projet'!$E$9+1,1))-AVERAGE(OFFSET($H$3,0,0,'Données projet'!$E$9+1,1))</f>
        <v>257.80952690600492</v>
      </c>
      <c r="T39" s="62">
        <f t="shared" si="34"/>
        <v>269.95358755269427</v>
      </c>
      <c r="U39" s="16">
        <f>IF(ISNA(VLOOKUP(A39,'Données projet'!$A$35:$I$55,3,0)),0,VLOOKUP(A39,'Données projet'!$A$35:$I$55,3,0))</f>
        <v>4</v>
      </c>
      <c r="V39" s="16">
        <f>IF(ISNA(VLOOKUP(A39,'Données projet'!$A$35:$I$55,4,0)),0,VLOOKUP(A39,'Données projet'!$A$35:$I$55,4,0))</f>
        <v>64.553846153846152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2.9623345752008028</v>
      </c>
      <c r="AA39" s="23">
        <f>EXP(-LN(2)/25)*AA38+(1-EXP(-LN(2)/25))/(LN(2)/25)*Calculateur!V39*Calculateur!X39*VLOOKUP('Données projet'!$B$9,Paramètres!$A$1:$I$89,3,0)*0.475*44/12</f>
        <v>6.8702549807634536</v>
      </c>
      <c r="AB39" s="23">
        <f>EXP(-LN(2)/2)*AB38+(1-EXP(-LN(2)/2))/(LN(2)/2)*V39*Y39*VLOOKUP('Données projet'!$B$9,Paramètres!$A$1:$I$89,3,0)*0.475*44/12</f>
        <v>1.648194168310829</v>
      </c>
      <c r="AC39" s="24">
        <f t="shared" si="3"/>
        <v>11.480783724275085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12.8</v>
      </c>
      <c r="AI39" s="14">
        <f>IF('Données projet'!$A$62&gt;35,AI38+AH39-AQ38,IF(A39&lt;'Données projet'!$A$62,$AF$205^A39,IF(A39='Données projet'!$A$62,'Données projet'!$B$62,AI38+AH39-AQ38)))</f>
        <v>155.80000000000007</v>
      </c>
      <c r="AJ39" s="14">
        <f>AI39*VLOOKUP('Données projet'!$B$10,Paramètres!$A$1:$I$89,3,0)*VLOOKUP('Données projet'!$B$10,Paramètres!$A$1:$I$89,5,0)</f>
        <v>89.117600000000053</v>
      </c>
      <c r="AK39" s="14">
        <f t="shared" si="35"/>
        <v>24.352289481248235</v>
      </c>
      <c r="AL39" s="22">
        <f t="shared" si="4"/>
        <v>197.62672417984075</v>
      </c>
      <c r="AM39" s="62">
        <f t="shared" si="5"/>
        <v>490.96005751317409</v>
      </c>
      <c r="AN39" s="62">
        <f ca="1">AVERAGE(OFFSET($AM$3,0,0,'Données projet'!$E$10+1,1))-AVERAGE(OFFSET($H$3,0,0,'Données projet'!$E$10+1,1))</f>
        <v>258.09881752732008</v>
      </c>
      <c r="AO39" s="62">
        <f t="shared" si="36"/>
        <v>214.72899476643335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0.17173065955603903</v>
      </c>
      <c r="AX39" s="23">
        <f t="shared" si="6"/>
        <v>0.17173065955603903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5.4</v>
      </c>
      <c r="BD39" s="13">
        <f>IF('Données projet'!$A$88&gt;35,BD38+BC39-BL38,IF(A39&lt;'Données projet'!$A$88,$BA$205^A39,IF(A39='Données projet'!$A$88,'Données projet'!$B$88,BD38+BC39-BL38)))</f>
        <v>71.399999999999991</v>
      </c>
      <c r="BE39" s="14">
        <f>BD39*VLOOKUP('Données projet'!$B$11,Paramètres!$A$1:$I$89,3,0)*VLOOKUP('Données projet'!$B$11,Paramètres!$A$1:$I$89,5,0)</f>
        <v>69.05807999999999</v>
      </c>
      <c r="BF39" s="14">
        <f t="shared" si="37"/>
        <v>19.439361528467131</v>
      </c>
      <c r="BG39" s="22">
        <f t="shared" si="7"/>
        <v>154.13304399541357</v>
      </c>
      <c r="BH39" s="62">
        <f t="shared" si="8"/>
        <v>447.46637732874689</v>
      </c>
      <c r="BI39" s="62">
        <f ca="1">AVERAGE(OFFSET($BH$3,0,0,'Données projet'!$E$11+1,1))-AVERAGE(OFFSET($H$3,0,0,'Données projet'!$E$11+1,1))</f>
        <v>298.18906674058809</v>
      </c>
      <c r="BJ39" s="62">
        <f t="shared" si="38"/>
        <v>154.08406475869634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5.4</v>
      </c>
      <c r="BY39" s="13">
        <f>IF('Données projet'!$A$114&gt;35,BY38+BX39-CG38,IF(A39&lt;'Données projet'!$A$114,$BV$205^A39,IF(A39='Données projet'!$A$114,'Données projet'!$B$114,BY38+BX39-CG38)))</f>
        <v>71.399999999999991</v>
      </c>
      <c r="BZ39" s="14">
        <f>BY39*VLOOKUP('Données projet'!$B$12,Paramètres!$A$1:$I$89,3,0)*VLOOKUP('Données projet'!$B$12,Paramètres!$A$1:$I$89,5,0)</f>
        <v>47.895119999999991</v>
      </c>
      <c r="CA39" s="14">
        <f t="shared" si="39"/>
        <v>14.068812032564205</v>
      </c>
      <c r="CB39" s="22">
        <f t="shared" si="10"/>
        <v>107.92051495671598</v>
      </c>
      <c r="CC39" s="62">
        <f t="shared" si="11"/>
        <v>401.25384829004929</v>
      </c>
      <c r="CD39" s="62">
        <f ca="1">AVERAGE(OFFSET($CC$3,0,0,'Données projet'!$E$12+1,1))-AVERAGE(OFFSET($H$3,0,0,'Données projet'!$E$12+1,1))</f>
        <v>218.24409784339861</v>
      </c>
      <c r="CE39" s="62">
        <f t="shared" si="40"/>
        <v>118.89963447540509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11.491346153846152</v>
      </c>
      <c r="N40" s="14">
        <f>IF('Données projet'!$A$36&gt;35,N39+M40-V39,IF(A40&lt;'Données projet'!$A$36,$K$205^A40,IF(A40='Données projet'!$A$36,'Données projet'!$B$36,N39+M40-V39)))</f>
        <v>209.51442307692304</v>
      </c>
      <c r="O40" s="14">
        <f>N40*VLOOKUP('Données projet'!$B$9,Paramètres!$A$1:$I$89,3,0)*VLOOKUP('Données projet'!$B$9,Paramètres!$A$1:$I$89,5,0)</f>
        <v>125.28962499999999</v>
      </c>
      <c r="P40" s="14">
        <f t="shared" si="33"/>
        <v>32.905603135457035</v>
      </c>
      <c r="Q40" s="22">
        <f t="shared" si="53"/>
        <v>275.52335566925433</v>
      </c>
      <c r="R40" s="62">
        <f t="shared" si="0"/>
        <v>568.8566890025877</v>
      </c>
      <c r="S40" s="62">
        <f ca="1">AVERAGE(OFFSET($R$3,0,0,'Données projet'!$E$9+1,1))-AVERAGE(OFFSET($H$3,0,0,'Données projet'!$E$9+1,1))</f>
        <v>257.80952690600492</v>
      </c>
      <c r="T40" s="62">
        <f t="shared" si="34"/>
        <v>269.95358755269427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2.9042450010267946</v>
      </c>
      <c r="AA40" s="23">
        <f>EXP(-LN(2)/25)*AA39+(1-EXP(-LN(2)/25))/(LN(2)/25)*Calculateur!V40*Calculateur!X40*VLOOKUP('Données projet'!$B$9,Paramètres!$A$1:$I$89,3,0)*0.475*44/12</f>
        <v>6.6823874970234698</v>
      </c>
      <c r="AB40" s="23">
        <f>EXP(-LN(2)/2)*AB39+(1-EXP(-LN(2)/2))/(LN(2)/2)*V40*Y40*VLOOKUP('Données projet'!$B$9,Paramètres!$A$1:$I$89,3,0)*0.475*44/12</f>
        <v>1.165449273124709</v>
      </c>
      <c r="AC40" s="24">
        <f t="shared" si="3"/>
        <v>10.752081771174973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12.8</v>
      </c>
      <c r="AI40" s="14">
        <f>IF('Données projet'!$A$62&gt;35,AI39+AH40-AQ39,IF(A40&lt;'Données projet'!$A$62,$AF$205^A40,IF(A40='Données projet'!$A$62,'Données projet'!$B$62,AI39+AH40-AQ39)))</f>
        <v>168.60000000000008</v>
      </c>
      <c r="AJ40" s="14">
        <f>AI40*VLOOKUP('Données projet'!$B$10,Paramètres!$A$1:$I$89,3,0)*VLOOKUP('Données projet'!$B$10,Paramètres!$A$1:$I$89,5,0)</f>
        <v>96.439200000000056</v>
      </c>
      <c r="AK40" s="14">
        <f t="shared" si="35"/>
        <v>26.111904277671179</v>
      </c>
      <c r="AL40" s="22">
        <f t="shared" si="4"/>
        <v>213.44317328361072</v>
      </c>
      <c r="AM40" s="62">
        <f t="shared" si="5"/>
        <v>506.77650661694406</v>
      </c>
      <c r="AN40" s="62">
        <f ca="1">AVERAGE(OFFSET($AM$3,0,0,'Données projet'!$E$10+1,1))-AVERAGE(OFFSET($H$3,0,0,'Données projet'!$E$10+1,1))</f>
        <v>258.09881752732008</v>
      </c>
      <c r="AO40" s="62">
        <f t="shared" si="36"/>
        <v>214.72899476643335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0.12143191390971358</v>
      </c>
      <c r="AX40" s="23">
        <f t="shared" si="6"/>
        <v>0.12143191390971358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5.4</v>
      </c>
      <c r="BD40" s="13">
        <f>IF('Données projet'!$A$88&gt;35,BD39+BC40-BL39,IF(A40&lt;'Données projet'!$A$88,$BA$205^A40,IF(A40='Données projet'!$A$88,'Données projet'!$B$88,BD39+BC40-BL39)))</f>
        <v>76.8</v>
      </c>
      <c r="BE40" s="14">
        <f>BD40*VLOOKUP('Données projet'!$B$11,Paramètres!$A$1:$I$89,3,0)*VLOOKUP('Données projet'!$B$11,Paramètres!$A$1:$I$89,5,0)</f>
        <v>74.280960000000007</v>
      </c>
      <c r="BF40" s="14">
        <f t="shared" si="37"/>
        <v>20.732870299230971</v>
      </c>
      <c r="BG40" s="22">
        <f t="shared" si="7"/>
        <v>165.48242110449394</v>
      </c>
      <c r="BH40" s="62">
        <f t="shared" si="8"/>
        <v>458.81575443782725</v>
      </c>
      <c r="BI40" s="62">
        <f ca="1">AVERAGE(OFFSET($BH$3,0,0,'Données projet'!$E$11+1,1))-AVERAGE(OFFSET($H$3,0,0,'Données projet'!$E$11+1,1))</f>
        <v>298.18906674058809</v>
      </c>
      <c r="BJ40" s="62">
        <f t="shared" si="38"/>
        <v>154.08406475869634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5.4</v>
      </c>
      <c r="BY40" s="13">
        <f>IF('Données projet'!$A$114&gt;35,BY39+BX40-CG39,IF(A40&lt;'Données projet'!$A$114,$BV$205^A40,IF(A40='Données projet'!$A$114,'Données projet'!$B$114,BY39+BX40-CG39)))</f>
        <v>76.8</v>
      </c>
      <c r="BZ40" s="14">
        <f>BY40*VLOOKUP('Données projet'!$B$12,Paramètres!$A$1:$I$89,3,0)*VLOOKUP('Données projet'!$B$12,Paramètres!$A$1:$I$89,5,0)</f>
        <v>51.517440000000001</v>
      </c>
      <c r="CA40" s="14">
        <f t="shared" si="39"/>
        <v>15.004960667471787</v>
      </c>
      <c r="CB40" s="22">
        <f t="shared" si="10"/>
        <v>115.85984782918003</v>
      </c>
      <c r="CC40" s="62">
        <f t="shared" si="11"/>
        <v>409.19318116251333</v>
      </c>
      <c r="CD40" s="62">
        <f ca="1">AVERAGE(OFFSET($CC$3,0,0,'Données projet'!$E$12+1,1))-AVERAGE(OFFSET($H$3,0,0,'Données projet'!$E$12+1,1))</f>
        <v>218.24409784339861</v>
      </c>
      <c r="CE40" s="62">
        <f t="shared" si="40"/>
        <v>118.89963447540509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11.491346153846152</v>
      </c>
      <c r="N41" s="14">
        <f>IF('Données projet'!$A$36&gt;35,N40+M41-V40,IF(A41&lt;'Données projet'!$A$36,$K$205^A41,IF(A41='Données projet'!$A$36,'Données projet'!$B$36,N40+M41-V40)))</f>
        <v>221.0057692307692</v>
      </c>
      <c r="O41" s="14">
        <f>N41*VLOOKUP('Données projet'!$B$9,Paramètres!$A$1:$I$89,3,0)*VLOOKUP('Données projet'!$B$9,Paramètres!$A$1:$I$89,5,0)</f>
        <v>132.16145</v>
      </c>
      <c r="P41" s="14">
        <f t="shared" si="33"/>
        <v>34.495326632118967</v>
      </c>
      <c r="Q41" s="22">
        <f t="shared" si="53"/>
        <v>290.26055263427389</v>
      </c>
      <c r="R41" s="62">
        <f t="shared" si="0"/>
        <v>583.59388596760721</v>
      </c>
      <c r="S41" s="62">
        <f ca="1">AVERAGE(OFFSET($R$3,0,0,'Données projet'!$E$9+1,1))-AVERAGE(OFFSET($H$3,0,0,'Données projet'!$E$9+1,1))</f>
        <v>257.80952690600492</v>
      </c>
      <c r="T41" s="62">
        <f t="shared" si="34"/>
        <v>269.95358755269427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2.8472945279711972</v>
      </c>
      <c r="AA41" s="23">
        <f>EXP(-LN(2)/25)*AA40+(1-EXP(-LN(2)/25))/(LN(2)/25)*Calculateur!V41*Calculateur!X41*VLOOKUP('Données projet'!$B$9,Paramètres!$A$1:$I$89,3,0)*0.475*44/12</f>
        <v>6.4996572595058772</v>
      </c>
      <c r="AB41" s="23">
        <f>EXP(-LN(2)/2)*AB40+(1-EXP(-LN(2)/2))/(LN(2)/2)*V41*Y41*VLOOKUP('Données projet'!$B$9,Paramètres!$A$1:$I$89,3,0)*0.475*44/12</f>
        <v>0.82409708415541449</v>
      </c>
      <c r="AC41" s="24">
        <f t="shared" si="3"/>
        <v>10.17104887163249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12.8</v>
      </c>
      <c r="AI41" s="14">
        <f>IF('Données projet'!$A$62&gt;35,AI40+AH41-AQ40,IF(A41&lt;'Données projet'!$A$62,$AF$205^A41,IF(A41='Données projet'!$A$62,'Données projet'!$B$62,AI40+AH41-AQ40)))</f>
        <v>181.40000000000009</v>
      </c>
      <c r="AJ41" s="14">
        <f>AI41*VLOOKUP('Données projet'!$B$10,Paramètres!$A$1:$I$89,3,0)*VLOOKUP('Données projet'!$B$10,Paramètres!$A$1:$I$89,5,0)</f>
        <v>103.76080000000006</v>
      </c>
      <c r="AK41" s="14">
        <f t="shared" si="35"/>
        <v>27.856022138389424</v>
      </c>
      <c r="AL41" s="22">
        <f t="shared" si="4"/>
        <v>229.23263189102838</v>
      </c>
      <c r="AM41" s="62">
        <f t="shared" si="5"/>
        <v>522.56596522436166</v>
      </c>
      <c r="AN41" s="62">
        <f ca="1">AVERAGE(OFFSET($AM$3,0,0,'Données projet'!$E$10+1,1))-AVERAGE(OFFSET($H$3,0,0,'Données projet'!$E$10+1,1))</f>
        <v>258.09881752732008</v>
      </c>
      <c r="AO41" s="62">
        <f t="shared" si="36"/>
        <v>214.72899476643335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8.5865329778019528E-2</v>
      </c>
      <c r="AX41" s="23">
        <f t="shared" si="6"/>
        <v>8.5865329778019528E-2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5.4</v>
      </c>
      <c r="BD41" s="13">
        <f>IF('Données projet'!$A$88&gt;35,BD40+BC41-BL40,IF(A41&lt;'Données projet'!$A$88,$BA$205^A41,IF(A41='Données projet'!$A$88,'Données projet'!$B$88,BD40+BC41-BL40)))</f>
        <v>82.2</v>
      </c>
      <c r="BE41" s="14">
        <f>BD41*VLOOKUP('Données projet'!$B$11,Paramètres!$A$1:$I$89,3,0)*VLOOKUP('Données projet'!$B$11,Paramètres!$A$1:$I$89,5,0)</f>
        <v>79.503839999999997</v>
      </c>
      <c r="BF41" s="14">
        <f t="shared" si="37"/>
        <v>22.015826538921051</v>
      </c>
      <c r="BG41" s="22">
        <f t="shared" si="7"/>
        <v>176.81341922195415</v>
      </c>
      <c r="BH41" s="62">
        <f t="shared" si="8"/>
        <v>470.14675255528743</v>
      </c>
      <c r="BI41" s="62">
        <f ca="1">AVERAGE(OFFSET($BH$3,0,0,'Données projet'!$E$11+1,1))-AVERAGE(OFFSET($H$3,0,0,'Données projet'!$E$11+1,1))</f>
        <v>298.18906674058809</v>
      </c>
      <c r="BJ41" s="62">
        <f t="shared" si="38"/>
        <v>154.08406475869634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5.4</v>
      </c>
      <c r="BY41" s="13">
        <f>IF('Données projet'!$A$114&gt;35,BY40+BX41-CG40,IF(A41&lt;'Données projet'!$A$114,$BV$205^A41,IF(A41='Données projet'!$A$114,'Données projet'!$B$114,BY40+BX41-CG40)))</f>
        <v>82.2</v>
      </c>
      <c r="BZ41" s="14">
        <f>BY41*VLOOKUP('Données projet'!$B$12,Paramètres!$A$1:$I$89,3,0)*VLOOKUP('Données projet'!$B$12,Paramètres!$A$1:$I$89,5,0)</f>
        <v>55.13976000000001</v>
      </c>
      <c r="CA41" s="14">
        <f t="shared" si="39"/>
        <v>15.933472139197503</v>
      </c>
      <c r="CB41" s="22">
        <f t="shared" si="10"/>
        <v>123.78587930910233</v>
      </c>
      <c r="CC41" s="62">
        <f t="shared" si="11"/>
        <v>417.11921264243563</v>
      </c>
      <c r="CD41" s="62">
        <f ca="1">AVERAGE(OFFSET($CC$3,0,0,'Données projet'!$E$12+1,1))-AVERAGE(OFFSET($H$3,0,0,'Données projet'!$E$12+1,1))</f>
        <v>218.24409784339861</v>
      </c>
      <c r="CE41" s="62">
        <f t="shared" si="40"/>
        <v>118.89963447540509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11.491346153846152</v>
      </c>
      <c r="N42" s="14">
        <f>IF('Données projet'!$A$36&gt;35,N41+M42-V41,IF(A42&lt;'Données projet'!$A$36,$K$205^A42,IF(A42='Données projet'!$A$36,'Données projet'!$B$36,N41+M42-V41)))</f>
        <v>232.49711538461537</v>
      </c>
      <c r="O42" s="14">
        <f>N42*VLOOKUP('Données projet'!$B$9,Paramètres!$A$1:$I$89,3,0)*VLOOKUP('Données projet'!$B$9,Paramètres!$A$1:$I$89,5,0)</f>
        <v>139.033275</v>
      </c>
      <c r="P42" s="14">
        <f t="shared" si="33"/>
        <v>36.075453141255842</v>
      </c>
      <c r="Q42" s="22">
        <f t="shared" si="53"/>
        <v>304.98103484602058</v>
      </c>
      <c r="R42" s="62">
        <f t="shared" si="0"/>
        <v>598.31436817935389</v>
      </c>
      <c r="S42" s="62">
        <f ca="1">AVERAGE(OFFSET($R$3,0,0,'Données projet'!$E$9+1,1))-AVERAGE(OFFSET($H$3,0,0,'Données projet'!$E$9+1,1))</f>
        <v>257.80952690600492</v>
      </c>
      <c r="T42" s="62">
        <f t="shared" si="34"/>
        <v>269.95358755269427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2.7914608189558612</v>
      </c>
      <c r="AA42" s="23">
        <f>EXP(-LN(2)/25)*AA41+(1-EXP(-LN(2)/25))/(LN(2)/25)*Calculateur!V42*Calculateur!X42*VLOOKUP('Données projet'!$B$9,Paramètres!$A$1:$I$89,3,0)*0.475*44/12</f>
        <v>6.3219237899425691</v>
      </c>
      <c r="AB42" s="23">
        <f>EXP(-LN(2)/2)*AB41+(1-EXP(-LN(2)/2))/(LN(2)/2)*V42*Y42*VLOOKUP('Données projet'!$B$9,Paramètres!$A$1:$I$89,3,0)*0.475*44/12</f>
        <v>0.58272463656235451</v>
      </c>
      <c r="AC42" s="24">
        <f t="shared" si="3"/>
        <v>9.696109245460784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12.8</v>
      </c>
      <c r="AI42" s="14">
        <f>IF('Données projet'!$A$62&gt;35,AI41+AH42-AQ41,IF(A42&lt;'Données projet'!$A$62,$AF$205^A42,IF(A42='Données projet'!$A$62,'Données projet'!$B$62,AI41+AH42-AQ41)))</f>
        <v>194.2000000000001</v>
      </c>
      <c r="AJ42" s="14">
        <f>AI42*VLOOKUP('Données projet'!$B$10,Paramètres!$A$1:$I$89,3,0)*VLOOKUP('Données projet'!$B$10,Paramètres!$A$1:$I$89,5,0)</f>
        <v>111.08240000000006</v>
      </c>
      <c r="AK42" s="14">
        <f t="shared" si="35"/>
        <v>29.585860939025359</v>
      </c>
      <c r="AL42" s="22">
        <f t="shared" si="4"/>
        <v>244.99722113546932</v>
      </c>
      <c r="AM42" s="62">
        <f t="shared" si="5"/>
        <v>538.33055446880257</v>
      </c>
      <c r="AN42" s="62">
        <f ca="1">AVERAGE(OFFSET($AM$3,0,0,'Données projet'!$E$10+1,1))-AVERAGE(OFFSET($H$3,0,0,'Données projet'!$E$10+1,1))</f>
        <v>258.09881752732008</v>
      </c>
      <c r="AO42" s="62">
        <f t="shared" si="36"/>
        <v>214.72899476643335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6.0715956954856799E-2</v>
      </c>
      <c r="AX42" s="23">
        <f t="shared" si="6"/>
        <v>6.0715956954856799E-2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5.4</v>
      </c>
      <c r="BD42" s="13">
        <f>IF('Données projet'!$A$88&gt;35,BD41+BC42-BL41,IF(A42&lt;'Données projet'!$A$88,$BA$205^A42,IF(A42='Données projet'!$A$88,'Données projet'!$B$88,BD41+BC42-BL41)))</f>
        <v>87.600000000000009</v>
      </c>
      <c r="BE42" s="14">
        <f>BD42*VLOOKUP('Données projet'!$B$11,Paramètres!$A$1:$I$89,3,0)*VLOOKUP('Données projet'!$B$11,Paramètres!$A$1:$I$89,5,0)</f>
        <v>84.726720000000014</v>
      </c>
      <c r="BF42" s="14">
        <f t="shared" si="37"/>
        <v>23.289002367177517</v>
      </c>
      <c r="BG42" s="22">
        <f t="shared" si="7"/>
        <v>188.1273831228342</v>
      </c>
      <c r="BH42" s="62">
        <f t="shared" si="8"/>
        <v>481.46071645616752</v>
      </c>
      <c r="BI42" s="62">
        <f ca="1">AVERAGE(OFFSET($BH$3,0,0,'Données projet'!$E$11+1,1))-AVERAGE(OFFSET($H$3,0,0,'Données projet'!$E$11+1,1))</f>
        <v>298.18906674058809</v>
      </c>
      <c r="BJ42" s="62">
        <f t="shared" si="38"/>
        <v>154.08406475869634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5.4</v>
      </c>
      <c r="BY42" s="13">
        <f>IF('Données projet'!$A$114&gt;35,BY41+BX42-CG41,IF(A42&lt;'Données projet'!$A$114,$BV$205^A42,IF(A42='Données projet'!$A$114,'Données projet'!$B$114,BY41+BX42-CG41)))</f>
        <v>87.600000000000009</v>
      </c>
      <c r="BZ42" s="14">
        <f>BY42*VLOOKUP('Données projet'!$B$12,Paramètres!$A$1:$I$89,3,0)*VLOOKUP('Données projet'!$B$12,Paramètres!$A$1:$I$89,5,0)</f>
        <v>58.762080000000012</v>
      </c>
      <c r="CA42" s="14">
        <f t="shared" si="39"/>
        <v>16.854905252415438</v>
      </c>
      <c r="CB42" s="22">
        <f t="shared" si="10"/>
        <v>131.6995826479569</v>
      </c>
      <c r="CC42" s="62">
        <f t="shared" si="11"/>
        <v>425.03291598129022</v>
      </c>
      <c r="CD42" s="62">
        <f ca="1">AVERAGE(OFFSET($CC$3,0,0,'Données projet'!$E$12+1,1))-AVERAGE(OFFSET($H$3,0,0,'Données projet'!$E$12+1,1))</f>
        <v>218.24409784339861</v>
      </c>
      <c r="CE42" s="62">
        <f t="shared" si="40"/>
        <v>118.89963447540509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11.491346153846152</v>
      </c>
      <c r="N43" s="14">
        <f>IF('Données projet'!$A$36&gt;35,N42+M43-V42,IF(A43&lt;'Données projet'!$A$36,$K$205^A43,IF(A43='Données projet'!$A$36,'Données projet'!$B$36,N42+M43-V42)))</f>
        <v>243.98846153846154</v>
      </c>
      <c r="O43" s="14">
        <f>N43*VLOOKUP('Données projet'!$B$9,Paramètres!$A$1:$I$89,3,0)*VLOOKUP('Données projet'!$B$9,Paramètres!$A$1:$I$89,5,0)</f>
        <v>145.9051</v>
      </c>
      <c r="P43" s="14">
        <f t="shared" si="33"/>
        <v>37.646511134433219</v>
      </c>
      <c r="Q43" s="22">
        <f t="shared" si="53"/>
        <v>319.68572272580451</v>
      </c>
      <c r="R43" s="62">
        <f t="shared" si="0"/>
        <v>613.01905605913782</v>
      </c>
      <c r="S43" s="62">
        <f ca="1">AVERAGE(OFFSET($R$3,0,0,'Données projet'!$E$9+1,1))-AVERAGE(OFFSET($H$3,0,0,'Données projet'!$E$9+1,1))</f>
        <v>257.80952690600492</v>
      </c>
      <c r="T43" s="62">
        <f t="shared" si="34"/>
        <v>269.95358755269427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2.7367219749191163</v>
      </c>
      <c r="AA43" s="23">
        <f>EXP(-LN(2)/25)*AA42+(1-EXP(-LN(2)/25))/(LN(2)/25)*Calculateur!V43*Calculateur!X43*VLOOKUP('Données projet'!$B$9,Paramètres!$A$1:$I$89,3,0)*0.475*44/12</f>
        <v>6.1490504514510667</v>
      </c>
      <c r="AB43" s="23">
        <f>EXP(-LN(2)/2)*AB42+(1-EXP(-LN(2)/2))/(LN(2)/2)*V43*Y43*VLOOKUP('Données projet'!$B$9,Paramètres!$A$1:$I$89,3,0)*0.475*44/12</f>
        <v>0.41204854207770725</v>
      </c>
      <c r="AC43" s="24">
        <f t="shared" si="3"/>
        <v>9.2978209684478905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207</v>
      </c>
      <c r="AG43" s="13">
        <f>VLOOKUP(A43,'Données projet'!$A$61:$I$81,9,0)</f>
        <v>12.8</v>
      </c>
      <c r="AH43" s="13">
        <f t="array" ref="AH43">INDEX(AG:AG,MIN(IF(ISNUMBER(AG43:AG239),ROW(AG43:AG239),"")))</f>
        <v>12.8</v>
      </c>
      <c r="AI43" s="14">
        <f>IF('Données projet'!$A$62&gt;35,AI42+AH43-AQ42,IF(A43&lt;'Données projet'!$A$62,$AF$205^A43,IF(A43='Données projet'!$A$62,'Données projet'!$B$62,AI42+AH43-AQ42)))</f>
        <v>207.00000000000011</v>
      </c>
      <c r="AJ43" s="14">
        <f>AI43*VLOOKUP('Données projet'!$B$10,Paramètres!$A$1:$I$89,3,0)*VLOOKUP('Données projet'!$B$10,Paramètres!$A$1:$I$89,5,0)</f>
        <v>118.40400000000008</v>
      </c>
      <c r="AK43" s="14">
        <f t="shared" si="35"/>
        <v>31.302468930496421</v>
      </c>
      <c r="AL43" s="22">
        <f t="shared" si="4"/>
        <v>260.73876672061471</v>
      </c>
      <c r="AM43" s="62">
        <f t="shared" si="5"/>
        <v>554.07210005394802</v>
      </c>
      <c r="AN43" s="62">
        <f ca="1">AVERAGE(OFFSET($AM$3,0,0,'Données projet'!$E$10+1,1))-AVERAGE(OFFSET($H$3,0,0,'Données projet'!$E$10+1,1))</f>
        <v>258.09881752732008</v>
      </c>
      <c r="AO43" s="62">
        <f t="shared" si="36"/>
        <v>214.72899476643335</v>
      </c>
      <c r="AP43" s="16">
        <f>IF(ISNA(VLOOKUP(A43,'Données projet'!$A$61:$I$81,3,0)),0,VLOOKUP(A43,'Données projet'!$A$61:$I$81,3,0))</f>
        <v>4</v>
      </c>
      <c r="AQ43" s="16">
        <f>IF(ISNA(VLOOKUP(A43,'Données projet'!$A$61:$I$81,4,0)),0,VLOOKUP(A43,'Données projet'!$A$61:$I$81,4,0))</f>
        <v>37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4.2932664889009771E-2</v>
      </c>
      <c r="AX43" s="23">
        <f t="shared" si="6"/>
        <v>4.2932664889009771E-2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93</v>
      </c>
      <c r="BB43" s="13">
        <f>VLOOKUP(A43,'Données projet'!$A$87:$I$107,9,0)</f>
        <v>5.4</v>
      </c>
      <c r="BC43" s="13">
        <f t="array" ref="BC43">INDEX(BB:BB,MIN(IF(ISNUMBER(BB43:BB239),ROW(BB43:BB239),"")))</f>
        <v>5.4</v>
      </c>
      <c r="BD43" s="13">
        <f>IF('Données projet'!$A$88&gt;35,BD42+BC43-BL42,IF(A43&lt;'Données projet'!$A$88,$BA$205^A43,IF(A43='Données projet'!$A$88,'Données projet'!$B$88,BD42+BC43-BL42)))</f>
        <v>93.000000000000014</v>
      </c>
      <c r="BE43" s="14">
        <f>BD43*VLOOKUP('Données projet'!$B$11,Paramètres!$A$1:$I$89,3,0)*VLOOKUP('Données projet'!$B$11,Paramètres!$A$1:$I$89,5,0)</f>
        <v>89.949600000000018</v>
      </c>
      <c r="BF43" s="14">
        <f t="shared" si="37"/>
        <v>24.553069331291834</v>
      </c>
      <c r="BG43" s="22">
        <f t="shared" si="7"/>
        <v>199.42548241866663</v>
      </c>
      <c r="BH43" s="62">
        <f t="shared" si="8"/>
        <v>492.75881575199992</v>
      </c>
      <c r="BI43" s="62">
        <f ca="1">AVERAGE(OFFSET($BH$3,0,0,'Données projet'!$E$11+1,1))-AVERAGE(OFFSET($H$3,0,0,'Données projet'!$E$11+1,1))</f>
        <v>298.18906674058809</v>
      </c>
      <c r="BJ43" s="62">
        <f t="shared" si="38"/>
        <v>154.08406475869634</v>
      </c>
      <c r="BK43" s="16">
        <f>IF(ISNA(VLOOKUP(A43,'Données projet'!$A$87:$I$107,3,0)),0,VLOOKUP(A43,'Données projet'!$A$87:$I$107,3,0))</f>
        <v>4</v>
      </c>
      <c r="BL43" s="16">
        <f>IF(ISNA(VLOOKUP(A43,'Données projet'!$A$87:$I$107,4,0)),0,VLOOKUP(A43,'Données projet'!$A$87:$I$107,4,0))</f>
        <v>14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93</v>
      </c>
      <c r="BW43" s="13">
        <f>VLOOKUP(A43,'Données projet'!$A$113:$I$133,9,0)</f>
        <v>5.4</v>
      </c>
      <c r="BX43" s="13">
        <f t="array" ref="BX43">INDEX(BW:BW,MIN(IF(ISNUMBER(BW43:BW239),ROW(BW43:BW239),"")))</f>
        <v>5.4</v>
      </c>
      <c r="BY43" s="13">
        <f>IF('Données projet'!$A$114&gt;35,BY42+BX43-CG42,IF(A43&lt;'Données projet'!$A$114,$BV$205^A43,IF(A43='Données projet'!$A$114,'Données projet'!$B$114,BY42+BX43-CG42)))</f>
        <v>93.000000000000014</v>
      </c>
      <c r="BZ43" s="14">
        <f>BY43*VLOOKUP('Données projet'!$B$12,Paramètres!$A$1:$I$89,3,0)*VLOOKUP('Données projet'!$B$12,Paramètres!$A$1:$I$89,5,0)</f>
        <v>62.384400000000007</v>
      </c>
      <c r="CA43" s="14">
        <f t="shared" si="39"/>
        <v>17.769746024765663</v>
      </c>
      <c r="CB43" s="22">
        <f t="shared" si="10"/>
        <v>139.60180432646686</v>
      </c>
      <c r="CC43" s="62">
        <f t="shared" si="11"/>
        <v>432.93513765980015</v>
      </c>
      <c r="CD43" s="62">
        <f ca="1">AVERAGE(OFFSET($CC$3,0,0,'Données projet'!$E$12+1,1))-AVERAGE(OFFSET($H$3,0,0,'Données projet'!$E$12+1,1))</f>
        <v>218.24409784339861</v>
      </c>
      <c r="CE43" s="62">
        <f t="shared" si="40"/>
        <v>118.89963447540509</v>
      </c>
      <c r="CF43" s="16">
        <f>IF(ISNA(VLOOKUP(A43,'Données projet'!$A$113:$I$133,3,0)),0,VLOOKUP(A43,'Données projet'!$A$113:$I$133,3,0))</f>
        <v>4</v>
      </c>
      <c r="CG43" s="16">
        <f>IF(ISNA(VLOOKUP(A43,'Données projet'!$A$113:$I$133,4,0)),0,VLOOKUP(A43,'Données projet'!$A$113:$I$133,4,0))</f>
        <v>14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11.491346153846152</v>
      </c>
      <c r="N44" s="14">
        <f>IF('Données projet'!$A$36&gt;35,N43+M44-V43,IF(A44&lt;'Données projet'!$A$36,$K$205^A44,IF(A44='Données projet'!$A$36,'Données projet'!$B$36,N43+M44-V43)))</f>
        <v>255.4798076923077</v>
      </c>
      <c r="O44" s="14">
        <f>N44*VLOOKUP('Données projet'!$B$9,Paramètres!$A$1:$I$89,3,0)*VLOOKUP('Données projet'!$B$9,Paramètres!$A$1:$I$89,5,0)</f>
        <v>152.77692500000003</v>
      </c>
      <c r="P44" s="14">
        <f t="shared" si="33"/>
        <v>39.208976490344781</v>
      </c>
      <c r="Q44" s="22">
        <f t="shared" si="53"/>
        <v>334.37544509568392</v>
      </c>
      <c r="R44" s="62">
        <f t="shared" si="0"/>
        <v>627.70877842901723</v>
      </c>
      <c r="S44" s="62">
        <f ca="1">AVERAGE(OFFSET($R$3,0,0,'Données projet'!$E$9+1,1))-AVERAGE(OFFSET($H$3,0,0,'Données projet'!$E$9+1,1))</f>
        <v>257.80952690600492</v>
      </c>
      <c r="T44" s="62">
        <f t="shared" si="34"/>
        <v>269.95358755269427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2.683056526226534</v>
      </c>
      <c r="AA44" s="23">
        <f>EXP(-LN(2)/25)*AA43+(1-EXP(-LN(2)/25))/(LN(2)/25)*Calculateur!V44*Calculateur!X44*VLOOKUP('Données projet'!$B$9,Paramètres!$A$1:$I$89,3,0)*0.475*44/12</f>
        <v>5.9809043434916278</v>
      </c>
      <c r="AB44" s="23">
        <f>EXP(-LN(2)/2)*AB43+(1-EXP(-LN(2)/2))/(LN(2)/2)*V44*Y44*VLOOKUP('Données projet'!$B$9,Paramètres!$A$1:$I$89,3,0)*0.475*44/12</f>
        <v>0.29136231828117726</v>
      </c>
      <c r="AC44" s="24">
        <f t="shared" si="3"/>
        <v>8.9553231879993387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11.6</v>
      </c>
      <c r="AI44" s="14">
        <f>IF('Données projet'!$A$62&gt;35,AI43+AH44-AQ43,IF(A44&lt;'Données projet'!$A$62,$AF$205^A44,IF(A44='Données projet'!$A$62,'Données projet'!$B$62,AI43+AH44-AQ43)))</f>
        <v>181.60000000000011</v>
      </c>
      <c r="AJ44" s="14">
        <f>AI44*VLOOKUP('Données projet'!$B$10,Paramètres!$A$1:$I$89,3,0)*VLOOKUP('Données projet'!$B$10,Paramètres!$A$1:$I$89,5,0)</f>
        <v>103.87520000000008</v>
      </c>
      <c r="AK44" s="14">
        <f t="shared" si="35"/>
        <v>27.88315775295947</v>
      </c>
      <c r="AL44" s="22">
        <f t="shared" si="4"/>
        <v>229.47913975307119</v>
      </c>
      <c r="AM44" s="62">
        <f t="shared" si="5"/>
        <v>522.81247308640445</v>
      </c>
      <c r="AN44" s="62">
        <f ca="1">AVERAGE(OFFSET($AM$3,0,0,'Données projet'!$E$10+1,1))-AVERAGE(OFFSET($H$3,0,0,'Données projet'!$E$10+1,1))</f>
        <v>258.09881752732008</v>
      </c>
      <c r="AO44" s="62">
        <f t="shared" si="36"/>
        <v>214.72899476643335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3.0357978477428407E-2</v>
      </c>
      <c r="AX44" s="23">
        <f t="shared" si="6"/>
        <v>3.0357978477428407E-2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5.6</v>
      </c>
      <c r="BD44" s="13">
        <f>IF('Données projet'!$A$88&gt;35,BD43+BC44-BL43,IF(A44&lt;'Données projet'!$A$88,$BA$205^A44,IF(A44='Données projet'!$A$88,'Données projet'!$B$88,BD43+BC44-BL43)))</f>
        <v>84.600000000000009</v>
      </c>
      <c r="BE44" s="14">
        <f>BD44*VLOOKUP('Données projet'!$B$11,Paramètres!$A$1:$I$89,3,0)*VLOOKUP('Données projet'!$B$11,Paramètres!$A$1:$I$89,5,0)</f>
        <v>81.825120000000013</v>
      </c>
      <c r="BF44" s="14">
        <f t="shared" si="37"/>
        <v>22.58284790619167</v>
      </c>
      <c r="BG44" s="22">
        <f t="shared" si="7"/>
        <v>181.84387743661719</v>
      </c>
      <c r="BH44" s="62">
        <f t="shared" si="8"/>
        <v>475.17721076995053</v>
      </c>
      <c r="BI44" s="62">
        <f ca="1">AVERAGE(OFFSET($BH$3,0,0,'Données projet'!$E$11+1,1))-AVERAGE(OFFSET($H$3,0,0,'Données projet'!$E$11+1,1))</f>
        <v>298.18906674058809</v>
      </c>
      <c r="BJ44" s="62">
        <f t="shared" si="38"/>
        <v>154.08406475869634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5.6</v>
      </c>
      <c r="BY44" s="13">
        <f>IF('Données projet'!$A$114&gt;35,BY43+BX44-CG43,IF(A44&lt;'Données projet'!$A$114,$BV$205^A44,IF(A44='Données projet'!$A$114,'Données projet'!$B$114,BY43+BX44-CG43)))</f>
        <v>84.600000000000009</v>
      </c>
      <c r="BZ44" s="14">
        <f>BY44*VLOOKUP('Données projet'!$B$12,Paramètres!$A$1:$I$89,3,0)*VLOOKUP('Données projet'!$B$12,Paramètres!$A$1:$I$89,5,0)</f>
        <v>56.749680000000005</v>
      </c>
      <c r="CA44" s="14">
        <f t="shared" si="39"/>
        <v>16.343841431568325</v>
      </c>
      <c r="CB44" s="22">
        <f t="shared" si="10"/>
        <v>127.30454982664817</v>
      </c>
      <c r="CC44" s="62">
        <f t="shared" si="11"/>
        <v>420.63788315998147</v>
      </c>
      <c r="CD44" s="62">
        <f ca="1">AVERAGE(OFFSET($CC$3,0,0,'Données projet'!$E$12+1,1))-AVERAGE(OFFSET($H$3,0,0,'Données projet'!$E$12+1,1))</f>
        <v>218.24409784339861</v>
      </c>
      <c r="CE44" s="62">
        <f t="shared" si="40"/>
        <v>118.89963447540509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11.491346153846152</v>
      </c>
      <c r="N45" s="14">
        <f>IF('Données projet'!$A$36&gt;35,N44+M45-V44,IF(A45&lt;'Données projet'!$A$36,$K$205^A45,IF(A45='Données projet'!$A$36,'Données projet'!$B$36,N44+M45-V44)))</f>
        <v>266.97115384615387</v>
      </c>
      <c r="O45" s="14">
        <f>N45*VLOOKUP('Données projet'!$B$9,Paramètres!$A$1:$I$89,3,0)*VLOOKUP('Données projet'!$B$9,Paramètres!$A$1:$I$89,5,0)</f>
        <v>159.64875000000004</v>
      </c>
      <c r="P45" s="14">
        <f t="shared" si="33"/>
        <v>40.763279858052016</v>
      </c>
      <c r="Q45" s="22">
        <f t="shared" si="53"/>
        <v>349.05095200277395</v>
      </c>
      <c r="R45" s="62">
        <f t="shared" si="0"/>
        <v>642.38428533610727</v>
      </c>
      <c r="S45" s="62">
        <f ca="1">AVERAGE(OFFSET($R$3,0,0,'Données projet'!$E$9+1,1))-AVERAGE(OFFSET($H$3,0,0,'Données projet'!$E$9+1,1))</f>
        <v>257.80952690600492</v>
      </c>
      <c r="T45" s="62">
        <f t="shared" si="34"/>
        <v>269.95358755269427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2.6304434242501213</v>
      </c>
      <c r="AA45" s="23">
        <f>EXP(-LN(2)/25)*AA44+(1-EXP(-LN(2)/25))/(LN(2)/25)*Calculateur!V45*Calculateur!X45*VLOOKUP('Données projet'!$B$9,Paramètres!$A$1:$I$89,3,0)*0.475*44/12</f>
        <v>5.8173561996967598</v>
      </c>
      <c r="AB45" s="23">
        <f>EXP(-LN(2)/2)*AB44+(1-EXP(-LN(2)/2))/(LN(2)/2)*V45*Y45*VLOOKUP('Données projet'!$B$9,Paramètres!$A$1:$I$89,3,0)*0.475*44/12</f>
        <v>0.20602427103885362</v>
      </c>
      <c r="AC45" s="24">
        <f t="shared" si="3"/>
        <v>8.6538238949857345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11.6</v>
      </c>
      <c r="AI45" s="14">
        <f>IF('Données projet'!$A$62&gt;35,AI44+AH45-AQ44,IF(A45&lt;'Données projet'!$A$62,$AF$205^A45,IF(A45='Données projet'!$A$62,'Données projet'!$B$62,AI44+AH45-AQ44)))</f>
        <v>193.2000000000001</v>
      </c>
      <c r="AJ45" s="14">
        <f>AI45*VLOOKUP('Données projet'!$B$10,Paramètres!$A$1:$I$89,3,0)*VLOOKUP('Données projet'!$B$10,Paramètres!$A$1:$I$89,5,0)</f>
        <v>110.51040000000008</v>
      </c>
      <c r="AK45" s="14">
        <f t="shared" si="35"/>
        <v>29.451206375056412</v>
      </c>
      <c r="AL45" s="22">
        <f t="shared" si="4"/>
        <v>243.76646443655667</v>
      </c>
      <c r="AM45" s="62">
        <f t="shared" si="5"/>
        <v>537.09979776988996</v>
      </c>
      <c r="AN45" s="62">
        <f ca="1">AVERAGE(OFFSET($AM$3,0,0,'Données projet'!$E$10+1,1))-AVERAGE(OFFSET($H$3,0,0,'Données projet'!$E$10+1,1))</f>
        <v>258.09881752732008</v>
      </c>
      <c r="AO45" s="62">
        <f t="shared" si="36"/>
        <v>214.72899476643335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2.1466332444504889E-2</v>
      </c>
      <c r="AX45" s="23">
        <f t="shared" si="6"/>
        <v>2.1466332444504889E-2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5.6</v>
      </c>
      <c r="BD45" s="13">
        <f>IF('Données projet'!$A$88&gt;35,BD44+BC45-BL44,IF(A45&lt;'Données projet'!$A$88,$BA$205^A45,IF(A45='Données projet'!$A$88,'Données projet'!$B$88,BD44+BC45-BL44)))</f>
        <v>90.2</v>
      </c>
      <c r="BE45" s="14">
        <f>BD45*VLOOKUP('Données projet'!$B$11,Paramètres!$A$1:$I$89,3,0)*VLOOKUP('Données projet'!$B$11,Paramètres!$A$1:$I$89,5,0)</f>
        <v>87.241439999999997</v>
      </c>
      <c r="BF45" s="14">
        <f t="shared" si="37"/>
        <v>23.898726182438701</v>
      </c>
      <c r="BG45" s="22">
        <f t="shared" si="7"/>
        <v>193.56912276774736</v>
      </c>
      <c r="BH45" s="62">
        <f t="shared" si="8"/>
        <v>486.9024561010807</v>
      </c>
      <c r="BI45" s="62">
        <f ca="1">AVERAGE(OFFSET($BH$3,0,0,'Données projet'!$E$11+1,1))-AVERAGE(OFFSET($H$3,0,0,'Données projet'!$E$11+1,1))</f>
        <v>298.18906674058809</v>
      </c>
      <c r="BJ45" s="62">
        <f t="shared" si="38"/>
        <v>154.08406475869634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5.6</v>
      </c>
      <c r="BY45" s="13">
        <f>IF('Données projet'!$A$114&gt;35,BY44+BX45-CG44,IF(A45&lt;'Données projet'!$A$114,$BV$205^A45,IF(A45='Données projet'!$A$114,'Données projet'!$B$114,BY44+BX45-CG44)))</f>
        <v>90.2</v>
      </c>
      <c r="BZ45" s="14">
        <f>BY45*VLOOKUP('Données projet'!$B$12,Paramètres!$A$1:$I$89,3,0)*VLOOKUP('Données projet'!$B$12,Paramètres!$A$1:$I$89,5,0)</f>
        <v>60.506160000000001</v>
      </c>
      <c r="CA45" s="14">
        <f t="shared" si="39"/>
        <v>17.296179506002705</v>
      </c>
      <c r="CB45" s="22">
        <f t="shared" si="10"/>
        <v>135.50574130628803</v>
      </c>
      <c r="CC45" s="62">
        <f t="shared" si="11"/>
        <v>428.83907463962134</v>
      </c>
      <c r="CD45" s="62">
        <f ca="1">AVERAGE(OFFSET($CC$3,0,0,'Données projet'!$E$12+1,1))-AVERAGE(OFFSET($H$3,0,0,'Données projet'!$E$12+1,1))</f>
        <v>218.24409784339861</v>
      </c>
      <c r="CE45" s="62">
        <f t="shared" si="40"/>
        <v>118.89963447540509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11.491346153846152</v>
      </c>
      <c r="N46" s="14">
        <f>IF('Données projet'!$A$36&gt;35,N45+M46-V45,IF(A46&lt;'Données projet'!$A$36,$K$205^A46,IF(A46='Données projet'!$A$36,'Données projet'!$B$36,N45+M46-V45)))</f>
        <v>278.46250000000003</v>
      </c>
      <c r="O46" s="14">
        <f>N46*VLOOKUP('Données projet'!$B$9,Paramètres!$A$1:$I$89,3,0)*VLOOKUP('Données projet'!$B$9,Paramètres!$A$1:$I$89,5,0)</f>
        <v>166.52057500000004</v>
      </c>
      <c r="P46" s="14">
        <f t="shared" si="33"/>
        <v>42.309812716708549</v>
      </c>
      <c r="Q46" s="22">
        <f t="shared" si="53"/>
        <v>363.71292527326744</v>
      </c>
      <c r="R46" s="62">
        <f t="shared" si="0"/>
        <v>657.04625860660076</v>
      </c>
      <c r="S46" s="62">
        <f ca="1">AVERAGE(OFFSET($R$3,0,0,'Données projet'!$E$9+1,1))-AVERAGE(OFFSET($H$3,0,0,'Données projet'!$E$9+1,1))</f>
        <v>257.80952690600492</v>
      </c>
      <c r="T46" s="62">
        <f t="shared" si="34"/>
        <v>269.95358755269427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2.5788620331126428</v>
      </c>
      <c r="AA46" s="23">
        <f>EXP(-LN(2)/25)*AA45+(1-EXP(-LN(2)/25))/(LN(2)/25)*Calculateur!V46*Calculateur!X46*VLOOKUP('Données projet'!$B$9,Paramètres!$A$1:$I$89,3,0)*0.475*44/12</f>
        <v>5.6582802884945851</v>
      </c>
      <c r="AB46" s="23">
        <f>EXP(-LN(2)/2)*AB45+(1-EXP(-LN(2)/2))/(LN(2)/2)*V46*Y46*VLOOKUP('Données projet'!$B$9,Paramètres!$A$1:$I$89,3,0)*0.475*44/12</f>
        <v>0.14568115914058863</v>
      </c>
      <c r="AC46" s="24">
        <f t="shared" si="3"/>
        <v>8.3828234807478168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11.6</v>
      </c>
      <c r="AI46" s="14">
        <f>IF('Données projet'!$A$62&gt;35,AI45+AH46-AQ45,IF(A46&lt;'Données projet'!$A$62,$AF$205^A46,IF(A46='Données projet'!$A$62,'Données projet'!$B$62,AI45+AH46-AQ45)))</f>
        <v>204.8000000000001</v>
      </c>
      <c r="AJ46" s="14">
        <f>AI46*VLOOKUP('Données projet'!$B$10,Paramètres!$A$1:$I$89,3,0)*VLOOKUP('Données projet'!$B$10,Paramètres!$A$1:$I$89,5,0)</f>
        <v>117.14560000000006</v>
      </c>
      <c r="AK46" s="14">
        <f t="shared" si="35"/>
        <v>31.008327463794476</v>
      </c>
      <c r="AL46" s="22">
        <f t="shared" si="4"/>
        <v>258.0347569994421</v>
      </c>
      <c r="AM46" s="62">
        <f t="shared" si="5"/>
        <v>551.36809033277541</v>
      </c>
      <c r="AN46" s="62">
        <f ca="1">AVERAGE(OFFSET($AM$3,0,0,'Données projet'!$E$10+1,1))-AVERAGE(OFFSET($H$3,0,0,'Données projet'!$E$10+1,1))</f>
        <v>258.09881752732008</v>
      </c>
      <c r="AO46" s="62">
        <f t="shared" si="36"/>
        <v>214.72899476643335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1.5178989238714205E-2</v>
      </c>
      <c r="AX46" s="23">
        <f t="shared" si="6"/>
        <v>1.5178989238714205E-2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5.6</v>
      </c>
      <c r="BD46" s="13">
        <f>IF('Données projet'!$A$88&gt;35,BD45+BC46-BL45,IF(A46&lt;'Données projet'!$A$88,$BA$205^A46,IF(A46='Données projet'!$A$88,'Données projet'!$B$88,BD45+BC46-BL45)))</f>
        <v>95.8</v>
      </c>
      <c r="BE46" s="14">
        <f>BD46*VLOOKUP('Données projet'!$B$11,Paramètres!$A$1:$I$89,3,0)*VLOOKUP('Données projet'!$B$11,Paramètres!$A$1:$I$89,5,0)</f>
        <v>92.65776000000001</v>
      </c>
      <c r="BF46" s="14">
        <f t="shared" si="37"/>
        <v>25.205122972074609</v>
      </c>
      <c r="BG46" s="22">
        <f t="shared" si="7"/>
        <v>205.2778545096966</v>
      </c>
      <c r="BH46" s="62">
        <f t="shared" si="8"/>
        <v>498.61118784302994</v>
      </c>
      <c r="BI46" s="62">
        <f ca="1">AVERAGE(OFFSET($BH$3,0,0,'Données projet'!$E$11+1,1))-AVERAGE(OFFSET($H$3,0,0,'Données projet'!$E$11+1,1))</f>
        <v>298.18906674058809</v>
      </c>
      <c r="BJ46" s="62">
        <f t="shared" si="38"/>
        <v>154.08406475869634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5.6</v>
      </c>
      <c r="BY46" s="13">
        <f>IF('Données projet'!$A$114&gt;35,BY45+BX46-CG45,IF(A46&lt;'Données projet'!$A$114,$BV$205^A46,IF(A46='Données projet'!$A$114,'Données projet'!$B$114,BY45+BX46-CG45)))</f>
        <v>95.8</v>
      </c>
      <c r="BZ46" s="14">
        <f>BY46*VLOOKUP('Données projet'!$B$12,Paramètres!$A$1:$I$89,3,0)*VLOOKUP('Données projet'!$B$12,Paramètres!$A$1:$I$89,5,0)</f>
        <v>64.26263999999999</v>
      </c>
      <c r="CA46" s="14">
        <f t="shared" si="39"/>
        <v>18.24165556222081</v>
      </c>
      <c r="CB46" s="22">
        <f t="shared" si="10"/>
        <v>143.69498143753455</v>
      </c>
      <c r="CC46" s="62">
        <f t="shared" si="11"/>
        <v>437.02831477086784</v>
      </c>
      <c r="CD46" s="62">
        <f ca="1">AVERAGE(OFFSET($CC$3,0,0,'Données projet'!$E$12+1,1))-AVERAGE(OFFSET($H$3,0,0,'Données projet'!$E$12+1,1))</f>
        <v>218.24409784339861</v>
      </c>
      <c r="CE46" s="62">
        <f t="shared" si="40"/>
        <v>118.89963447540509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>
        <f>VLOOKUP(A47,'Données projet'!$A$35:$I$55,2,0)</f>
        <v>289.95384615384614</v>
      </c>
      <c r="L47" s="13">
        <f>VLOOKUP(A47,'Données projet'!$A$35:$I$55,9,0)</f>
        <v>11.491346153846152</v>
      </c>
      <c r="M47" s="13">
        <f t="array" ref="M47">INDEX(L:L,MIN(IF(ISNUMBER(L47:L243),ROW(L47:L243),"")))</f>
        <v>11.491346153846152</v>
      </c>
      <c r="N47" s="14">
        <f>IF('Données projet'!$A$36&gt;35,N46+M47-V46,IF(A47&lt;'Données projet'!$A$36,$K$205^A47,IF(A47='Données projet'!$A$36,'Données projet'!$B$36,N46+M47-V46)))</f>
        <v>289.9538461538462</v>
      </c>
      <c r="O47" s="14">
        <f>N47*VLOOKUP('Données projet'!$B$9,Paramètres!$A$1:$I$89,3,0)*VLOOKUP('Données projet'!$B$9,Paramètres!$A$1:$I$89,5,0)</f>
        <v>173.39240000000004</v>
      </c>
      <c r="P47" s="14">
        <f t="shared" si="33"/>
        <v>43.848932406837015</v>
      </c>
      <c r="Q47" s="22">
        <f t="shared" si="53"/>
        <v>378.36198727524112</v>
      </c>
      <c r="R47" s="62">
        <f t="shared" si="0"/>
        <v>671.69532060857443</v>
      </c>
      <c r="S47" s="62">
        <f ca="1">AVERAGE(OFFSET($R$3,0,0,'Données projet'!$E$9+1,1))-AVERAGE(OFFSET($H$3,0,0,'Données projet'!$E$9+1,1))</f>
        <v>257.80952690600492</v>
      </c>
      <c r="T47" s="62">
        <f t="shared" si="34"/>
        <v>269.95358755269427</v>
      </c>
      <c r="U47" s="16">
        <f>IF(ISNA(VLOOKUP(A47,'Données projet'!$A$35:$I$55,3,0)),0,VLOOKUP(A47,'Données projet'!$A$35:$I$55,3,0))</f>
        <v>5</v>
      </c>
      <c r="V47" s="16">
        <f>IF(ISNA(VLOOKUP(A47,'Données projet'!$A$35:$I$55,4,0)),0,VLOOKUP(A47,'Données projet'!$A$35:$I$55,4,0))</f>
        <v>64.476923076923072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2.5282921215938283</v>
      </c>
      <c r="AA47" s="23">
        <f>EXP(-LN(2)/25)*AA46+(1-EXP(-LN(2)/25))/(LN(2)/25)*Calculateur!V47*Calculateur!X47*VLOOKUP('Données projet'!$B$9,Paramètres!$A$1:$I$89,3,0)*0.475*44/12</f>
        <v>5.5035543164496721</v>
      </c>
      <c r="AB47" s="23">
        <f>EXP(-LN(2)/2)*AB46+(1-EXP(-LN(2)/2))/(LN(2)/2)*V47*Y47*VLOOKUP('Données projet'!$B$9,Paramètres!$A$1:$I$89,3,0)*0.475*44/12</f>
        <v>0.10301213551942681</v>
      </c>
      <c r="AC47" s="24">
        <f t="shared" si="3"/>
        <v>8.1348585735629264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11.6</v>
      </c>
      <c r="AI47" s="14">
        <f>IF('Données projet'!$A$62&gt;35,AI46+AH47-AQ46,IF(A47&lt;'Données projet'!$A$62,$AF$205^A47,IF(A47='Données projet'!$A$62,'Données projet'!$B$62,AI46+AH47-AQ46)))</f>
        <v>216.40000000000009</v>
      </c>
      <c r="AJ47" s="14">
        <f>AI47*VLOOKUP('Données projet'!$B$10,Paramètres!$A$1:$I$89,3,0)*VLOOKUP('Données projet'!$B$10,Paramètres!$A$1:$I$89,5,0)</f>
        <v>123.78080000000006</v>
      </c>
      <c r="AK47" s="14">
        <f t="shared" si="35"/>
        <v>32.555210491234583</v>
      </c>
      <c r="AL47" s="22">
        <f t="shared" si="4"/>
        <v>272.28521827223369</v>
      </c>
      <c r="AM47" s="62">
        <f t="shared" si="5"/>
        <v>565.61855160556706</v>
      </c>
      <c r="AN47" s="62">
        <f ca="1">AVERAGE(OFFSET($AM$3,0,0,'Données projet'!$E$10+1,1))-AVERAGE(OFFSET($H$3,0,0,'Données projet'!$E$10+1,1))</f>
        <v>258.09881752732008</v>
      </c>
      <c r="AO47" s="62">
        <f t="shared" si="36"/>
        <v>214.72899476643335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1.0733166222252446E-2</v>
      </c>
      <c r="AX47" s="23">
        <f t="shared" si="6"/>
        <v>1.0733166222252446E-2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5.6</v>
      </c>
      <c r="BD47" s="13">
        <f>IF('Données projet'!$A$88&gt;35,BD46+BC47-BL46,IF(A47&lt;'Données projet'!$A$88,$BA$205^A47,IF(A47='Données projet'!$A$88,'Données projet'!$B$88,BD46+BC47-BL46)))</f>
        <v>101.39999999999999</v>
      </c>
      <c r="BE47" s="14">
        <f>BD47*VLOOKUP('Données projet'!$B$11,Paramètres!$A$1:$I$89,3,0)*VLOOKUP('Données projet'!$B$11,Paramètres!$A$1:$I$89,5,0)</f>
        <v>98.074079999999995</v>
      </c>
      <c r="BF47" s="14">
        <f t="shared" si="37"/>
        <v>26.502655653208453</v>
      </c>
      <c r="BG47" s="22">
        <f t="shared" si="7"/>
        <v>216.97114792933803</v>
      </c>
      <c r="BH47" s="62">
        <f t="shared" si="8"/>
        <v>510.30448126267135</v>
      </c>
      <c r="BI47" s="62">
        <f ca="1">AVERAGE(OFFSET($BH$3,0,0,'Données projet'!$E$11+1,1))-AVERAGE(OFFSET($H$3,0,0,'Données projet'!$E$11+1,1))</f>
        <v>298.18906674058809</v>
      </c>
      <c r="BJ47" s="62">
        <f t="shared" si="38"/>
        <v>154.08406475869634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5.6</v>
      </c>
      <c r="BY47" s="13">
        <f>IF('Données projet'!$A$114&gt;35,BY46+BX47-CG46,IF(A47&lt;'Données projet'!$A$114,$BV$205^A47,IF(A47='Données projet'!$A$114,'Données projet'!$B$114,BY46+BX47-CG46)))</f>
        <v>101.39999999999999</v>
      </c>
      <c r="BZ47" s="14">
        <f>BY47*VLOOKUP('Données projet'!$B$12,Paramètres!$A$1:$I$89,3,0)*VLOOKUP('Données projet'!$B$12,Paramètres!$A$1:$I$89,5,0)</f>
        <v>68.019120000000001</v>
      </c>
      <c r="CA47" s="14">
        <f t="shared" si="39"/>
        <v>19.180716414103657</v>
      </c>
      <c r="CB47" s="22">
        <f t="shared" si="10"/>
        <v>151.87304842123052</v>
      </c>
      <c r="CC47" s="62">
        <f t="shared" si="11"/>
        <v>445.20638175456384</v>
      </c>
      <c r="CD47" s="62">
        <f ca="1">AVERAGE(OFFSET($CC$3,0,0,'Données projet'!$E$12+1,1))-AVERAGE(OFFSET($H$3,0,0,'Données projet'!$E$12+1,1))</f>
        <v>218.24409784339861</v>
      </c>
      <c r="CE47" s="62">
        <f t="shared" si="40"/>
        <v>118.89963447540509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13.292307692307695</v>
      </c>
      <c r="N48" s="14">
        <f>IF('Données projet'!$A$36&gt;35,N47+M48-V47,IF(A48&lt;'Données projet'!$A$36,$K$205^A48,IF(A48='Données projet'!$A$36,'Données projet'!$B$36,N47+M48-V47)))</f>
        <v>238.76923076923083</v>
      </c>
      <c r="O48" s="14">
        <f>N48*VLOOKUP('Données projet'!$B$9,Paramètres!$A$1:$I$89,3,0)*VLOOKUP('Données projet'!$B$9,Paramètres!$A$1:$I$89,5,0)</f>
        <v>142.78400000000005</v>
      </c>
      <c r="P48" s="14">
        <f t="shared" si="33"/>
        <v>36.934048077938577</v>
      </c>
      <c r="Q48" s="22">
        <f t="shared" si="53"/>
        <v>313.00893373574308</v>
      </c>
      <c r="R48" s="62">
        <f t="shared" si="0"/>
        <v>606.34226706907634</v>
      </c>
      <c r="S48" s="62">
        <f ca="1">AVERAGE(OFFSET($R$3,0,0,'Données projet'!$E$9+1,1))-AVERAGE(OFFSET($H$3,0,0,'Données projet'!$E$9+1,1))</f>
        <v>257.80952690600492</v>
      </c>
      <c r="T48" s="62">
        <f t="shared" si="34"/>
        <v>269.95358755269427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2.4787138551952972</v>
      </c>
      <c r="AA48" s="23">
        <f>EXP(-LN(2)/25)*AA47+(1-EXP(-LN(2)/25))/(LN(2)/25)*Calculateur!V48*Calculateur!X48*VLOOKUP('Données projet'!$B$9,Paramètres!$A$1:$I$89,3,0)*0.475*44/12</f>
        <v>5.3530593342470132</v>
      </c>
      <c r="AB48" s="23">
        <f>EXP(-LN(2)/2)*AB47+(1-EXP(-LN(2)/2))/(LN(2)/2)*V48*Y48*VLOOKUP('Données projet'!$B$9,Paramètres!$A$1:$I$89,3,0)*0.475*44/12</f>
        <v>7.2840579570294314E-2</v>
      </c>
      <c r="AC48" s="24">
        <f t="shared" si="3"/>
        <v>7.904613769012605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11.6</v>
      </c>
      <c r="AI48" s="14">
        <f>IF('Données projet'!$A$62&gt;35,AI47+AH48-AQ47,IF(A48&lt;'Données projet'!$A$62,$AF$205^A48,IF(A48='Données projet'!$A$62,'Données projet'!$B$62,AI47+AH48-AQ47)))</f>
        <v>228.00000000000009</v>
      </c>
      <c r="AJ48" s="14">
        <f>AI48*VLOOKUP('Données projet'!$B$10,Paramètres!$A$1:$I$89,3,0)*VLOOKUP('Données projet'!$B$10,Paramètres!$A$1:$I$89,5,0)</f>
        <v>130.41600000000005</v>
      </c>
      <c r="AK48" s="14">
        <f t="shared" si="35"/>
        <v>34.092466837179941</v>
      </c>
      <c r="AL48" s="22">
        <f t="shared" si="4"/>
        <v>286.51891307475512</v>
      </c>
      <c r="AM48" s="62">
        <f t="shared" si="5"/>
        <v>579.85224640808838</v>
      </c>
      <c r="AN48" s="62">
        <f ca="1">AVERAGE(OFFSET($AM$3,0,0,'Données projet'!$E$10+1,1))-AVERAGE(OFFSET($H$3,0,0,'Données projet'!$E$10+1,1))</f>
        <v>258.09881752732008</v>
      </c>
      <c r="AO48" s="62">
        <f t="shared" si="36"/>
        <v>214.72899476643335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7.5894946193571042E-3</v>
      </c>
      <c r="AX48" s="23">
        <f t="shared" si="6"/>
        <v>7.5894946193571042E-3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107</v>
      </c>
      <c r="BB48" s="13">
        <f>VLOOKUP(A48,'Données projet'!$A$87:$I$107,9,0)</f>
        <v>5.6</v>
      </c>
      <c r="BC48" s="13">
        <f t="array" ref="BC48">INDEX(BB:BB,MIN(IF(ISNUMBER(BB48:BB244),ROW(BB48:BB244),"")))</f>
        <v>5.6</v>
      </c>
      <c r="BD48" s="13">
        <f>IF('Données projet'!$A$88&gt;35,BD47+BC48-BL47,IF(A48&lt;'Données projet'!$A$88,$BA$205^A48,IF(A48='Données projet'!$A$88,'Données projet'!$B$88,BD47+BC48-BL47)))</f>
        <v>106.99999999999999</v>
      </c>
      <c r="BE48" s="14">
        <f>BD48*VLOOKUP('Données projet'!$B$11,Paramètres!$A$1:$I$89,3,0)*VLOOKUP('Données projet'!$B$11,Paramètres!$A$1:$I$89,5,0)</f>
        <v>103.49039999999998</v>
      </c>
      <c r="BF48" s="14">
        <f t="shared" si="37"/>
        <v>27.791869560921153</v>
      </c>
      <c r="BG48" s="22">
        <f t="shared" si="7"/>
        <v>228.64995281860425</v>
      </c>
      <c r="BH48" s="62">
        <f t="shared" si="8"/>
        <v>521.98328615193759</v>
      </c>
      <c r="BI48" s="62">
        <f ca="1">AVERAGE(OFFSET($BH$3,0,0,'Données projet'!$E$11+1,1))-AVERAGE(OFFSET($H$3,0,0,'Données projet'!$E$11+1,1))</f>
        <v>298.18906674058809</v>
      </c>
      <c r="BJ48" s="62">
        <f t="shared" si="38"/>
        <v>154.08406475869634</v>
      </c>
      <c r="BK48" s="16">
        <f>IF(ISNA(VLOOKUP(A48,'Données projet'!$A$87:$I$107,3,0)),0,VLOOKUP(A48,'Données projet'!$A$87:$I$107,3,0))</f>
        <v>5</v>
      </c>
      <c r="BL48" s="16">
        <f>IF(ISNA(VLOOKUP(A48,'Données projet'!$A$87:$I$107,4,0)),0,VLOOKUP(A48,'Données projet'!$A$87:$I$107,4,0))</f>
        <v>14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107</v>
      </c>
      <c r="BW48" s="13">
        <f>VLOOKUP(A48,'Données projet'!$A$113:$I$133,9,0)</f>
        <v>5.6</v>
      </c>
      <c r="BX48" s="13">
        <f t="array" ref="BX48">INDEX(BW:BW,MIN(IF(ISNUMBER(BW48:BW244),ROW(BW48:BW244),"")))</f>
        <v>5.6</v>
      </c>
      <c r="BY48" s="13">
        <f>IF('Données projet'!$A$114&gt;35,BY47+BX48-CG47,IF(A48&lt;'Données projet'!$A$114,$BV$205^A48,IF(A48='Données projet'!$A$114,'Données projet'!$B$114,BY47+BX48-CG47)))</f>
        <v>106.99999999999999</v>
      </c>
      <c r="BZ48" s="14">
        <f>BY48*VLOOKUP('Données projet'!$B$12,Paramètres!$A$1:$I$89,3,0)*VLOOKUP('Données projet'!$B$12,Paramètres!$A$1:$I$89,5,0)</f>
        <v>71.775599999999983</v>
      </c>
      <c r="CA48" s="14">
        <f t="shared" si="39"/>
        <v>20.113756735968991</v>
      </c>
      <c r="CB48" s="22">
        <f t="shared" si="10"/>
        <v>160.04062964847927</v>
      </c>
      <c r="CC48" s="62">
        <f t="shared" si="11"/>
        <v>453.37396298181261</v>
      </c>
      <c r="CD48" s="62">
        <f ca="1">AVERAGE(OFFSET($CC$3,0,0,'Données projet'!$E$12+1,1))-AVERAGE(OFFSET($H$3,0,0,'Données projet'!$E$12+1,1))</f>
        <v>218.24409784339861</v>
      </c>
      <c r="CE48" s="62">
        <f t="shared" si="40"/>
        <v>118.89963447540509</v>
      </c>
      <c r="CF48" s="16">
        <f>IF(ISNA(VLOOKUP(A48,'Données projet'!$A$113:$I$133,3,0)),0,VLOOKUP(A48,'Données projet'!$A$113:$I$133,3,0))</f>
        <v>5</v>
      </c>
      <c r="CG48" s="16">
        <f>IF(ISNA(VLOOKUP(A48,'Données projet'!$A$113:$I$133,4,0)),0,VLOOKUP(A48,'Données projet'!$A$113:$I$133,4,0))</f>
        <v>14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13.292307692307695</v>
      </c>
      <c r="N49" s="14">
        <f>IF('Données projet'!$A$36&gt;35,N48+M49-V48,IF(A49&lt;'Données projet'!$A$36,$K$205^A49,IF(A49='Données projet'!$A$36,'Données projet'!$B$36,N48+M49-V48)))</f>
        <v>252.06153846153853</v>
      </c>
      <c r="O49" s="14">
        <f>N49*VLOOKUP('Données projet'!$B$9,Paramètres!$A$1:$I$89,3,0)*VLOOKUP('Données projet'!$B$9,Paramètres!$A$1:$I$89,5,0)</f>
        <v>150.73280000000005</v>
      </c>
      <c r="P49" s="14">
        <f t="shared" si="33"/>
        <v>38.745069786983869</v>
      </c>
      <c r="Q49" s="22">
        <f t="shared" si="53"/>
        <v>330.00728987899697</v>
      </c>
      <c r="R49" s="62">
        <f t="shared" si="0"/>
        <v>623.34062321233023</v>
      </c>
      <c r="S49" s="62">
        <f ca="1">AVERAGE(OFFSET($R$3,0,0,'Données projet'!$E$9+1,1))-AVERAGE(OFFSET($H$3,0,0,'Données projet'!$E$9+1,1))</f>
        <v>257.80952690600492</v>
      </c>
      <c r="T49" s="62">
        <f t="shared" si="34"/>
        <v>269.95358755269427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2.4301077883610849</v>
      </c>
      <c r="AA49" s="23">
        <f>EXP(-LN(2)/25)*AA48+(1-EXP(-LN(2)/25))/(LN(2)/25)*Calculateur!V49*Calculateur!X49*VLOOKUP('Données projet'!$B$9,Paramètres!$A$1:$I$89,3,0)*0.475*44/12</f>
        <v>5.2066796452468731</v>
      </c>
      <c r="AB49" s="23">
        <f>EXP(-LN(2)/2)*AB48+(1-EXP(-LN(2)/2))/(LN(2)/2)*V49*Y49*VLOOKUP('Données projet'!$B$9,Paramètres!$A$1:$I$89,3,0)*0.475*44/12</f>
        <v>5.1506067759713406E-2</v>
      </c>
      <c r="AC49" s="24">
        <f t="shared" si="3"/>
        <v>7.6882935013676716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11.6</v>
      </c>
      <c r="AI49" s="14">
        <f>IF('Données projet'!$A$62&gt;35,AI48+AH49-AQ48,IF(A49&lt;'Données projet'!$A$62,$AF$205^A49,IF(A49='Données projet'!$A$62,'Données projet'!$B$62,AI48+AH49-AQ48)))</f>
        <v>239.60000000000008</v>
      </c>
      <c r="AJ49" s="14">
        <f>AI49*VLOOKUP('Données projet'!$B$10,Paramètres!$A$1:$I$89,3,0)*VLOOKUP('Données projet'!$B$10,Paramètres!$A$1:$I$89,5,0)</f>
        <v>137.05120000000005</v>
      </c>
      <c r="AK49" s="14">
        <f t="shared" si="35"/>
        <v>35.620642156874403</v>
      </c>
      <c r="AL49" s="22">
        <f t="shared" si="4"/>
        <v>300.73679175655633</v>
      </c>
      <c r="AM49" s="62">
        <f t="shared" si="5"/>
        <v>594.07012508988964</v>
      </c>
      <c r="AN49" s="62">
        <f ca="1">AVERAGE(OFFSET($AM$3,0,0,'Données projet'!$E$10+1,1))-AVERAGE(OFFSET($H$3,0,0,'Données projet'!$E$10+1,1))</f>
        <v>258.09881752732008</v>
      </c>
      <c r="AO49" s="62">
        <f t="shared" si="36"/>
        <v>214.72899476643335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5.366583111126224E-3</v>
      </c>
      <c r="AX49" s="23">
        <f t="shared" si="6"/>
        <v>5.366583111126224E-3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5.6</v>
      </c>
      <c r="BD49" s="13">
        <f>IF('Données projet'!$A$88&gt;35,BD48+BC49-BL48,IF(A49&lt;'Données projet'!$A$88,$BA$205^A49,IF(A49='Données projet'!$A$88,'Données projet'!$B$88,BD48+BC49-BL48)))</f>
        <v>98.59999999999998</v>
      </c>
      <c r="BE49" s="14">
        <f>BD49*VLOOKUP('Données projet'!$B$11,Paramètres!$A$1:$I$89,3,0)*VLOOKUP('Données projet'!$B$11,Paramètres!$A$1:$I$89,5,0)</f>
        <v>95.365919999999974</v>
      </c>
      <c r="BF49" s="14">
        <f t="shared" si="37"/>
        <v>25.854961705219438</v>
      </c>
      <c r="BG49" s="22">
        <f t="shared" si="7"/>
        <v>211.12636896992379</v>
      </c>
      <c r="BH49" s="62">
        <f t="shared" si="8"/>
        <v>504.45970230325713</v>
      </c>
      <c r="BI49" s="62">
        <f ca="1">AVERAGE(OFFSET($BH$3,0,0,'Données projet'!$E$11+1,1))-AVERAGE(OFFSET($H$3,0,0,'Données projet'!$E$11+1,1))</f>
        <v>298.18906674058809</v>
      </c>
      <c r="BJ49" s="62">
        <f t="shared" si="38"/>
        <v>154.08406475869634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5.6</v>
      </c>
      <c r="BY49" s="13">
        <f>IF('Données projet'!$A$114&gt;35,BY48+BX49-CG48,IF(A49&lt;'Données projet'!$A$114,$BV$205^A49,IF(A49='Données projet'!$A$114,'Données projet'!$B$114,BY48+BX49-CG48)))</f>
        <v>98.59999999999998</v>
      </c>
      <c r="BZ49" s="14">
        <f>BY49*VLOOKUP('Données projet'!$B$12,Paramètres!$A$1:$I$89,3,0)*VLOOKUP('Données projet'!$B$12,Paramètres!$A$1:$I$89,5,0)</f>
        <v>66.140879999999981</v>
      </c>
      <c r="CA49" s="14">
        <f t="shared" si="39"/>
        <v>18.711962108796726</v>
      </c>
      <c r="CB49" s="22">
        <f t="shared" si="10"/>
        <v>147.78536667282091</v>
      </c>
      <c r="CC49" s="62">
        <f t="shared" si="11"/>
        <v>441.1187000061542</v>
      </c>
      <c r="CD49" s="62">
        <f ca="1">AVERAGE(OFFSET($CC$3,0,0,'Données projet'!$E$12+1,1))-AVERAGE(OFFSET($H$3,0,0,'Données projet'!$E$12+1,1))</f>
        <v>218.24409784339861</v>
      </c>
      <c r="CE49" s="62">
        <f t="shared" si="40"/>
        <v>118.89963447540509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13.292307692307695</v>
      </c>
      <c r="N50" s="14">
        <f>IF('Données projet'!$A$36&gt;35,N49+M50-V49,IF(A50&lt;'Données projet'!$A$36,$K$205^A50,IF(A50='Données projet'!$A$36,'Données projet'!$B$36,N49+M50-V49)))</f>
        <v>265.35384615384623</v>
      </c>
      <c r="O50" s="14">
        <f>N50*VLOOKUP('Données projet'!$B$9,Paramètres!$A$1:$I$89,3,0)*VLOOKUP('Données projet'!$B$9,Paramètres!$A$1:$I$89,5,0)</f>
        <v>158.68160000000006</v>
      </c>
      <c r="P50" s="14">
        <f t="shared" si="33"/>
        <v>40.545003558832867</v>
      </c>
      <c r="Q50" s="22">
        <f t="shared" si="53"/>
        <v>346.98633453163399</v>
      </c>
      <c r="R50" s="62">
        <f t="shared" si="0"/>
        <v>640.3196678649673</v>
      </c>
      <c r="S50" s="62">
        <f ca="1">AVERAGE(OFFSET($R$3,0,0,'Données projet'!$E$9+1,1))-AVERAGE(OFFSET($H$3,0,0,'Données projet'!$E$9+1,1))</f>
        <v>257.80952690600492</v>
      </c>
      <c r="T50" s="62">
        <f t="shared" si="34"/>
        <v>269.95358755269427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2.382454856850718</v>
      </c>
      <c r="AA50" s="23">
        <f>EXP(-LN(2)/25)*AA49+(1-EXP(-LN(2)/25))/(LN(2)/25)*Calculateur!V50*Calculateur!X50*VLOOKUP('Données projet'!$B$9,Paramètres!$A$1:$I$89,3,0)*0.475*44/12</f>
        <v>5.0643027165402152</v>
      </c>
      <c r="AB50" s="23">
        <f>EXP(-LN(2)/2)*AB49+(1-EXP(-LN(2)/2))/(LN(2)/2)*V50*Y50*VLOOKUP('Données projet'!$B$9,Paramètres!$A$1:$I$89,3,0)*0.475*44/12</f>
        <v>3.6420289785147157E-2</v>
      </c>
      <c r="AC50" s="24">
        <f t="shared" si="3"/>
        <v>7.4831778631760804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11.6</v>
      </c>
      <c r="AI50" s="14">
        <f>IF('Données projet'!$A$62&gt;35,AI49+AH50-AQ49,IF(A50&lt;'Données projet'!$A$62,$AF$205^A50,IF(A50='Données projet'!$A$62,'Données projet'!$B$62,AI49+AH50-AQ49)))</f>
        <v>251.20000000000007</v>
      </c>
      <c r="AJ50" s="14">
        <f>AI50*VLOOKUP('Données projet'!$B$10,Paramètres!$A$1:$I$89,3,0)*VLOOKUP('Données projet'!$B$10,Paramètres!$A$1:$I$89,5,0)</f>
        <v>143.68640000000005</v>
      </c>
      <c r="AK50" s="14">
        <f t="shared" si="35"/>
        <v>37.140226285695888</v>
      </c>
      <c r="AL50" s="22">
        <f t="shared" si="4"/>
        <v>314.93970744758707</v>
      </c>
      <c r="AM50" s="62">
        <f t="shared" si="5"/>
        <v>608.27304078092038</v>
      </c>
      <c r="AN50" s="62">
        <f ca="1">AVERAGE(OFFSET($AM$3,0,0,'Données projet'!$E$10+1,1))-AVERAGE(OFFSET($H$3,0,0,'Données projet'!$E$10+1,1))</f>
        <v>258.09881752732008</v>
      </c>
      <c r="AO50" s="62">
        <f t="shared" si="36"/>
        <v>214.72899476643335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3.7947473096785526E-3</v>
      </c>
      <c r="AX50" s="23">
        <f t="shared" si="6"/>
        <v>3.7947473096785526E-3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5.6</v>
      </c>
      <c r="BD50" s="13">
        <f>IF('Données projet'!$A$88&gt;35,BD49+BC50-BL49,IF(A50&lt;'Données projet'!$A$88,$BA$205^A50,IF(A50='Données projet'!$A$88,'Données projet'!$B$88,BD49+BC50-BL49)))</f>
        <v>104.19999999999997</v>
      </c>
      <c r="BE50" s="14">
        <f>BD50*VLOOKUP('Données projet'!$B$11,Paramètres!$A$1:$I$89,3,0)*VLOOKUP('Données projet'!$B$11,Paramètres!$A$1:$I$89,5,0)</f>
        <v>100.78223999999997</v>
      </c>
      <c r="BF50" s="14">
        <f t="shared" si="37"/>
        <v>27.148270845500655</v>
      </c>
      <c r="BG50" s="22">
        <f t="shared" si="7"/>
        <v>222.81230638924691</v>
      </c>
      <c r="BH50" s="62">
        <f t="shared" si="8"/>
        <v>516.1456397225802</v>
      </c>
      <c r="BI50" s="62">
        <f ca="1">AVERAGE(OFFSET($BH$3,0,0,'Données projet'!$E$11+1,1))-AVERAGE(OFFSET($H$3,0,0,'Données projet'!$E$11+1,1))</f>
        <v>298.18906674058809</v>
      </c>
      <c r="BJ50" s="62">
        <f t="shared" si="38"/>
        <v>154.08406475869634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5.6</v>
      </c>
      <c r="BY50" s="13">
        <f>IF('Données projet'!$A$114&gt;35,BY49+BX50-CG49,IF(A50&lt;'Données projet'!$A$114,$BV$205^A50,IF(A50='Données projet'!$A$114,'Données projet'!$B$114,BY49+BX50-CG49)))</f>
        <v>104.19999999999997</v>
      </c>
      <c r="BZ50" s="14">
        <f>BY50*VLOOKUP('Données projet'!$B$12,Paramètres!$A$1:$I$89,3,0)*VLOOKUP('Données projet'!$B$12,Paramètres!$A$1:$I$89,5,0)</f>
        <v>69.897359999999992</v>
      </c>
      <c r="CA50" s="14">
        <f t="shared" si="39"/>
        <v>19.647966265515983</v>
      </c>
      <c r="CB50" s="22">
        <f t="shared" si="10"/>
        <v>155.95810991244028</v>
      </c>
      <c r="CC50" s="62">
        <f t="shared" si="11"/>
        <v>449.29144324577362</v>
      </c>
      <c r="CD50" s="62">
        <f ca="1">AVERAGE(OFFSET($CC$3,0,0,'Données projet'!$E$12+1,1))-AVERAGE(OFFSET($H$3,0,0,'Données projet'!$E$12+1,1))</f>
        <v>218.24409784339861</v>
      </c>
      <c r="CE50" s="62">
        <f t="shared" si="40"/>
        <v>118.89963447540509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13.292307692307695</v>
      </c>
      <c r="N51" s="14">
        <f>IF('Données projet'!$A$36&gt;35,N50+M51-V50,IF(A51&lt;'Données projet'!$A$36,$K$205^A51,IF(A51='Données projet'!$A$36,'Données projet'!$B$36,N50+M51-V50)))</f>
        <v>278.64615384615394</v>
      </c>
      <c r="O51" s="14">
        <f>N51*VLOOKUP('Données projet'!$B$9,Paramètres!$A$1:$I$89,3,0)*VLOOKUP('Données projet'!$B$9,Paramètres!$A$1:$I$89,5,0)</f>
        <v>166.63040000000007</v>
      </c>
      <c r="P51" s="14">
        <f t="shared" si="33"/>
        <v>42.334468196248146</v>
      </c>
      <c r="Q51" s="22">
        <f t="shared" si="53"/>
        <v>363.94714544179897</v>
      </c>
      <c r="R51" s="62">
        <f t="shared" si="0"/>
        <v>657.28047877513222</v>
      </c>
      <c r="S51" s="62">
        <f ca="1">AVERAGE(OFFSET($R$3,0,0,'Données projet'!$E$9+1,1))-AVERAGE(OFFSET($H$3,0,0,'Données projet'!$E$9+1,1))</f>
        <v>257.80952690600492</v>
      </c>
      <c r="T51" s="62">
        <f t="shared" si="34"/>
        <v>269.95358755269427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2.3357363702618512</v>
      </c>
      <c r="AA51" s="23">
        <f>EXP(-LN(2)/25)*AA50+(1-EXP(-LN(2)/25))/(LN(2)/25)*Calculateur!V51*Calculateur!X51*VLOOKUP('Données projet'!$B$9,Paramètres!$A$1:$I$89,3,0)*0.475*44/12</f>
        <v>4.9258190924363179</v>
      </c>
      <c r="AB51" s="23">
        <f>EXP(-LN(2)/2)*AB50+(1-EXP(-LN(2)/2))/(LN(2)/2)*V51*Y51*VLOOKUP('Données projet'!$B$9,Paramètres!$A$1:$I$89,3,0)*0.475*44/12</f>
        <v>2.5753033879856703E-2</v>
      </c>
      <c r="AC51" s="24">
        <f t="shared" si="3"/>
        <v>7.2873084965780262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11.6</v>
      </c>
      <c r="AI51" s="14">
        <f>IF('Données projet'!$A$62&gt;35,AI50+AH51-AQ50,IF(A51&lt;'Données projet'!$A$62,$AF$205^A51,IF(A51='Données projet'!$A$62,'Données projet'!$B$62,AI50+AH51-AQ50)))</f>
        <v>262.80000000000007</v>
      </c>
      <c r="AJ51" s="14">
        <f>AI51*VLOOKUP('Données projet'!$B$10,Paramètres!$A$1:$I$89,3,0)*VLOOKUP('Données projet'!$B$10,Paramètres!$A$1:$I$89,5,0)</f>
        <v>150.32160000000005</v>
      </c>
      <c r="AK51" s="14">
        <f t="shared" si="35"/>
        <v>38.651661262565312</v>
      </c>
      <c r="AL51" s="22">
        <f t="shared" si="4"/>
        <v>329.12843003230131</v>
      </c>
      <c r="AM51" s="62">
        <f t="shared" si="5"/>
        <v>622.46176336563462</v>
      </c>
      <c r="AN51" s="62">
        <f ca="1">AVERAGE(OFFSET($AM$3,0,0,'Données projet'!$E$10+1,1))-AVERAGE(OFFSET($H$3,0,0,'Données projet'!$E$10+1,1))</f>
        <v>258.09881752732008</v>
      </c>
      <c r="AO51" s="62">
        <f t="shared" si="36"/>
        <v>214.72899476643335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2.6832915555631124E-3</v>
      </c>
      <c r="AX51" s="23">
        <f t="shared" si="6"/>
        <v>2.6832915555631124E-3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5.6</v>
      </c>
      <c r="BD51" s="13">
        <f>IF('Données projet'!$A$88&gt;35,BD50+BC51-BL50,IF(A51&lt;'Données projet'!$A$88,$BA$205^A51,IF(A51='Données projet'!$A$88,'Données projet'!$B$88,BD50+BC51-BL50)))</f>
        <v>109.79999999999997</v>
      </c>
      <c r="BE51" s="14">
        <f>BD51*VLOOKUP('Données projet'!$B$11,Paramètres!$A$1:$I$89,3,0)*VLOOKUP('Données projet'!$B$11,Paramètres!$A$1:$I$89,5,0)</f>
        <v>106.19855999999997</v>
      </c>
      <c r="BF51" s="14">
        <f t="shared" si="37"/>
        <v>28.433510633203252</v>
      </c>
      <c r="BG51" s="22">
        <f t="shared" si="7"/>
        <v>234.48418968616227</v>
      </c>
      <c r="BH51" s="62">
        <f t="shared" si="8"/>
        <v>527.81752301949564</v>
      </c>
      <c r="BI51" s="62">
        <f ca="1">AVERAGE(OFFSET($BH$3,0,0,'Données projet'!$E$11+1,1))-AVERAGE(OFFSET($H$3,0,0,'Données projet'!$E$11+1,1))</f>
        <v>298.18906674058809</v>
      </c>
      <c r="BJ51" s="62">
        <f t="shared" si="38"/>
        <v>154.08406475869634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5.6</v>
      </c>
      <c r="BY51" s="13">
        <f>IF('Données projet'!$A$114&gt;35,BY50+BX51-CG50,IF(A51&lt;'Données projet'!$A$114,$BV$205^A51,IF(A51='Données projet'!$A$114,'Données projet'!$B$114,BY50+BX51-CG50)))</f>
        <v>109.79999999999997</v>
      </c>
      <c r="BZ51" s="14">
        <f>BY51*VLOOKUP('Données projet'!$B$12,Paramètres!$A$1:$I$89,3,0)*VLOOKUP('Données projet'!$B$12,Paramètres!$A$1:$I$89,5,0)</f>
        <v>73.653839999999974</v>
      </c>
      <c r="CA51" s="14">
        <f t="shared" si="39"/>
        <v>20.578130405088231</v>
      </c>
      <c r="CB51" s="22">
        <f t="shared" si="10"/>
        <v>164.12068178886196</v>
      </c>
      <c r="CC51" s="62">
        <f t="shared" si="11"/>
        <v>457.4540151221953</v>
      </c>
      <c r="CD51" s="62">
        <f ca="1">AVERAGE(OFFSET($CC$3,0,0,'Données projet'!$E$12+1,1))-AVERAGE(OFFSET($H$3,0,0,'Données projet'!$E$12+1,1))</f>
        <v>218.24409784339861</v>
      </c>
      <c r="CE51" s="62">
        <f t="shared" si="40"/>
        <v>118.89963447540509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13.292307692307695</v>
      </c>
      <c r="N52" s="14">
        <f>IF('Données projet'!$A$36&gt;35,N51+M52-V51,IF(A52&lt;'Données projet'!$A$36,$K$205^A52,IF(A52='Données projet'!$A$36,'Données projet'!$B$36,N51+M52-V51)))</f>
        <v>291.93846153846164</v>
      </c>
      <c r="O52" s="14">
        <f>N52*VLOOKUP('Données projet'!$B$9,Paramètres!$A$1:$I$89,3,0)*VLOOKUP('Données projet'!$B$9,Paramètres!$A$1:$I$89,5,0)</f>
        <v>174.57920000000007</v>
      </c>
      <c r="P52" s="14">
        <f t="shared" si="33"/>
        <v>44.114020128349765</v>
      </c>
      <c r="Q52" s="22">
        <f t="shared" si="53"/>
        <v>380.8906917235426</v>
      </c>
      <c r="R52" s="62">
        <f t="shared" si="0"/>
        <v>674.22402505687592</v>
      </c>
      <c r="S52" s="62">
        <f ca="1">AVERAGE(OFFSET($R$3,0,0,'Données projet'!$E$9+1,1))-AVERAGE(OFFSET($H$3,0,0,'Données projet'!$E$9+1,1))</f>
        <v>257.80952690600492</v>
      </c>
      <c r="T52" s="62">
        <f t="shared" si="34"/>
        <v>269.95358755269427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2.2899340046995289</v>
      </c>
      <c r="AA52" s="23">
        <f>EXP(-LN(2)/25)*AA51+(1-EXP(-LN(2)/25))/(LN(2)/25)*Calculateur!V52*Calculateur!X52*VLOOKUP('Données projet'!$B$9,Paramètres!$A$1:$I$89,3,0)*0.475*44/12</f>
        <v>4.7911223103160792</v>
      </c>
      <c r="AB52" s="23">
        <f>EXP(-LN(2)/2)*AB51+(1-EXP(-LN(2)/2))/(LN(2)/2)*V52*Y52*VLOOKUP('Données projet'!$B$9,Paramètres!$A$1:$I$89,3,0)*0.475*44/12</f>
        <v>1.8210144892573579E-2</v>
      </c>
      <c r="AC52" s="24">
        <f t="shared" si="3"/>
        <v>7.0992664599081818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11.6</v>
      </c>
      <c r="AI52" s="14">
        <f>IF('Données projet'!$A$62&gt;35,AI51+AH52-AQ51,IF(A52&lt;'Données projet'!$A$62,$AF$205^A52,IF(A52='Données projet'!$A$62,'Données projet'!$B$62,AI51+AH52-AQ51)))</f>
        <v>274.40000000000009</v>
      </c>
      <c r="AJ52" s="14">
        <f>AI52*VLOOKUP('Données projet'!$B$10,Paramètres!$A$1:$I$89,3,0)*VLOOKUP('Données projet'!$B$10,Paramètres!$A$1:$I$89,5,0)</f>
        <v>156.95680000000007</v>
      </c>
      <c r="AK52" s="14">
        <f t="shared" si="35"/>
        <v>40.155347896746875</v>
      </c>
      <c r="AL52" s="22">
        <f t="shared" si="4"/>
        <v>343.30365758683416</v>
      </c>
      <c r="AM52" s="62">
        <f t="shared" si="5"/>
        <v>636.63699092016748</v>
      </c>
      <c r="AN52" s="62">
        <f ca="1">AVERAGE(OFFSET($AM$3,0,0,'Données projet'!$E$10+1,1))-AVERAGE(OFFSET($H$3,0,0,'Données projet'!$E$10+1,1))</f>
        <v>258.09881752732008</v>
      </c>
      <c r="AO52" s="62">
        <f t="shared" si="36"/>
        <v>214.72899476643335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1.8973736548392765E-3</v>
      </c>
      <c r="AX52" s="23">
        <f t="shared" si="6"/>
        <v>1.8973736548392765E-3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5.6</v>
      </c>
      <c r="BD52" s="13">
        <f>IF('Données projet'!$A$88&gt;35,BD51+BC52-BL51,IF(A52&lt;'Données projet'!$A$88,$BA$205^A52,IF(A52='Données projet'!$A$88,'Données projet'!$B$88,BD51+BC52-BL51)))</f>
        <v>115.39999999999996</v>
      </c>
      <c r="BE52" s="14">
        <f>BD52*VLOOKUP('Données projet'!$B$11,Paramètres!$A$1:$I$89,3,0)*VLOOKUP('Données projet'!$B$11,Paramètres!$A$1:$I$89,5,0)</f>
        <v>111.61487999999996</v>
      </c>
      <c r="BF52" s="14">
        <f t="shared" si="37"/>
        <v>29.711139570849625</v>
      </c>
      <c r="BG52" s="22">
        <f t="shared" si="7"/>
        <v>246.14281741922969</v>
      </c>
      <c r="BH52" s="62">
        <f t="shared" si="8"/>
        <v>539.47615075256294</v>
      </c>
      <c r="BI52" s="62">
        <f ca="1">AVERAGE(OFFSET($BH$3,0,0,'Données projet'!$E$11+1,1))-AVERAGE(OFFSET($H$3,0,0,'Données projet'!$E$11+1,1))</f>
        <v>298.18906674058809</v>
      </c>
      <c r="BJ52" s="62">
        <f t="shared" si="38"/>
        <v>154.08406475869634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5.6</v>
      </c>
      <c r="BY52" s="13">
        <f>IF('Données projet'!$A$114&gt;35,BY51+BX52-CG51,IF(A52&lt;'Données projet'!$A$114,$BV$205^A52,IF(A52='Données projet'!$A$114,'Données projet'!$B$114,BY51+BX52-CG51)))</f>
        <v>115.39999999999996</v>
      </c>
      <c r="BZ52" s="14">
        <f>BY52*VLOOKUP('Données projet'!$B$12,Paramètres!$A$1:$I$89,3,0)*VLOOKUP('Données projet'!$B$12,Paramètres!$A$1:$I$89,5,0)</f>
        <v>77.410319999999984</v>
      </c>
      <c r="CA52" s="14">
        <f t="shared" si="39"/>
        <v>21.50278635866929</v>
      </c>
      <c r="CB52" s="22">
        <f t="shared" si="10"/>
        <v>172.27366024134895</v>
      </c>
      <c r="CC52" s="62">
        <f t="shared" si="11"/>
        <v>465.60699357468229</v>
      </c>
      <c r="CD52" s="62">
        <f ca="1">AVERAGE(OFFSET($CC$3,0,0,'Données projet'!$E$12+1,1))-AVERAGE(OFFSET($H$3,0,0,'Données projet'!$E$12+1,1))</f>
        <v>218.24409784339861</v>
      </c>
      <c r="CE52" s="62">
        <f t="shared" si="40"/>
        <v>118.89963447540509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13.292307692307695</v>
      </c>
      <c r="N53" s="14">
        <f>IF('Données projet'!$A$36&gt;35,N52+M53-V52,IF(A53&lt;'Données projet'!$A$36,$K$205^A53,IF(A53='Données projet'!$A$36,'Données projet'!$B$36,N52+M53-V52)))</f>
        <v>305.23076923076934</v>
      </c>
      <c r="O53" s="14">
        <f>N53*VLOOKUP('Données projet'!$B$9,Paramètres!$A$1:$I$89,3,0)*VLOOKUP('Données projet'!$B$9,Paramètres!$A$1:$I$89,5,0)</f>
        <v>182.52800000000008</v>
      </c>
      <c r="P53" s="14">
        <f t="shared" si="33"/>
        <v>45.884162250358621</v>
      </c>
      <c r="Q53" s="22">
        <f t="shared" si="53"/>
        <v>397.81784925270807</v>
      </c>
      <c r="R53" s="62">
        <f t="shared" si="0"/>
        <v>691.15118258604139</v>
      </c>
      <c r="S53" s="62">
        <f ca="1">AVERAGE(OFFSET($R$3,0,0,'Données projet'!$E$9+1,1))-AVERAGE(OFFSET($H$3,0,0,'Données projet'!$E$9+1,1))</f>
        <v>257.80952690600492</v>
      </c>
      <c r="T53" s="62">
        <f t="shared" si="34"/>
        <v>269.95358755269427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2.2450297955891991</v>
      </c>
      <c r="AA53" s="23">
        <f>EXP(-LN(2)/25)*AA52+(1-EXP(-LN(2)/25))/(LN(2)/25)*Calculateur!V53*Calculateur!X53*VLOOKUP('Données projet'!$B$9,Paramètres!$A$1:$I$89,3,0)*0.475*44/12</f>
        <v>4.6601088187863136</v>
      </c>
      <c r="AB53" s="23">
        <f>EXP(-LN(2)/2)*AB52+(1-EXP(-LN(2)/2))/(LN(2)/2)*V53*Y53*VLOOKUP('Données projet'!$B$9,Paramètres!$A$1:$I$89,3,0)*0.475*44/12</f>
        <v>1.2876516939928351E-2</v>
      </c>
      <c r="AC53" s="24">
        <f t="shared" si="3"/>
        <v>6.9180151313154417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286</v>
      </c>
      <c r="AG53" s="13">
        <f>VLOOKUP(A53,'Données projet'!$A$61:$I$81,9,0)</f>
        <v>11.6</v>
      </c>
      <c r="AH53" s="13">
        <f t="array" ref="AH53">INDEX(AG:AG,MIN(IF(ISNUMBER(AG53:AG249),ROW(AG53:AG249),"")))</f>
        <v>11.6</v>
      </c>
      <c r="AI53" s="14">
        <f>IF('Données projet'!$A$62&gt;35,AI52+AH53-AQ52,IF(A53&lt;'Données projet'!$A$62,$AF$205^A53,IF(A53='Données projet'!$A$62,'Données projet'!$B$62,AI52+AH53-AQ52)))</f>
        <v>286.00000000000011</v>
      </c>
      <c r="AJ53" s="14">
        <f>AI53*VLOOKUP('Données projet'!$B$10,Paramètres!$A$1:$I$89,3,0)*VLOOKUP('Données projet'!$B$10,Paramètres!$A$1:$I$89,5,0)</f>
        <v>163.59200000000007</v>
      </c>
      <c r="AK53" s="14">
        <f t="shared" si="35"/>
        <v>41.651651192923794</v>
      </c>
      <c r="AL53" s="22">
        <f t="shared" si="4"/>
        <v>357.46602582767576</v>
      </c>
      <c r="AM53" s="62">
        <f t="shared" si="5"/>
        <v>650.79935916100908</v>
      </c>
      <c r="AN53" s="62">
        <f ca="1">AVERAGE(OFFSET($AM$3,0,0,'Données projet'!$E$10+1,1))-AVERAGE(OFFSET($H$3,0,0,'Données projet'!$E$10+1,1))</f>
        <v>258.09881752732008</v>
      </c>
      <c r="AO53" s="62">
        <f t="shared" si="36"/>
        <v>214.72899476643335</v>
      </c>
      <c r="AP53" s="16">
        <f>IF(ISNA(VLOOKUP(A53,'Données projet'!$A$61:$I$81,3,0)),0,VLOOKUP(A53,'Données projet'!$A$61:$I$81,3,0))</f>
        <v>5</v>
      </c>
      <c r="AQ53" s="16">
        <f>IF(ISNA(VLOOKUP(A53,'Données projet'!$A$61:$I$81,4,0)),0,VLOOKUP(A53,'Données projet'!$A$61:$I$81,4,0))</f>
        <v>65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1.3416457777815564E-3</v>
      </c>
      <c r="AX53" s="23">
        <f t="shared" si="6"/>
        <v>1.3416457777815564E-3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121</v>
      </c>
      <c r="BB53" s="13">
        <f>VLOOKUP(A53,'Données projet'!$A$87:$I$107,9,0)</f>
        <v>5.6</v>
      </c>
      <c r="BC53" s="13">
        <f t="array" ref="BC53">INDEX(BB:BB,MIN(IF(ISNUMBER(BB53:BB249),ROW(BB53:BB249),"")))</f>
        <v>5.6</v>
      </c>
      <c r="BD53" s="13">
        <f>IF('Données projet'!$A$88&gt;35,BD52+BC53-BL52,IF(A53&lt;'Données projet'!$A$88,$BA$205^A53,IF(A53='Données projet'!$A$88,'Données projet'!$B$88,BD52+BC53-BL52)))</f>
        <v>120.99999999999996</v>
      </c>
      <c r="BE53" s="14">
        <f>BD53*VLOOKUP('Données projet'!$B$11,Paramètres!$A$1:$I$89,3,0)*VLOOKUP('Données projet'!$B$11,Paramètres!$A$1:$I$89,5,0)</f>
        <v>117.03119999999996</v>
      </c>
      <c r="BF53" s="14">
        <f t="shared" si="37"/>
        <v>30.981569147428527</v>
      </c>
      <c r="BG53" s="22">
        <f t="shared" si="7"/>
        <v>257.78890626510457</v>
      </c>
      <c r="BH53" s="62">
        <f t="shared" si="8"/>
        <v>551.12223959843789</v>
      </c>
      <c r="BI53" s="62">
        <f ca="1">AVERAGE(OFFSET($BH$3,0,0,'Données projet'!$E$11+1,1))-AVERAGE(OFFSET($H$3,0,0,'Données projet'!$E$11+1,1))</f>
        <v>298.18906674058809</v>
      </c>
      <c r="BJ53" s="62">
        <f t="shared" si="38"/>
        <v>154.08406475869634</v>
      </c>
      <c r="BK53" s="16">
        <f>IF(ISNA(VLOOKUP(A53,'Données projet'!$A$87:$I$107,3,0)),0,VLOOKUP(A53,'Données projet'!$A$87:$I$107,3,0))</f>
        <v>6</v>
      </c>
      <c r="BL53" s="16">
        <f>IF(ISNA(VLOOKUP(A53,'Données projet'!$A$87:$I$107,4,0)),0,VLOOKUP(A53,'Données projet'!$A$87:$I$107,4,0))</f>
        <v>14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121</v>
      </c>
      <c r="BW53" s="13">
        <f>VLOOKUP(A53,'Données projet'!$A$113:$I$133,9,0)</f>
        <v>5.6</v>
      </c>
      <c r="BX53" s="13">
        <f t="array" ref="BX53">INDEX(BW:BW,MIN(IF(ISNUMBER(BW53:BW249),ROW(BW53:BW249),"")))</f>
        <v>5.6</v>
      </c>
      <c r="BY53" s="13">
        <f>IF('Données projet'!$A$114&gt;35,BY52+BX53-CG52,IF(A53&lt;'Données projet'!$A$114,$BV$205^A53,IF(A53='Données projet'!$A$114,'Données projet'!$B$114,BY52+BX53-CG52)))</f>
        <v>120.99999999999996</v>
      </c>
      <c r="BZ53" s="14">
        <f>BY53*VLOOKUP('Données projet'!$B$12,Paramètres!$A$1:$I$89,3,0)*VLOOKUP('Données projet'!$B$12,Paramètres!$A$1:$I$89,5,0)</f>
        <v>81.166799999999967</v>
      </c>
      <c r="CA53" s="14">
        <f t="shared" si="39"/>
        <v>22.422231932399924</v>
      </c>
      <c r="CB53" s="22">
        <f t="shared" si="10"/>
        <v>180.4175639489298</v>
      </c>
      <c r="CC53" s="62">
        <f t="shared" si="11"/>
        <v>473.75089728226311</v>
      </c>
      <c r="CD53" s="62">
        <f ca="1">AVERAGE(OFFSET($CC$3,0,0,'Données projet'!$E$12+1,1))-AVERAGE(OFFSET($H$3,0,0,'Données projet'!$E$12+1,1))</f>
        <v>218.24409784339861</v>
      </c>
      <c r="CE53" s="62">
        <f t="shared" si="40"/>
        <v>118.89963447540509</v>
      </c>
      <c r="CF53" s="16">
        <f>IF(ISNA(VLOOKUP(A53,'Données projet'!$A$113:$I$133,3,0)),0,VLOOKUP(A53,'Données projet'!$A$113:$I$133,3,0))</f>
        <v>6</v>
      </c>
      <c r="CG53" s="16">
        <f>IF(ISNA(VLOOKUP(A53,'Données projet'!$A$113:$I$133,4,0)),0,VLOOKUP(A53,'Données projet'!$A$113:$I$133,4,0))</f>
        <v>14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13.292307692307695</v>
      </c>
      <c r="N54" s="14">
        <f>IF('Données projet'!$A$36&gt;35,N53+M54-V53,IF(A54&lt;'Données projet'!$A$36,$K$205^A54,IF(A54='Données projet'!$A$36,'Données projet'!$B$36,N53+M54-V53)))</f>
        <v>318.52307692307704</v>
      </c>
      <c r="O54" s="14">
        <f>N54*VLOOKUP('Données projet'!$B$9,Paramètres!$A$1:$I$89,3,0)*VLOOKUP('Données projet'!$B$9,Paramètres!$A$1:$I$89,5,0)</f>
        <v>190.47680000000008</v>
      </c>
      <c r="P54" s="14">
        <f t="shared" si="33"/>
        <v>47.645351180061425</v>
      </c>
      <c r="Q54" s="22">
        <f t="shared" si="53"/>
        <v>414.72941330527374</v>
      </c>
      <c r="R54" s="62">
        <f t="shared" si="0"/>
        <v>708.062746638607</v>
      </c>
      <c r="S54" s="62">
        <f ca="1">AVERAGE(OFFSET($R$3,0,0,'Données projet'!$E$9+1,1))-AVERAGE(OFFSET($H$3,0,0,'Données projet'!$E$9+1,1))</f>
        <v>257.80952690600492</v>
      </c>
      <c r="T54" s="62">
        <f t="shared" si="34"/>
        <v>269.95358755269427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2.2010061306306596</v>
      </c>
      <c r="AA54" s="23">
        <f>EXP(-LN(2)/25)*AA53+(1-EXP(-LN(2)/25))/(LN(2)/25)*Calculateur!V54*Calculateur!X54*VLOOKUP('Données projet'!$B$9,Paramètres!$A$1:$I$89,3,0)*0.475*44/12</f>
        <v>4.5326778980721301</v>
      </c>
      <c r="AB54" s="23">
        <f>EXP(-LN(2)/2)*AB53+(1-EXP(-LN(2)/2))/(LN(2)/2)*V54*Y54*VLOOKUP('Données projet'!$B$9,Paramètres!$A$1:$I$89,3,0)*0.475*44/12</f>
        <v>9.1050724462867893E-3</v>
      </c>
      <c r="AC54" s="24">
        <f t="shared" si="3"/>
        <v>6.7427891011490768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10.8</v>
      </c>
      <c r="AI54" s="14">
        <f>IF('Données projet'!$A$62&gt;35,AI53+AH54-AQ53,IF(A54&lt;'Données projet'!$A$62,$AF$205^A54,IF(A54='Données projet'!$A$62,'Données projet'!$B$62,AI53+AH54-AQ53)))</f>
        <v>231.80000000000013</v>
      </c>
      <c r="AJ54" s="14">
        <f>AI54*VLOOKUP('Données projet'!$B$10,Paramètres!$A$1:$I$89,3,0)*VLOOKUP('Données projet'!$B$10,Paramètres!$A$1:$I$89,5,0)</f>
        <v>132.58960000000008</v>
      </c>
      <c r="AK54" s="14">
        <f t="shared" si="35"/>
        <v>34.594051219951538</v>
      </c>
      <c r="AL54" s="22">
        <f t="shared" si="4"/>
        <v>291.17819254141574</v>
      </c>
      <c r="AM54" s="62">
        <f t="shared" si="5"/>
        <v>584.51152587474905</v>
      </c>
      <c r="AN54" s="62">
        <f ca="1">AVERAGE(OFFSET($AM$3,0,0,'Données projet'!$E$10+1,1))-AVERAGE(OFFSET($H$3,0,0,'Données projet'!$E$10+1,1))</f>
        <v>258.09881752732008</v>
      </c>
      <c r="AO54" s="62">
        <f t="shared" si="36"/>
        <v>214.72899476643335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9.4868682741963846E-4</v>
      </c>
      <c r="AX54" s="23">
        <f t="shared" si="6"/>
        <v>9.4868682741963846E-4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5.6</v>
      </c>
      <c r="BD54" s="13">
        <f>IF('Données projet'!$A$88&gt;35,BD53+BC54-BL53,IF(A54&lt;'Données projet'!$A$88,$BA$205^A54,IF(A54='Données projet'!$A$88,'Données projet'!$B$88,BD53+BC54-BL53)))</f>
        <v>112.59999999999995</v>
      </c>
      <c r="BE54" s="14">
        <f>BD54*VLOOKUP('Données projet'!$B$11,Paramètres!$A$1:$I$89,3,0)*VLOOKUP('Données projet'!$B$11,Paramètres!$A$1:$I$89,5,0)</f>
        <v>108.90671999999995</v>
      </c>
      <c r="BF54" s="14">
        <f t="shared" si="37"/>
        <v>29.073249724487347</v>
      </c>
      <c r="BG54" s="22">
        <f t="shared" si="7"/>
        <v>240.31511393681535</v>
      </c>
      <c r="BH54" s="62">
        <f t="shared" si="8"/>
        <v>533.64844727014861</v>
      </c>
      <c r="BI54" s="62">
        <f ca="1">AVERAGE(OFFSET($BH$3,0,0,'Données projet'!$E$11+1,1))-AVERAGE(OFFSET($H$3,0,0,'Données projet'!$E$11+1,1))</f>
        <v>298.18906674058809</v>
      </c>
      <c r="BJ54" s="62">
        <f t="shared" si="38"/>
        <v>154.08406475869634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5.6</v>
      </c>
      <c r="BY54" s="13">
        <f>IF('Données projet'!$A$114&gt;35,BY53+BX54-CG53,IF(A54&lt;'Données projet'!$A$114,$BV$205^A54,IF(A54='Données projet'!$A$114,'Données projet'!$B$114,BY53+BX54-CG53)))</f>
        <v>112.59999999999995</v>
      </c>
      <c r="BZ54" s="14">
        <f>BY54*VLOOKUP('Données projet'!$B$12,Paramètres!$A$1:$I$89,3,0)*VLOOKUP('Données projet'!$B$12,Paramètres!$A$1:$I$89,5,0)</f>
        <v>75.532079999999965</v>
      </c>
      <c r="CA54" s="14">
        <f t="shared" si="39"/>
        <v>21.041127557128405</v>
      </c>
      <c r="CB54" s="22">
        <f t="shared" si="10"/>
        <v>168.19833649533192</v>
      </c>
      <c r="CC54" s="62">
        <f t="shared" si="11"/>
        <v>461.53166982866526</v>
      </c>
      <c r="CD54" s="62">
        <f ca="1">AVERAGE(OFFSET($CC$3,0,0,'Données projet'!$E$12+1,1))-AVERAGE(OFFSET($H$3,0,0,'Données projet'!$E$12+1,1))</f>
        <v>218.24409784339861</v>
      </c>
      <c r="CE54" s="62">
        <f t="shared" si="40"/>
        <v>118.89963447540509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>
        <f>VLOOKUP(A55,'Données projet'!$A$35:$I$55,2,0)</f>
        <v>331.81538461538463</v>
      </c>
      <c r="L55" s="13">
        <f>VLOOKUP(A55,'Données projet'!$A$35:$I$55,9,0)</f>
        <v>13.292307692307695</v>
      </c>
      <c r="M55" s="13">
        <f t="array" ref="M55">INDEX(L:L,MIN(IF(ISNUMBER(L55:L251),ROW(L55:L251),"")))</f>
        <v>13.292307692307695</v>
      </c>
      <c r="N55" s="14">
        <f>IF('Données projet'!$A$36&gt;35,N54+M55-V54,IF(A55&lt;'Données projet'!$A$36,$K$205^A55,IF(A55='Données projet'!$A$36,'Données projet'!$B$36,N54+M55-V54)))</f>
        <v>331.81538461538474</v>
      </c>
      <c r="O55" s="14">
        <f>N55*VLOOKUP('Données projet'!$B$9,Paramètres!$A$1:$I$89,3,0)*VLOOKUP('Données projet'!$B$9,Paramètres!$A$1:$I$89,5,0)</f>
        <v>198.42560000000009</v>
      </c>
      <c r="P55" s="14">
        <f t="shared" si="33"/>
        <v>49.398003268862709</v>
      </c>
      <c r="Q55" s="22">
        <f t="shared" si="53"/>
        <v>431.62610902660271</v>
      </c>
      <c r="R55" s="62">
        <f t="shared" si="0"/>
        <v>724.95944235993602</v>
      </c>
      <c r="S55" s="62">
        <f ca="1">AVERAGE(OFFSET($R$3,0,0,'Données projet'!$E$9+1,1))-AVERAGE(OFFSET($H$3,0,0,'Données projet'!$E$9+1,1))</f>
        <v>257.80952690600492</v>
      </c>
      <c r="T55" s="62">
        <f t="shared" si="34"/>
        <v>269.95358755269427</v>
      </c>
      <c r="U55" s="16">
        <f>IF(ISNA(VLOOKUP(A55,'Données projet'!$A$35:$I$55,3,0)),0,VLOOKUP(A55,'Données projet'!$A$35:$I$55,3,0))</f>
        <v>6</v>
      </c>
      <c r="V55" s="16">
        <f>IF(ISNA(VLOOKUP(A55,'Données projet'!$A$35:$I$55,4,0)),0,VLOOKUP(A55,'Données projet'!$A$35:$I$55,4,0))</f>
        <v>61.784615384615378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2.1578457428901729</v>
      </c>
      <c r="AA55" s="23">
        <f>EXP(-LN(2)/25)*AA54+(1-EXP(-LN(2)/25))/(LN(2)/25)*Calculateur!V55*Calculateur!X55*VLOOKUP('Données projet'!$B$9,Paramètres!$A$1:$I$89,3,0)*0.475*44/12</f>
        <v>4.4087315825861761</v>
      </c>
      <c r="AB55" s="23">
        <f>EXP(-LN(2)/2)*AB54+(1-EXP(-LN(2)/2))/(LN(2)/2)*V55*Y55*VLOOKUP('Données projet'!$B$9,Paramètres!$A$1:$I$89,3,0)*0.475*44/12</f>
        <v>6.4382584699641757E-3</v>
      </c>
      <c r="AC55" s="24">
        <f t="shared" si="3"/>
        <v>6.5730155839463125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10.8</v>
      </c>
      <c r="AI55" s="14">
        <f>IF('Données projet'!$A$62&gt;35,AI54+AH55-AQ54,IF(A55&lt;'Données projet'!$A$62,$AF$205^A55,IF(A55='Données projet'!$A$62,'Données projet'!$B$62,AI54+AH55-AQ54)))</f>
        <v>242.60000000000014</v>
      </c>
      <c r="AJ55" s="14">
        <f>AI55*VLOOKUP('Données projet'!$B$10,Paramètres!$A$1:$I$89,3,0)*VLOOKUP('Données projet'!$B$10,Paramètres!$A$1:$I$89,5,0)</f>
        <v>138.76720000000009</v>
      </c>
      <c r="AK55" s="14">
        <f t="shared" si="35"/>
        <v>36.014443113344079</v>
      </c>
      <c r="AL55" s="22">
        <f t="shared" si="4"/>
        <v>304.4113617557411</v>
      </c>
      <c r="AM55" s="62">
        <f t="shared" si="5"/>
        <v>597.74469508907441</v>
      </c>
      <c r="AN55" s="62">
        <f ca="1">AVERAGE(OFFSET($AM$3,0,0,'Données projet'!$E$10+1,1))-AVERAGE(OFFSET($H$3,0,0,'Données projet'!$E$10+1,1))</f>
        <v>258.09881752732008</v>
      </c>
      <c r="AO55" s="62">
        <f t="shared" si="36"/>
        <v>214.72899476643335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6.7082288889077832E-4</v>
      </c>
      <c r="AX55" s="23">
        <f t="shared" si="6"/>
        <v>6.7082288889077832E-4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5.6</v>
      </c>
      <c r="BD55" s="13">
        <f>IF('Données projet'!$A$88&gt;35,BD54+BC55-BL54,IF(A55&lt;'Données projet'!$A$88,$BA$205^A55,IF(A55='Données projet'!$A$88,'Données projet'!$B$88,BD54+BC55-BL54)))</f>
        <v>118.19999999999995</v>
      </c>
      <c r="BE55" s="14">
        <f>BD55*VLOOKUP('Données projet'!$B$11,Paramètres!$A$1:$I$89,3,0)*VLOOKUP('Données projet'!$B$11,Paramètres!$A$1:$I$89,5,0)</f>
        <v>114.32303999999995</v>
      </c>
      <c r="BF55" s="14">
        <f t="shared" si="37"/>
        <v>30.347230203330305</v>
      </c>
      <c r="BG55" s="22">
        <f t="shared" si="7"/>
        <v>251.96738727080017</v>
      </c>
      <c r="BH55" s="62">
        <f t="shared" si="8"/>
        <v>545.30072060413352</v>
      </c>
      <c r="BI55" s="62">
        <f ca="1">AVERAGE(OFFSET($BH$3,0,0,'Données projet'!$E$11+1,1))-AVERAGE(OFFSET($H$3,0,0,'Données projet'!$E$11+1,1))</f>
        <v>298.18906674058809</v>
      </c>
      <c r="BJ55" s="62">
        <f t="shared" si="38"/>
        <v>154.08406475869634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5.6</v>
      </c>
      <c r="BY55" s="13">
        <f>IF('Données projet'!$A$114&gt;35,BY54+BX55-CG54,IF(A55&lt;'Données projet'!$A$114,$BV$205^A55,IF(A55='Données projet'!$A$114,'Données projet'!$B$114,BY54+BX55-CG54)))</f>
        <v>118.19999999999995</v>
      </c>
      <c r="BZ55" s="14">
        <f>BY55*VLOOKUP('Données projet'!$B$12,Paramètres!$A$1:$I$89,3,0)*VLOOKUP('Données projet'!$B$12,Paramètres!$A$1:$I$89,5,0)</f>
        <v>79.288559999999976</v>
      </c>
      <c r="CA55" s="14">
        <f t="shared" si="39"/>
        <v>21.96314301858018</v>
      </c>
      <c r="CB55" s="22">
        <f t="shared" si="10"/>
        <v>176.34671609069377</v>
      </c>
      <c r="CC55" s="62">
        <f t="shared" si="11"/>
        <v>469.68004942402706</v>
      </c>
      <c r="CD55" s="62">
        <f ca="1">AVERAGE(OFFSET($CC$3,0,0,'Données projet'!$E$12+1,1))-AVERAGE(OFFSET($H$3,0,0,'Données projet'!$E$12+1,1))</f>
        <v>218.24409784339861</v>
      </c>
      <c r="CE55" s="62">
        <f t="shared" si="40"/>
        <v>118.89963447540509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10.433653846153845</v>
      </c>
      <c r="N56" s="14">
        <f>IF('Données projet'!$A$36&gt;35,N55+M56-V55,IF(A56&lt;'Données projet'!$A$36,$K$205^A56,IF(A56='Données projet'!$A$36,'Données projet'!$B$36,N55+M56-V55)))</f>
        <v>280.4644230769232</v>
      </c>
      <c r="O56" s="14">
        <f>N56*VLOOKUP('Données projet'!$B$9,Paramètres!$A$1:$I$89,3,0)*VLOOKUP('Données projet'!$B$9,Paramètres!$A$1:$I$89,5,0)</f>
        <v>167.71772500000012</v>
      </c>
      <c r="P56" s="14">
        <f t="shared" si="33"/>
        <v>42.578468510426219</v>
      </c>
      <c r="Q56" s="22">
        <f t="shared" si="53"/>
        <v>366.26587036399252</v>
      </c>
      <c r="R56" s="62">
        <f t="shared" si="0"/>
        <v>659.59920369732583</v>
      </c>
      <c r="S56" s="62">
        <f ca="1">AVERAGE(OFFSET($R$3,0,0,'Données projet'!$E$9+1,1))-AVERAGE(OFFSET($H$3,0,0,'Données projet'!$E$9+1,1))</f>
        <v>257.80952690600492</v>
      </c>
      <c r="T56" s="62">
        <f t="shared" si="34"/>
        <v>269.95358755269427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2.1155317040280401</v>
      </c>
      <c r="AA56" s="23">
        <f>EXP(-LN(2)/25)*AA55+(1-EXP(-LN(2)/25))/(LN(2)/25)*Calculateur!V56*Calculateur!X56*VLOOKUP('Données projet'!$B$9,Paramètres!$A$1:$I$89,3,0)*0.475*44/12</f>
        <v>4.2881745856152396</v>
      </c>
      <c r="AB56" s="23">
        <f>EXP(-LN(2)/2)*AB55+(1-EXP(-LN(2)/2))/(LN(2)/2)*V56*Y56*VLOOKUP('Données projet'!$B$9,Paramètres!$A$1:$I$89,3,0)*0.475*44/12</f>
        <v>4.5525362231433946E-3</v>
      </c>
      <c r="AC56" s="24">
        <f t="shared" si="3"/>
        <v>6.4082588258664233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10.8</v>
      </c>
      <c r="AI56" s="14">
        <f>IF('Données projet'!$A$62&gt;35,AI55+AH56-AQ55,IF(A56&lt;'Données projet'!$A$62,$AF$205^A56,IF(A56='Données projet'!$A$62,'Données projet'!$B$62,AI55+AH56-AQ55)))</f>
        <v>253.40000000000015</v>
      </c>
      <c r="AJ56" s="14">
        <f>AI56*VLOOKUP('Données projet'!$B$10,Paramètres!$A$1:$I$89,3,0)*VLOOKUP('Données projet'!$B$10,Paramètres!$A$1:$I$89,5,0)</f>
        <v>144.9448000000001</v>
      </c>
      <c r="AK56" s="14">
        <f t="shared" si="35"/>
        <v>37.427491205949785</v>
      </c>
      <c r="AL56" s="22">
        <f t="shared" si="4"/>
        <v>317.63174051702936</v>
      </c>
      <c r="AM56" s="62">
        <f t="shared" si="5"/>
        <v>610.96507385036261</v>
      </c>
      <c r="AN56" s="62">
        <f ca="1">AVERAGE(OFFSET($AM$3,0,0,'Données projet'!$E$10+1,1))-AVERAGE(OFFSET($H$3,0,0,'Données projet'!$E$10+1,1))</f>
        <v>258.09881752732008</v>
      </c>
      <c r="AO56" s="62">
        <f t="shared" si="36"/>
        <v>214.72899476643335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4.7434341370981929E-4</v>
      </c>
      <c r="AX56" s="23">
        <f t="shared" si="6"/>
        <v>4.7434341370981929E-4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5.6</v>
      </c>
      <c r="BD56" s="13">
        <f>IF('Données projet'!$A$88&gt;35,BD55+BC56-BL55,IF(A56&lt;'Données projet'!$A$88,$BA$205^A56,IF(A56='Données projet'!$A$88,'Données projet'!$B$88,BD55+BC56-BL55)))</f>
        <v>123.79999999999994</v>
      </c>
      <c r="BE56" s="14">
        <f>BD56*VLOOKUP('Données projet'!$B$11,Paramètres!$A$1:$I$89,3,0)*VLOOKUP('Données projet'!$B$11,Paramètres!$A$1:$I$89,5,0)</f>
        <v>119.73935999999993</v>
      </c>
      <c r="BF56" s="14">
        <f t="shared" si="37"/>
        <v>31.614201603611228</v>
      </c>
      <c r="BG56" s="22">
        <f t="shared" si="7"/>
        <v>263.60745312628939</v>
      </c>
      <c r="BH56" s="62">
        <f t="shared" si="8"/>
        <v>556.9407864596227</v>
      </c>
      <c r="BI56" s="62">
        <f ca="1">AVERAGE(OFFSET($BH$3,0,0,'Données projet'!$E$11+1,1))-AVERAGE(OFFSET($H$3,0,0,'Données projet'!$E$11+1,1))</f>
        <v>298.18906674058809</v>
      </c>
      <c r="BJ56" s="62">
        <f t="shared" si="38"/>
        <v>154.08406475869634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5.6</v>
      </c>
      <c r="BY56" s="13">
        <f>IF('Données projet'!$A$114&gt;35,BY55+BX56-CG55,IF(A56&lt;'Données projet'!$A$114,$BV$205^A56,IF(A56='Données projet'!$A$114,'Données projet'!$B$114,BY55+BX56-CG55)))</f>
        <v>123.79999999999994</v>
      </c>
      <c r="BZ56" s="14">
        <f>BY56*VLOOKUP('Données projet'!$B$12,Paramètres!$A$1:$I$89,3,0)*VLOOKUP('Données projet'!$B$12,Paramètres!$A$1:$I$89,5,0)</f>
        <v>83.045039999999958</v>
      </c>
      <c r="CA56" s="14">
        <f t="shared" si="39"/>
        <v>22.880085812976201</v>
      </c>
      <c r="CB56" s="22">
        <f t="shared" si="10"/>
        <v>184.48626079093347</v>
      </c>
      <c r="CC56" s="62">
        <f t="shared" si="11"/>
        <v>477.81959412426681</v>
      </c>
      <c r="CD56" s="62">
        <f ca="1">AVERAGE(OFFSET($CC$3,0,0,'Données projet'!$E$12+1,1))-AVERAGE(OFFSET($H$3,0,0,'Données projet'!$E$12+1,1))</f>
        <v>218.24409784339861</v>
      </c>
      <c r="CE56" s="62">
        <f t="shared" si="40"/>
        <v>118.89963447540509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10.433653846153845</v>
      </c>
      <c r="N57" s="14">
        <f>IF('Données projet'!$A$36&gt;35,N56+M57-V56,IF(A57&lt;'Données projet'!$A$36,$K$205^A57,IF(A57='Données projet'!$A$36,'Données projet'!$B$36,N56+M57-V56)))</f>
        <v>290.89807692307704</v>
      </c>
      <c r="O57" s="14">
        <f>N57*VLOOKUP('Données projet'!$B$9,Paramètres!$A$1:$I$89,3,0)*VLOOKUP('Données projet'!$B$9,Paramètres!$A$1:$I$89,5,0)</f>
        <v>173.95705000000009</v>
      </c>
      <c r="P57" s="14">
        <f t="shared" si="33"/>
        <v>43.97508081854933</v>
      </c>
      <c r="Q57" s="22">
        <f t="shared" si="53"/>
        <v>379.56512784230682</v>
      </c>
      <c r="R57" s="62">
        <f t="shared" si="0"/>
        <v>672.89846117564014</v>
      </c>
      <c r="S57" s="62">
        <f ca="1">AVERAGE(OFFSET($R$3,0,0,'Données projet'!$E$9+1,1))-AVERAGE(OFFSET($H$3,0,0,'Données projet'!$E$9+1,1))</f>
        <v>257.80952690600492</v>
      </c>
      <c r="T57" s="62">
        <f t="shared" si="34"/>
        <v>269.95358755269427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2.0740474176589787</v>
      </c>
      <c r="AA57" s="23">
        <f>EXP(-LN(2)/25)*AA56+(1-EXP(-LN(2)/25))/(LN(2)/25)*Calculateur!V57*Calculateur!X57*VLOOKUP('Données projet'!$B$9,Paramètres!$A$1:$I$89,3,0)*0.475*44/12</f>
        <v>4.1709142260662899</v>
      </c>
      <c r="AB57" s="23">
        <f>EXP(-LN(2)/2)*AB56+(1-EXP(-LN(2)/2))/(LN(2)/2)*V57*Y57*VLOOKUP('Données projet'!$B$9,Paramètres!$A$1:$I$89,3,0)*0.475*44/12</f>
        <v>3.2191292349820879E-3</v>
      </c>
      <c r="AC57" s="24">
        <f t="shared" si="3"/>
        <v>6.248180772960251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10.8</v>
      </c>
      <c r="AI57" s="14">
        <f>IF('Données projet'!$A$62&gt;35,AI56+AH57-AQ56,IF(A57&lt;'Données projet'!$A$62,$AF$205^A57,IF(A57='Données projet'!$A$62,'Données projet'!$B$62,AI56+AH57-AQ56)))</f>
        <v>264.20000000000016</v>
      </c>
      <c r="AJ57" s="14">
        <f>AI57*VLOOKUP('Données projet'!$B$10,Paramètres!$A$1:$I$89,3,0)*VLOOKUP('Données projet'!$B$10,Paramètres!$A$1:$I$89,5,0)</f>
        <v>151.12240000000011</v>
      </c>
      <c r="AK57" s="14">
        <f t="shared" si="35"/>
        <v>38.833544276032519</v>
      </c>
      <c r="AL57" s="22">
        <f t="shared" si="4"/>
        <v>330.83993628075677</v>
      </c>
      <c r="AM57" s="62">
        <f t="shared" si="5"/>
        <v>624.17326961409003</v>
      </c>
      <c r="AN57" s="62">
        <f ca="1">AVERAGE(OFFSET($AM$3,0,0,'Données projet'!$E$10+1,1))-AVERAGE(OFFSET($H$3,0,0,'Données projet'!$E$10+1,1))</f>
        <v>258.09881752732008</v>
      </c>
      <c r="AO57" s="62">
        <f t="shared" si="36"/>
        <v>214.72899476643335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3.3541144444538921E-4</v>
      </c>
      <c r="AX57" s="23">
        <f t="shared" si="6"/>
        <v>3.3541144444538921E-4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5.6</v>
      </c>
      <c r="BD57" s="13">
        <f>IF('Données projet'!$A$88&gt;35,BD56+BC57-BL56,IF(A57&lt;'Données projet'!$A$88,$BA$205^A57,IF(A57='Données projet'!$A$88,'Données projet'!$B$88,BD56+BC57-BL56)))</f>
        <v>129.39999999999995</v>
      </c>
      <c r="BE57" s="14">
        <f>BD57*VLOOKUP('Données projet'!$B$11,Paramètres!$A$1:$I$89,3,0)*VLOOKUP('Données projet'!$B$11,Paramètres!$A$1:$I$89,5,0)</f>
        <v>125.15567999999995</v>
      </c>
      <c r="BF57" s="14">
        <f t="shared" si="37"/>
        <v>32.874517196353331</v>
      </c>
      <c r="BG57" s="22">
        <f t="shared" si="7"/>
        <v>275.23592678364861</v>
      </c>
      <c r="BH57" s="62">
        <f t="shared" si="8"/>
        <v>568.56926011698192</v>
      </c>
      <c r="BI57" s="62">
        <f ca="1">AVERAGE(OFFSET($BH$3,0,0,'Données projet'!$E$11+1,1))-AVERAGE(OFFSET($H$3,0,0,'Données projet'!$E$11+1,1))</f>
        <v>298.18906674058809</v>
      </c>
      <c r="BJ57" s="62">
        <f t="shared" si="38"/>
        <v>154.08406475869634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5.6</v>
      </c>
      <c r="BY57" s="13">
        <f>IF('Données projet'!$A$114&gt;35,BY56+BX57-CG56,IF(A57&lt;'Données projet'!$A$114,$BV$205^A57,IF(A57='Données projet'!$A$114,'Données projet'!$B$114,BY56+BX57-CG56)))</f>
        <v>129.39999999999995</v>
      </c>
      <c r="BZ57" s="14">
        <f>BY57*VLOOKUP('Données projet'!$B$12,Paramètres!$A$1:$I$89,3,0)*VLOOKUP('Données projet'!$B$12,Paramètres!$A$1:$I$89,5,0)</f>
        <v>86.801519999999968</v>
      </c>
      <c r="CA57" s="14">
        <f t="shared" si="39"/>
        <v>23.792211612480088</v>
      </c>
      <c r="CB57" s="22">
        <f t="shared" si="10"/>
        <v>192.6174158917361</v>
      </c>
      <c r="CC57" s="62">
        <f t="shared" si="11"/>
        <v>485.95074922506944</v>
      </c>
      <c r="CD57" s="62">
        <f ca="1">AVERAGE(OFFSET($CC$3,0,0,'Données projet'!$E$12+1,1))-AVERAGE(OFFSET($H$3,0,0,'Données projet'!$E$12+1,1))</f>
        <v>218.24409784339861</v>
      </c>
      <c r="CE57" s="62">
        <f t="shared" si="40"/>
        <v>118.89963447540509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10.433653846153845</v>
      </c>
      <c r="N58" s="14">
        <f>IF('Données projet'!$A$36&gt;35,N57+M58-V57,IF(A58&lt;'Données projet'!$A$36,$K$205^A58,IF(A58='Données projet'!$A$36,'Données projet'!$B$36,N57+M58-V57)))</f>
        <v>301.33173076923089</v>
      </c>
      <c r="O58" s="14">
        <f>N58*VLOOKUP('Données projet'!$B$9,Paramètres!$A$1:$I$89,3,0)*VLOOKUP('Données projet'!$B$9,Paramètres!$A$1:$I$89,5,0)</f>
        <v>180.1963750000001</v>
      </c>
      <c r="P58" s="14">
        <f t="shared" si="33"/>
        <v>45.36587321312804</v>
      </c>
      <c r="Q58" s="22">
        <f t="shared" si="53"/>
        <v>392.85424897119816</v>
      </c>
      <c r="R58" s="62">
        <f t="shared" si="0"/>
        <v>686.18758230453147</v>
      </c>
      <c r="S58" s="62">
        <f ca="1">AVERAGE(OFFSET($R$3,0,0,'Données projet'!$E$9+1,1))-AVERAGE(OFFSET($H$3,0,0,'Données projet'!$E$9+1,1))</f>
        <v>257.80952690600492</v>
      </c>
      <c r="T58" s="62">
        <f t="shared" si="34"/>
        <v>269.95358755269427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2.033376612842698</v>
      </c>
      <c r="AA58" s="23">
        <f>EXP(-LN(2)/25)*AA57+(1-EXP(-LN(2)/25))/(LN(2)/25)*Calculateur!V58*Calculateur!X58*VLOOKUP('Données projet'!$B$9,Paramètres!$A$1:$I$89,3,0)*0.475*44/12</f>
        <v>4.056860357215661</v>
      </c>
      <c r="AB58" s="23">
        <f>EXP(-LN(2)/2)*AB57+(1-EXP(-LN(2)/2))/(LN(2)/2)*V58*Y58*VLOOKUP('Données projet'!$B$9,Paramètres!$A$1:$I$89,3,0)*0.475*44/12</f>
        <v>2.2762681115716973E-3</v>
      </c>
      <c r="AC58" s="24">
        <f t="shared" si="3"/>
        <v>6.0925132381699303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10.8</v>
      </c>
      <c r="AI58" s="14">
        <f>IF('Données projet'!$A$62&gt;35,AI57+AH58-AQ57,IF(A58&lt;'Données projet'!$A$62,$AF$205^A58,IF(A58='Données projet'!$A$62,'Données projet'!$B$62,AI57+AH58-AQ57)))</f>
        <v>275.00000000000017</v>
      </c>
      <c r="AJ58" s="14">
        <f>AI58*VLOOKUP('Données projet'!$B$10,Paramètres!$A$1:$I$89,3,0)*VLOOKUP('Données projet'!$B$10,Paramètres!$A$1:$I$89,5,0)</f>
        <v>157.3000000000001</v>
      </c>
      <c r="AK58" s="14">
        <f t="shared" si="35"/>
        <v>40.232920973447101</v>
      </c>
      <c r="AL58" s="22">
        <f t="shared" si="4"/>
        <v>344.03650402875382</v>
      </c>
      <c r="AM58" s="62">
        <f t="shared" si="5"/>
        <v>637.36983736208708</v>
      </c>
      <c r="AN58" s="62">
        <f ca="1">AVERAGE(OFFSET($AM$3,0,0,'Données projet'!$E$10+1,1))-AVERAGE(OFFSET($H$3,0,0,'Données projet'!$E$10+1,1))</f>
        <v>258.09881752732008</v>
      </c>
      <c r="AO58" s="62">
        <f t="shared" si="36"/>
        <v>214.72899476643335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2.371717068549097E-4</v>
      </c>
      <c r="AX58" s="23">
        <f t="shared" si="6"/>
        <v>2.371717068549097E-4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135</v>
      </c>
      <c r="BB58" s="13">
        <f>VLOOKUP(A58,'Données projet'!$A$87:$I$107,9,0)</f>
        <v>5.6</v>
      </c>
      <c r="BC58" s="13">
        <f t="array" ref="BC58">INDEX(BB:BB,MIN(IF(ISNUMBER(BB58:BB254),ROW(BB58:BB254),"")))</f>
        <v>5.6</v>
      </c>
      <c r="BD58" s="13">
        <f>IF('Données projet'!$A$88&gt;35,BD57+BC58-BL57,IF(A58&lt;'Données projet'!$A$88,$BA$205^A58,IF(A58='Données projet'!$A$88,'Données projet'!$B$88,BD57+BC58-BL57)))</f>
        <v>134.99999999999994</v>
      </c>
      <c r="BE58" s="14">
        <f>BD58*VLOOKUP('Données projet'!$B$11,Paramètres!$A$1:$I$89,3,0)*VLOOKUP('Données projet'!$B$11,Paramètres!$A$1:$I$89,5,0)</f>
        <v>130.57199999999995</v>
      </c>
      <c r="BF58" s="14">
        <f t="shared" si="37"/>
        <v>34.12849794659828</v>
      </c>
      <c r="BG58" s="22">
        <f t="shared" si="7"/>
        <v>286.85336725699193</v>
      </c>
      <c r="BH58" s="62">
        <f t="shared" si="8"/>
        <v>580.18670059032524</v>
      </c>
      <c r="BI58" s="62">
        <f ca="1">AVERAGE(OFFSET($BH$3,0,0,'Données projet'!$E$11+1,1))-AVERAGE(OFFSET($H$3,0,0,'Données projet'!$E$11+1,1))</f>
        <v>298.18906674058809</v>
      </c>
      <c r="BJ58" s="62">
        <f t="shared" si="38"/>
        <v>154.08406475869634</v>
      </c>
      <c r="BK58" s="16">
        <f>IF(ISNA(VLOOKUP(A58,'Données projet'!$A$87:$I$107,3,0)),0,VLOOKUP(A58,'Données projet'!$A$87:$I$107,3,0))</f>
        <v>7</v>
      </c>
      <c r="BL58" s="16">
        <f>IF(ISNA(VLOOKUP(A58,'Données projet'!$A$87:$I$107,4,0)),0,VLOOKUP(A58,'Données projet'!$A$87:$I$107,4,0))</f>
        <v>14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135</v>
      </c>
      <c r="BW58" s="13">
        <f>VLOOKUP(A58,'Données projet'!$A$113:$I$133,9,0)</f>
        <v>5.6</v>
      </c>
      <c r="BX58" s="13">
        <f t="array" ref="BX58">INDEX(BW:BW,MIN(IF(ISNUMBER(BW58:BW254),ROW(BW58:BW254),"")))</f>
        <v>5.6</v>
      </c>
      <c r="BY58" s="13">
        <f>IF('Données projet'!$A$114&gt;35,BY57+BX58-CG57,IF(A58&lt;'Données projet'!$A$114,$BV$205^A58,IF(A58='Données projet'!$A$114,'Données projet'!$B$114,BY57+BX58-CG57)))</f>
        <v>134.99999999999994</v>
      </c>
      <c r="BZ58" s="14">
        <f>BY58*VLOOKUP('Données projet'!$B$12,Paramètres!$A$1:$I$89,3,0)*VLOOKUP('Données projet'!$B$12,Paramètres!$A$1:$I$89,5,0)</f>
        <v>90.557999999999964</v>
      </c>
      <c r="CA58" s="14">
        <f t="shared" si="39"/>
        <v>24.699752708509138</v>
      </c>
      <c r="CB58" s="22">
        <f t="shared" si="10"/>
        <v>200.74058596732002</v>
      </c>
      <c r="CC58" s="62">
        <f t="shared" si="11"/>
        <v>494.0739193006533</v>
      </c>
      <c r="CD58" s="62">
        <f ca="1">AVERAGE(OFFSET($CC$3,0,0,'Données projet'!$E$12+1,1))-AVERAGE(OFFSET($H$3,0,0,'Données projet'!$E$12+1,1))</f>
        <v>218.24409784339861</v>
      </c>
      <c r="CE58" s="62">
        <f t="shared" si="40"/>
        <v>118.89963447540509</v>
      </c>
      <c r="CF58" s="16">
        <f>IF(ISNA(VLOOKUP(A58,'Données projet'!$A$113:$I$133,3,0)),0,VLOOKUP(A58,'Données projet'!$A$113:$I$133,3,0))</f>
        <v>7</v>
      </c>
      <c r="CG58" s="16">
        <f>IF(ISNA(VLOOKUP(A58,'Données projet'!$A$113:$I$133,4,0)),0,VLOOKUP(A58,'Données projet'!$A$113:$I$133,4,0))</f>
        <v>14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10.433653846153845</v>
      </c>
      <c r="N59" s="14">
        <f>IF('Données projet'!$A$36&gt;35,N58+M59-V58,IF(A59&lt;'Données projet'!$A$36,$K$205^A59,IF(A59='Données projet'!$A$36,'Données projet'!$B$36,N58+M59-V58)))</f>
        <v>311.76538461538473</v>
      </c>
      <c r="O59" s="14">
        <f>N59*VLOOKUP('Données projet'!$B$9,Paramètres!$A$1:$I$89,3,0)*VLOOKUP('Données projet'!$B$9,Paramètres!$A$1:$I$89,5,0)</f>
        <v>186.43570000000011</v>
      </c>
      <c r="P59" s="14">
        <f t="shared" si="33"/>
        <v>46.751070304344388</v>
      </c>
      <c r="Q59" s="22">
        <f t="shared" si="53"/>
        <v>406.13362494673333</v>
      </c>
      <c r="R59" s="62">
        <f t="shared" si="0"/>
        <v>699.46695828006659</v>
      </c>
      <c r="S59" s="62">
        <f ca="1">AVERAGE(OFFSET($R$3,0,0,'Données projet'!$E$9+1,1))-AVERAGE(OFFSET($H$3,0,0,'Données projet'!$E$9+1,1))</f>
        <v>257.80952690600492</v>
      </c>
      <c r="T59" s="62">
        <f t="shared" si="34"/>
        <v>269.95358755269427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1.9935033377021232</v>
      </c>
      <c r="AA59" s="23">
        <f>EXP(-LN(2)/25)*AA58+(1-EXP(-LN(2)/25))/(LN(2)/25)*Calculateur!V59*Calculateur!X59*VLOOKUP('Données projet'!$B$9,Paramètres!$A$1:$I$89,3,0)*0.475*44/12</f>
        <v>3.9459252974065846</v>
      </c>
      <c r="AB59" s="23">
        <f>EXP(-LN(2)/2)*AB58+(1-EXP(-LN(2)/2))/(LN(2)/2)*V59*Y59*VLOOKUP('Données projet'!$B$9,Paramètres!$A$1:$I$89,3,0)*0.475*44/12</f>
        <v>1.6095646174910439E-3</v>
      </c>
      <c r="AC59" s="24">
        <f t="shared" si="3"/>
        <v>5.941038199726199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10.8</v>
      </c>
      <c r="AI59" s="14">
        <f>IF('Données projet'!$A$62&gt;35,AI58+AH59-AQ58,IF(A59&lt;'Données projet'!$A$62,$AF$205^A59,IF(A59='Données projet'!$A$62,'Données projet'!$B$62,AI58+AH59-AQ58)))</f>
        <v>285.80000000000018</v>
      </c>
      <c r="AJ59" s="14">
        <f>AI59*VLOOKUP('Données projet'!$B$10,Paramètres!$A$1:$I$89,3,0)*VLOOKUP('Données projet'!$B$10,Paramètres!$A$1:$I$89,5,0)</f>
        <v>163.47760000000011</v>
      </c>
      <c r="AK59" s="14">
        <f t="shared" si="35"/>
        <v>41.625913502534537</v>
      </c>
      <c r="AL59" s="22">
        <f t="shared" si="4"/>
        <v>357.22195268358115</v>
      </c>
      <c r="AM59" s="62">
        <f t="shared" si="5"/>
        <v>650.55528601691447</v>
      </c>
      <c r="AN59" s="62">
        <f ca="1">AVERAGE(OFFSET($AM$3,0,0,'Données projet'!$E$10+1,1))-AVERAGE(OFFSET($H$3,0,0,'Données projet'!$E$10+1,1))</f>
        <v>258.09881752732008</v>
      </c>
      <c r="AO59" s="62">
        <f t="shared" si="36"/>
        <v>214.72899476643335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1.6770572222269463E-4</v>
      </c>
      <c r="AX59" s="23">
        <f t="shared" si="6"/>
        <v>1.6770572222269463E-4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5.6</v>
      </c>
      <c r="BD59" s="13">
        <f>IF('Données projet'!$A$88&gt;35,BD58+BC59-BL58,IF(A59&lt;'Données projet'!$A$88,$BA$205^A59,IF(A59='Données projet'!$A$88,'Données projet'!$B$88,BD58+BC59-BL58)))</f>
        <v>126.59999999999994</v>
      </c>
      <c r="BE59" s="14">
        <f>BD59*VLOOKUP('Données projet'!$B$11,Paramètres!$A$1:$I$89,3,0)*VLOOKUP('Données projet'!$B$11,Paramètres!$A$1:$I$89,5,0)</f>
        <v>122.44751999999994</v>
      </c>
      <c r="BF59" s="14">
        <f t="shared" si="37"/>
        <v>32.245170611031256</v>
      </c>
      <c r="BG59" s="22">
        <f t="shared" si="7"/>
        <v>269.42310281421265</v>
      </c>
      <c r="BH59" s="62">
        <f t="shared" si="8"/>
        <v>562.75643614754597</v>
      </c>
      <c r="BI59" s="62">
        <f ca="1">AVERAGE(OFFSET($BH$3,0,0,'Données projet'!$E$11+1,1))-AVERAGE(OFFSET($H$3,0,0,'Données projet'!$E$11+1,1))</f>
        <v>298.18906674058809</v>
      </c>
      <c r="BJ59" s="62">
        <f t="shared" si="38"/>
        <v>154.08406475869634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5.6</v>
      </c>
      <c r="BY59" s="13">
        <f>IF('Données projet'!$A$114&gt;35,BY58+BX59-CG58,IF(A59&lt;'Données projet'!$A$114,$BV$205^A59,IF(A59='Données projet'!$A$114,'Données projet'!$B$114,BY58+BX59-CG58)))</f>
        <v>126.59999999999994</v>
      </c>
      <c r="BZ59" s="14">
        <f>BY59*VLOOKUP('Données projet'!$B$12,Paramètres!$A$1:$I$89,3,0)*VLOOKUP('Données projet'!$B$12,Paramètres!$A$1:$I$89,5,0)</f>
        <v>84.923279999999963</v>
      </c>
      <c r="CA59" s="14">
        <f t="shared" si="39"/>
        <v>23.336735808953005</v>
      </c>
      <c r="CB59" s="22">
        <f t="shared" si="10"/>
        <v>188.55286086725974</v>
      </c>
      <c r="CC59" s="62">
        <f t="shared" si="11"/>
        <v>481.88619420059308</v>
      </c>
      <c r="CD59" s="62">
        <f ca="1">AVERAGE(OFFSET($CC$3,0,0,'Données projet'!$E$12+1,1))-AVERAGE(OFFSET($H$3,0,0,'Données projet'!$E$12+1,1))</f>
        <v>218.24409784339861</v>
      </c>
      <c r="CE59" s="62">
        <f t="shared" si="40"/>
        <v>118.89963447540509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10.433653846153845</v>
      </c>
      <c r="N60" s="14">
        <f>IF('Données projet'!$A$36&gt;35,N59+M60-V59,IF(A60&lt;'Données projet'!$A$36,$K$205^A60,IF(A60='Données projet'!$A$36,'Données projet'!$B$36,N59+M60-V59)))</f>
        <v>322.19903846153858</v>
      </c>
      <c r="O60" s="14">
        <f>N60*VLOOKUP('Données projet'!$B$9,Paramètres!$A$1:$I$89,3,0)*VLOOKUP('Données projet'!$B$9,Paramètres!$A$1:$I$89,5,0)</f>
        <v>192.67502500000009</v>
      </c>
      <c r="P60" s="14">
        <f t="shared" si="33"/>
        <v>48.130880815569782</v>
      </c>
      <c r="Q60" s="22">
        <f t="shared" si="53"/>
        <v>419.40361929545082</v>
      </c>
      <c r="R60" s="62">
        <f t="shared" si="0"/>
        <v>712.73695262878414</v>
      </c>
      <c r="S60" s="62">
        <f ca="1">AVERAGE(OFFSET($R$3,0,0,'Données projet'!$E$9+1,1))-AVERAGE(OFFSET($H$3,0,0,'Données projet'!$E$9+1,1))</f>
        <v>257.80952690600492</v>
      </c>
      <c r="T60" s="62">
        <f t="shared" si="34"/>
        <v>269.95358755269427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1.9544119531667588</v>
      </c>
      <c r="AA60" s="23">
        <f>EXP(-LN(2)/25)*AA59+(1-EXP(-LN(2)/25))/(LN(2)/25)*Calculateur!V60*Calculateur!X60*VLOOKUP('Données projet'!$B$9,Paramètres!$A$1:$I$89,3,0)*0.475*44/12</f>
        <v>3.8380237626418086</v>
      </c>
      <c r="AB60" s="23">
        <f>EXP(-LN(2)/2)*AB59+(1-EXP(-LN(2)/2))/(LN(2)/2)*V60*Y60*VLOOKUP('Données projet'!$B$9,Paramètres!$A$1:$I$89,3,0)*0.475*44/12</f>
        <v>1.1381340557858487E-3</v>
      </c>
      <c r="AC60" s="24">
        <f t="shared" si="3"/>
        <v>5.7935738498643534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10.8</v>
      </c>
      <c r="AI60" s="14">
        <f>IF('Données projet'!$A$62&gt;35,AI59+AH60-AQ59,IF(A60&lt;'Données projet'!$A$62,$AF$205^A60,IF(A60='Données projet'!$A$62,'Données projet'!$B$62,AI59+AH60-AQ59)))</f>
        <v>296.60000000000019</v>
      </c>
      <c r="AJ60" s="14">
        <f>AI60*VLOOKUP('Données projet'!$B$10,Paramètres!$A$1:$I$89,3,0)*VLOOKUP('Données projet'!$B$10,Paramètres!$A$1:$I$89,5,0)</f>
        <v>169.65520000000009</v>
      </c>
      <c r="AK60" s="14">
        <f t="shared" si="35"/>
        <v>43.012790732676081</v>
      </c>
      <c r="AL60" s="22">
        <f t="shared" si="4"/>
        <v>370.39675052607771</v>
      </c>
      <c r="AM60" s="62">
        <f t="shared" si="5"/>
        <v>663.73008385941102</v>
      </c>
      <c r="AN60" s="62">
        <f ca="1">AVERAGE(OFFSET($AM$3,0,0,'Données projet'!$E$10+1,1))-AVERAGE(OFFSET($H$3,0,0,'Données projet'!$E$10+1,1))</f>
        <v>258.09881752732008</v>
      </c>
      <c r="AO60" s="62">
        <f t="shared" si="36"/>
        <v>214.72899476643335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1.1858585342745486E-4</v>
      </c>
      <c r="AX60" s="23">
        <f t="shared" si="6"/>
        <v>1.1858585342745486E-4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5.6</v>
      </c>
      <c r="BD60" s="13">
        <f>IF('Données projet'!$A$88&gt;35,BD59+BC60-BL59,IF(A60&lt;'Données projet'!$A$88,$BA$205^A60,IF(A60='Données projet'!$A$88,'Données projet'!$B$88,BD59+BC60-BL59)))</f>
        <v>132.19999999999993</v>
      </c>
      <c r="BE60" s="14">
        <f>BD60*VLOOKUP('Données projet'!$B$11,Paramètres!$A$1:$I$89,3,0)*VLOOKUP('Données projet'!$B$11,Paramètres!$A$1:$I$89,5,0)</f>
        <v>127.86383999999994</v>
      </c>
      <c r="BF60" s="14">
        <f t="shared" si="37"/>
        <v>33.502280509335172</v>
      </c>
      <c r="BG60" s="22">
        <f t="shared" si="7"/>
        <v>281.04599322042526</v>
      </c>
      <c r="BH60" s="62">
        <f t="shared" si="8"/>
        <v>574.37932655375857</v>
      </c>
      <c r="BI60" s="62">
        <f ca="1">AVERAGE(OFFSET($BH$3,0,0,'Données projet'!$E$11+1,1))-AVERAGE(OFFSET($H$3,0,0,'Données projet'!$E$11+1,1))</f>
        <v>298.18906674058809</v>
      </c>
      <c r="BJ60" s="62">
        <f t="shared" si="38"/>
        <v>154.08406475869634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5.6</v>
      </c>
      <c r="BY60" s="13">
        <f>IF('Données projet'!$A$114&gt;35,BY59+BX60-CG59,IF(A60&lt;'Données projet'!$A$114,$BV$205^A60,IF(A60='Données projet'!$A$114,'Données projet'!$B$114,BY59+BX60-CG59)))</f>
        <v>132.19999999999993</v>
      </c>
      <c r="BZ60" s="14">
        <f>BY60*VLOOKUP('Données projet'!$B$12,Paramètres!$A$1:$I$89,3,0)*VLOOKUP('Données projet'!$B$12,Paramètres!$A$1:$I$89,5,0)</f>
        <v>88.679759999999959</v>
      </c>
      <c r="CA60" s="14">
        <f t="shared" si="39"/>
        <v>24.246541557336982</v>
      </c>
      <c r="CB60" s="22">
        <f t="shared" si="10"/>
        <v>196.67997521236182</v>
      </c>
      <c r="CC60" s="62">
        <f t="shared" si="11"/>
        <v>490.01330854569517</v>
      </c>
      <c r="CD60" s="62">
        <f ca="1">AVERAGE(OFFSET($CC$3,0,0,'Données projet'!$E$12+1,1))-AVERAGE(OFFSET($H$3,0,0,'Données projet'!$E$12+1,1))</f>
        <v>218.24409784339861</v>
      </c>
      <c r="CE60" s="62">
        <f t="shared" si="40"/>
        <v>118.89963447540509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10.433653846153845</v>
      </c>
      <c r="N61" s="14">
        <f>IF('Données projet'!$A$36&gt;35,N60+M61-V60,IF(A61&lt;'Données projet'!$A$36,$K$205^A61,IF(A61='Données projet'!$A$36,'Données projet'!$B$36,N60+M61-V60)))</f>
        <v>332.63269230769242</v>
      </c>
      <c r="O61" s="14">
        <f>N61*VLOOKUP('Données projet'!$B$9,Paramètres!$A$1:$I$89,3,0)*VLOOKUP('Données projet'!$B$9,Paramètres!$A$1:$I$89,5,0)</f>
        <v>198.9143500000001</v>
      </c>
      <c r="P61" s="14">
        <f t="shared" si="33"/>
        <v>49.50549918474259</v>
      </c>
      <c r="Q61" s="22">
        <f t="shared" si="53"/>
        <v>432.6645706634269</v>
      </c>
      <c r="R61" s="62">
        <f t="shared" si="0"/>
        <v>725.99790399676021</v>
      </c>
      <c r="S61" s="62">
        <f ca="1">AVERAGE(OFFSET($R$3,0,0,'Données projet'!$E$9+1,1))-AVERAGE(OFFSET($H$3,0,0,'Données projet'!$E$9+1,1))</f>
        <v>257.80952690600492</v>
      </c>
      <c r="T61" s="62">
        <f t="shared" si="34"/>
        <v>269.95358755269427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1.9160871268387425</v>
      </c>
      <c r="AA61" s="23">
        <f>EXP(-LN(2)/25)*AA60+(1-EXP(-LN(2)/25))/(LN(2)/25)*Calculateur!V61*Calculateur!X61*VLOOKUP('Données projet'!$B$9,Paramètres!$A$1:$I$89,3,0)*0.475*44/12</f>
        <v>3.7330728010194707</v>
      </c>
      <c r="AB61" s="23">
        <f>EXP(-LN(2)/2)*AB60+(1-EXP(-LN(2)/2))/(LN(2)/2)*V61*Y61*VLOOKUP('Données projet'!$B$9,Paramètres!$A$1:$I$89,3,0)*0.475*44/12</f>
        <v>8.0478230874552197E-4</v>
      </c>
      <c r="AC61" s="24">
        <f t="shared" si="3"/>
        <v>5.6499647101669588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10.8</v>
      </c>
      <c r="AI61" s="14">
        <f>IF('Données projet'!$A$62&gt;35,AI60+AH61-AQ60,IF(A61&lt;'Données projet'!$A$62,$AF$205^A61,IF(A61='Données projet'!$A$62,'Données projet'!$B$62,AI60+AH61-AQ60)))</f>
        <v>307.4000000000002</v>
      </c>
      <c r="AJ61" s="14">
        <f>AI61*VLOOKUP('Données projet'!$B$10,Paramètres!$A$1:$I$89,3,0)*VLOOKUP('Données projet'!$B$10,Paramètres!$A$1:$I$89,5,0)</f>
        <v>175.83280000000011</v>
      </c>
      <c r="AK61" s="14">
        <f t="shared" si="35"/>
        <v>44.393800843059971</v>
      </c>
      <c r="AL61" s="22">
        <f t="shared" si="4"/>
        <v>383.56132980166291</v>
      </c>
      <c r="AM61" s="62">
        <f t="shared" si="5"/>
        <v>676.89466313499622</v>
      </c>
      <c r="AN61" s="62">
        <f ca="1">AVERAGE(OFFSET($AM$3,0,0,'Données projet'!$E$10+1,1))-AVERAGE(OFFSET($H$3,0,0,'Données projet'!$E$10+1,1))</f>
        <v>258.09881752732008</v>
      </c>
      <c r="AO61" s="62">
        <f t="shared" si="36"/>
        <v>214.72899476643335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8.3852861111347331E-5</v>
      </c>
      <c r="AX61" s="23">
        <f t="shared" si="6"/>
        <v>8.3852861111347331E-5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5.6</v>
      </c>
      <c r="BD61" s="13">
        <f>IF('Données projet'!$A$88&gt;35,BD60+BC61-BL60,IF(A61&lt;'Données projet'!$A$88,$BA$205^A61,IF(A61='Données projet'!$A$88,'Données projet'!$B$88,BD60+BC61-BL60)))</f>
        <v>137.79999999999993</v>
      </c>
      <c r="BE61" s="14">
        <f>BD61*VLOOKUP('Données projet'!$B$11,Paramètres!$A$1:$I$89,3,0)*VLOOKUP('Données projet'!$B$11,Paramètres!$A$1:$I$89,5,0)</f>
        <v>133.28015999999994</v>
      </c>
      <c r="BF61" s="14">
        <f t="shared" si="37"/>
        <v>34.753205264839991</v>
      </c>
      <c r="BG61" s="22">
        <f t="shared" si="7"/>
        <v>292.65811116959617</v>
      </c>
      <c r="BH61" s="62">
        <f t="shared" si="8"/>
        <v>585.99144450292943</v>
      </c>
      <c r="BI61" s="62">
        <f ca="1">AVERAGE(OFFSET($BH$3,0,0,'Données projet'!$E$11+1,1))-AVERAGE(OFFSET($H$3,0,0,'Données projet'!$E$11+1,1))</f>
        <v>298.18906674058809</v>
      </c>
      <c r="BJ61" s="62">
        <f t="shared" si="38"/>
        <v>154.08406475869634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5.6</v>
      </c>
      <c r="BY61" s="13">
        <f>IF('Données projet'!$A$114&gt;35,BY60+BX61-CG60,IF(A61&lt;'Données projet'!$A$114,$BV$205^A61,IF(A61='Données projet'!$A$114,'Données projet'!$B$114,BY60+BX61-CG60)))</f>
        <v>137.79999999999993</v>
      </c>
      <c r="BZ61" s="14">
        <f>BY61*VLOOKUP('Données projet'!$B$12,Paramètres!$A$1:$I$89,3,0)*VLOOKUP('Données projet'!$B$12,Paramètres!$A$1:$I$89,5,0)</f>
        <v>92.436239999999955</v>
      </c>
      <c r="CA61" s="14">
        <f t="shared" si="39"/>
        <v>25.15187094412299</v>
      </c>
      <c r="CB61" s="22">
        <f t="shared" si="10"/>
        <v>204.79929322768081</v>
      </c>
      <c r="CC61" s="62">
        <f t="shared" si="11"/>
        <v>498.13262656101415</v>
      </c>
      <c r="CD61" s="62">
        <f ca="1">AVERAGE(OFFSET($CC$3,0,0,'Données projet'!$E$12+1,1))-AVERAGE(OFFSET($H$3,0,0,'Données projet'!$E$12+1,1))</f>
        <v>218.24409784339861</v>
      </c>
      <c r="CE61" s="62">
        <f t="shared" si="40"/>
        <v>118.89963447540509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10.433653846153845</v>
      </c>
      <c r="N62" s="14">
        <f>IF('Données projet'!$A$36&gt;35,N61+M62-V61,IF(A62&lt;'Données projet'!$A$36,$K$205^A62,IF(A62='Données projet'!$A$36,'Données projet'!$B$36,N61+M62-V61)))</f>
        <v>343.06634615384627</v>
      </c>
      <c r="O62" s="14">
        <f>N62*VLOOKUP('Données projet'!$B$9,Paramètres!$A$1:$I$89,3,0)*VLOOKUP('Données projet'!$B$9,Paramètres!$A$1:$I$89,5,0)</f>
        <v>205.15367500000011</v>
      </c>
      <c r="P62" s="14">
        <f t="shared" si="33"/>
        <v>50.875106959180421</v>
      </c>
      <c r="Q62" s="22">
        <f t="shared" si="53"/>
        <v>445.91679524557276</v>
      </c>
      <c r="R62" s="62">
        <f t="shared" si="0"/>
        <v>739.25012857890601</v>
      </c>
      <c r="S62" s="62">
        <f ca="1">AVERAGE(OFFSET($R$3,0,0,'Données projet'!$E$9+1,1))-AVERAGE(OFFSET($H$3,0,0,'Données projet'!$E$9+1,1))</f>
        <v>257.80952690600492</v>
      </c>
      <c r="T62" s="62">
        <f t="shared" si="34"/>
        <v>269.95358755269427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1.8785138269791828</v>
      </c>
      <c r="AA62" s="23">
        <f>EXP(-LN(2)/25)*AA61+(1-EXP(-LN(2)/25))/(LN(2)/25)*Calculateur!V62*Calculateur!X62*VLOOKUP('Données projet'!$B$9,Paramètres!$A$1:$I$89,3,0)*0.475*44/12</f>
        <v>3.6309917289618268</v>
      </c>
      <c r="AB62" s="23">
        <f>EXP(-LN(2)/2)*AB61+(1-EXP(-LN(2)/2))/(LN(2)/2)*V62*Y62*VLOOKUP('Données projet'!$B$9,Paramètres!$A$1:$I$89,3,0)*0.475*44/12</f>
        <v>5.6906702789292433E-4</v>
      </c>
      <c r="AC62" s="24">
        <f t="shared" si="3"/>
        <v>5.5100746229689026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10.8</v>
      </c>
      <c r="AI62" s="14">
        <f>IF('Données projet'!$A$62&gt;35,AI61+AH62-AQ61,IF(A62&lt;'Données projet'!$A$62,$AF$205^A62,IF(A62='Données projet'!$A$62,'Données projet'!$B$62,AI61+AH62-AQ61)))</f>
        <v>318.20000000000022</v>
      </c>
      <c r="AJ62" s="14">
        <f>AI62*VLOOKUP('Données projet'!$B$10,Paramètres!$A$1:$I$89,3,0)*VLOOKUP('Données projet'!$B$10,Paramètres!$A$1:$I$89,5,0)</f>
        <v>182.01040000000012</v>
      </c>
      <c r="AK62" s="14">
        <f t="shared" si="35"/>
        <v>45.769173585325895</v>
      </c>
      <c r="AL62" s="22">
        <f t="shared" si="4"/>
        <v>396.71609066110949</v>
      </c>
      <c r="AM62" s="62">
        <f t="shared" si="5"/>
        <v>690.0494239944428</v>
      </c>
      <c r="AN62" s="62">
        <f ca="1">AVERAGE(OFFSET($AM$3,0,0,'Données projet'!$E$10+1,1))-AVERAGE(OFFSET($H$3,0,0,'Données projet'!$E$10+1,1))</f>
        <v>258.09881752732008</v>
      </c>
      <c r="AO62" s="62">
        <f t="shared" si="36"/>
        <v>214.72899476643335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5.9292926713727445E-5</v>
      </c>
      <c r="AX62" s="23">
        <f t="shared" si="6"/>
        <v>5.9292926713727445E-5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5.6</v>
      </c>
      <c r="BD62" s="13">
        <f>IF('Données projet'!$A$88&gt;35,BD61+BC62-BL61,IF(A62&lt;'Données projet'!$A$88,$BA$205^A62,IF(A62='Données projet'!$A$88,'Données projet'!$B$88,BD61+BC62-BL61)))</f>
        <v>143.39999999999992</v>
      </c>
      <c r="BE62" s="14">
        <f>BD62*VLOOKUP('Données projet'!$B$11,Paramètres!$A$1:$I$89,3,0)*VLOOKUP('Données projet'!$B$11,Paramètres!$A$1:$I$89,5,0)</f>
        <v>138.69647999999992</v>
      </c>
      <c r="BF62" s="14">
        <f t="shared" si="37"/>
        <v>35.998224985436444</v>
      </c>
      <c r="BG62" s="22">
        <f t="shared" si="7"/>
        <v>304.25994451630169</v>
      </c>
      <c r="BH62" s="62">
        <f t="shared" si="8"/>
        <v>597.593277849635</v>
      </c>
      <c r="BI62" s="62">
        <f ca="1">AVERAGE(OFFSET($BH$3,0,0,'Données projet'!$E$11+1,1))-AVERAGE(OFFSET($H$3,0,0,'Données projet'!$E$11+1,1))</f>
        <v>298.18906674058809</v>
      </c>
      <c r="BJ62" s="62">
        <f t="shared" si="38"/>
        <v>154.08406475869634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5.6</v>
      </c>
      <c r="BY62" s="13">
        <f>IF('Données projet'!$A$114&gt;35,BY61+BX62-CG61,IF(A62&lt;'Données projet'!$A$114,$BV$205^A62,IF(A62='Données projet'!$A$114,'Données projet'!$B$114,BY61+BX62-CG61)))</f>
        <v>143.39999999999992</v>
      </c>
      <c r="BZ62" s="14">
        <f>BY62*VLOOKUP('Données projet'!$B$12,Paramètres!$A$1:$I$89,3,0)*VLOOKUP('Données projet'!$B$12,Paramètres!$A$1:$I$89,5,0)</f>
        <v>96.192719999999952</v>
      </c>
      <c r="CA62" s="14">
        <f t="shared" si="39"/>
        <v>26.05292669126036</v>
      </c>
      <c r="CB62" s="22">
        <f t="shared" si="10"/>
        <v>212.91116798727833</v>
      </c>
      <c r="CC62" s="62">
        <f t="shared" si="11"/>
        <v>506.24450132061168</v>
      </c>
      <c r="CD62" s="62">
        <f ca="1">AVERAGE(OFFSET($CC$3,0,0,'Données projet'!$E$12+1,1))-AVERAGE(OFFSET($H$3,0,0,'Données projet'!$E$12+1,1))</f>
        <v>218.24409784339861</v>
      </c>
      <c r="CE62" s="62">
        <f t="shared" si="40"/>
        <v>118.89963447540509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353.5</v>
      </c>
      <c r="L63" s="13">
        <f>VLOOKUP(A63,'Données projet'!$A$35:$I$55,9,0)</f>
        <v>10.433653846153845</v>
      </c>
      <c r="M63" s="13">
        <f t="array" ref="M63">INDEX(L:L,MIN(IF(ISNUMBER(L63:L259),ROW(L63:L259),"")))</f>
        <v>10.433653846153845</v>
      </c>
      <c r="N63" s="14">
        <f>IF('Données projet'!$A$36&gt;35,N62+M63-V62,IF(A63&lt;'Données projet'!$A$36,$K$205^A63,IF(A63='Données projet'!$A$36,'Données projet'!$B$36,N62+M63-V62)))</f>
        <v>353.50000000000011</v>
      </c>
      <c r="O63" s="14">
        <f>N63*VLOOKUP('Données projet'!$B$9,Paramètres!$A$1:$I$89,3,0)*VLOOKUP('Données projet'!$B$9,Paramètres!$A$1:$I$89,5,0)</f>
        <v>211.39300000000009</v>
      </c>
      <c r="P63" s="14">
        <f t="shared" si="33"/>
        <v>52.239874015944089</v>
      </c>
      <c r="Q63" s="22">
        <f t="shared" si="53"/>
        <v>459.16058891110282</v>
      </c>
      <c r="R63" s="62">
        <f t="shared" si="0"/>
        <v>752.49392224443613</v>
      </c>
      <c r="S63" s="62">
        <f ca="1">AVERAGE(OFFSET($R$3,0,0,'Données projet'!$E$9+1,1))-AVERAGE(OFFSET($H$3,0,0,'Données projet'!$E$9+1,1))</f>
        <v>257.80952690600492</v>
      </c>
      <c r="T63" s="62">
        <f t="shared" si="34"/>
        <v>269.95358755269427</v>
      </c>
      <c r="U63" s="16">
        <f>IF(ISNA(VLOOKUP(A63,'Données projet'!$A$35:$I$55,3,0)),0,VLOOKUP(A63,'Données projet'!$A$35:$I$55,3,0))</f>
        <v>7</v>
      </c>
      <c r="V63" s="16">
        <f>IF(ISNA(VLOOKUP(A63,'Données projet'!$A$35:$I$55,4,0)),0,VLOOKUP(A63,'Données projet'!$A$35:$I$55,4,0))</f>
        <v>353.5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1.841677316612419</v>
      </c>
      <c r="AA63" s="23">
        <f>EXP(-LN(2)/25)*AA62+(1-EXP(-LN(2)/25))/(LN(2)/25)*Calculateur!V63*Calculateur!X63*VLOOKUP('Données projet'!$B$9,Paramètres!$A$1:$I$89,3,0)*0.475*44/12</f>
        <v>3.5317020691878094</v>
      </c>
      <c r="AB63" s="23">
        <f>EXP(-LN(2)/2)*AB62+(1-EXP(-LN(2)/2))/(LN(2)/2)*V63*Y63*VLOOKUP('Données projet'!$B$9,Paramètres!$A$1:$I$89,3,0)*0.475*44/12</f>
        <v>4.0239115437276098E-4</v>
      </c>
      <c r="AC63" s="24">
        <f t="shared" si="3"/>
        <v>5.3737817769546012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329</v>
      </c>
      <c r="AG63" s="13">
        <f>VLOOKUP(A63,'Données projet'!$A$61:$I$81,9,0)</f>
        <v>10.8</v>
      </c>
      <c r="AH63" s="13">
        <f t="array" ref="AH63">INDEX(AG:AG,MIN(IF(ISNUMBER(AG63:AG259),ROW(AG63:AG259),"")))</f>
        <v>10.8</v>
      </c>
      <c r="AI63" s="14">
        <f>IF('Données projet'!$A$62&gt;35,AI62+AH63-AQ62,IF(A63&lt;'Données projet'!$A$62,$AF$205^A63,IF(A63='Données projet'!$A$62,'Données projet'!$B$62,AI62+AH63-AQ62)))</f>
        <v>329.00000000000023</v>
      </c>
      <c r="AJ63" s="14">
        <f>AI63*VLOOKUP('Données projet'!$B$10,Paramètres!$A$1:$I$89,3,0)*VLOOKUP('Données projet'!$B$10,Paramètres!$A$1:$I$89,5,0)</f>
        <v>188.18800000000013</v>
      </c>
      <c r="AK63" s="14">
        <f t="shared" si="35"/>
        <v>47.139122230395323</v>
      </c>
      <c r="AL63" s="22">
        <f t="shared" si="4"/>
        <v>409.86140455127207</v>
      </c>
      <c r="AM63" s="62">
        <f t="shared" si="5"/>
        <v>703.19473788460539</v>
      </c>
      <c r="AN63" s="62">
        <f ca="1">AVERAGE(OFFSET($AM$3,0,0,'Données projet'!$E$10+1,1))-AVERAGE(OFFSET($H$3,0,0,'Données projet'!$E$10+1,1))</f>
        <v>258.09881752732008</v>
      </c>
      <c r="AO63" s="62">
        <f t="shared" si="36"/>
        <v>214.72899476643335</v>
      </c>
      <c r="AP63" s="16">
        <f>IF(ISNA(VLOOKUP(A63,'Données projet'!$A$61:$I$81,3,0)),0,VLOOKUP(A63,'Données projet'!$A$61:$I$81,3,0))</f>
        <v>6</v>
      </c>
      <c r="AQ63" s="16">
        <f>IF(ISNA(VLOOKUP(A63,'Données projet'!$A$61:$I$81,4,0)),0,VLOOKUP(A63,'Données projet'!$A$61:$I$81,4,0))</f>
        <v>60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4.1926430555673672E-5</v>
      </c>
      <c r="AX63" s="23">
        <f t="shared" si="6"/>
        <v>4.1926430555673672E-5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149</v>
      </c>
      <c r="BB63" s="13">
        <f>VLOOKUP(A63,'Données projet'!$A$87:$I$107,9,0)</f>
        <v>5.6</v>
      </c>
      <c r="BC63" s="13">
        <f t="array" ref="BC63">INDEX(BB:BB,MIN(IF(ISNUMBER(BB63:BB259),ROW(BB63:BB259),"")))</f>
        <v>5.6</v>
      </c>
      <c r="BD63" s="13">
        <f>IF('Données projet'!$A$88&gt;35,BD62+BC63-BL62,IF(A63&lt;'Données projet'!$A$88,$BA$205^A63,IF(A63='Données projet'!$A$88,'Données projet'!$B$88,BD62+BC63-BL62)))</f>
        <v>148.99999999999991</v>
      </c>
      <c r="BE63" s="14">
        <f>BD63*VLOOKUP('Données projet'!$B$11,Paramètres!$A$1:$I$89,3,0)*VLOOKUP('Données projet'!$B$11,Paramètres!$A$1:$I$89,5,0)</f>
        <v>144.11279999999994</v>
      </c>
      <c r="BF63" s="14">
        <f t="shared" si="37"/>
        <v>37.237596662992466</v>
      </c>
      <c r="BG63" s="22">
        <f t="shared" si="7"/>
        <v>315.85194085471181</v>
      </c>
      <c r="BH63" s="62">
        <f t="shared" si="8"/>
        <v>609.18527418804513</v>
      </c>
      <c r="BI63" s="62">
        <f ca="1">AVERAGE(OFFSET($BH$3,0,0,'Données projet'!$E$11+1,1))-AVERAGE(OFFSET($H$3,0,0,'Données projet'!$E$11+1,1))</f>
        <v>298.18906674058809</v>
      </c>
      <c r="BJ63" s="62">
        <f t="shared" si="38"/>
        <v>154.08406475869634</v>
      </c>
      <c r="BK63" s="16">
        <f>IF(ISNA(VLOOKUP(A63,'Données projet'!$A$87:$I$107,3,0)),0,VLOOKUP(A63,'Données projet'!$A$87:$I$107,3,0))</f>
        <v>8</v>
      </c>
      <c r="BL63" s="16">
        <f>IF(ISNA(VLOOKUP(A63,'Données projet'!$A$87:$I$107,4,0)),0,VLOOKUP(A63,'Données projet'!$A$87:$I$107,4,0))</f>
        <v>14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149</v>
      </c>
      <c r="BW63" s="13">
        <f>VLOOKUP(A63,'Données projet'!$A$113:$I$133,9,0)</f>
        <v>5.6</v>
      </c>
      <c r="BX63" s="13">
        <f t="array" ref="BX63">INDEX(BW:BW,MIN(IF(ISNUMBER(BW63:BW259),ROW(BW63:BW259),"")))</f>
        <v>5.6</v>
      </c>
      <c r="BY63" s="13">
        <f>IF('Données projet'!$A$114&gt;35,BY62+BX63-CG62,IF(A63&lt;'Données projet'!$A$114,$BV$205^A63,IF(A63='Données projet'!$A$114,'Données projet'!$B$114,BY62+BX63-CG62)))</f>
        <v>148.99999999999991</v>
      </c>
      <c r="BZ63" s="14">
        <f>BY63*VLOOKUP('Données projet'!$B$12,Paramètres!$A$1:$I$89,3,0)*VLOOKUP('Données projet'!$B$12,Paramètres!$A$1:$I$89,5,0)</f>
        <v>99.949199999999948</v>
      </c>
      <c r="CA63" s="14">
        <f t="shared" si="39"/>
        <v>26.949894790983482</v>
      </c>
      <c r="CB63" s="22">
        <f t="shared" si="10"/>
        <v>221.01592342762945</v>
      </c>
      <c r="CC63" s="62">
        <f t="shared" si="11"/>
        <v>514.34925676096282</v>
      </c>
      <c r="CD63" s="62">
        <f ca="1">AVERAGE(OFFSET($CC$3,0,0,'Données projet'!$E$12+1,1))-AVERAGE(OFFSET($H$3,0,0,'Données projet'!$E$12+1,1))</f>
        <v>218.24409784339861</v>
      </c>
      <c r="CE63" s="62">
        <f t="shared" si="40"/>
        <v>118.89963447540509</v>
      </c>
      <c r="CF63" s="16">
        <f>IF(ISNA(VLOOKUP(A63,'Données projet'!$A$113:$I$133,3,0)),0,VLOOKUP(A63,'Données projet'!$A$113:$I$133,3,0))</f>
        <v>8</v>
      </c>
      <c r="CG63" s="16">
        <f>IF(ISNA(VLOOKUP(A63,'Données projet'!$A$113:$I$133,4,0)),0,VLOOKUP(A63,'Données projet'!$A$113:$I$133,4,0))</f>
        <v>14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293.3333333333353</v>
      </c>
      <c r="S64" s="62">
        <f ca="1">AVERAGE(OFFSET($R$3,0,0,'Données projet'!$E$9+1,1))-AVERAGE(OFFSET($H$3,0,0,'Données projet'!$E$9+1,1))</f>
        <v>257.80952690600492</v>
      </c>
      <c r="T64" s="62">
        <f t="shared" si="34"/>
        <v>269.95358755269427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1.8055631477458947</v>
      </c>
      <c r="AA64" s="23">
        <f>EXP(-LN(2)/25)*AA63+(1-EXP(-LN(2)/25))/(LN(2)/25)*Calculateur!V64*Calculateur!X64*VLOOKUP('Données projet'!$B$9,Paramètres!$A$1:$I$89,3,0)*0.475*44/12</f>
        <v>3.4351274903817286</v>
      </c>
      <c r="AB64" s="23">
        <f>EXP(-LN(2)/2)*AB63+(1-EXP(-LN(2)/2))/(LN(2)/2)*V64*Y64*VLOOKUP('Données projet'!$B$9,Paramètres!$A$1:$I$89,3,0)*0.475*44/12</f>
        <v>2.8453351394646217E-4</v>
      </c>
      <c r="AC64" s="24">
        <f t="shared" si="3"/>
        <v>5.24097517164157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9.5</v>
      </c>
      <c r="AI64" s="14">
        <f>IF('Données projet'!$A$62&gt;35,AI63+AH64-AQ63,IF(A64&lt;'Données projet'!$A$62,$AF$205^A64,IF(A64='Données projet'!$A$62,'Données projet'!$B$62,AI63+AH64-AQ63)))</f>
        <v>278.50000000000023</v>
      </c>
      <c r="AJ64" s="14">
        <f>AI64*VLOOKUP('Données projet'!$B$10,Paramètres!$A$1:$I$89,3,0)*VLOOKUP('Données projet'!$B$10,Paramètres!$A$1:$I$89,5,0)</f>
        <v>159.30200000000013</v>
      </c>
      <c r="AK64" s="14">
        <f t="shared" si="35"/>
        <v>40.685039520733888</v>
      </c>
      <c r="AL64" s="22">
        <f t="shared" si="4"/>
        <v>348.31076049861173</v>
      </c>
      <c r="AM64" s="62">
        <f t="shared" si="5"/>
        <v>641.64409383194504</v>
      </c>
      <c r="AN64" s="62">
        <f ca="1">AVERAGE(OFFSET($AM$3,0,0,'Données projet'!$E$10+1,1))-AVERAGE(OFFSET($H$3,0,0,'Données projet'!$E$10+1,1))</f>
        <v>258.09881752732008</v>
      </c>
      <c r="AO64" s="62">
        <f t="shared" si="36"/>
        <v>214.72899476643335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2.9646463356863726E-5</v>
      </c>
      <c r="AX64" s="23">
        <f t="shared" si="6"/>
        <v>2.9646463356863726E-5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5.2</v>
      </c>
      <c r="BD64" s="13">
        <f>IF('Données projet'!$A$88&gt;35,BD63+BC64-BL63,IF(A64&lt;'Données projet'!$A$88,$BA$205^A64,IF(A64='Données projet'!$A$88,'Données projet'!$B$88,BD63+BC64-BL63)))</f>
        <v>140.1999999999999</v>
      </c>
      <c r="BE64" s="14">
        <f>BD64*VLOOKUP('Données projet'!$B$11,Paramètres!$A$1:$I$89,3,0)*VLOOKUP('Données projet'!$B$11,Paramètres!$A$1:$I$89,5,0)</f>
        <v>135.60143999999991</v>
      </c>
      <c r="BF64" s="14">
        <f t="shared" si="37"/>
        <v>35.287492728332552</v>
      </c>
      <c r="BG64" s="22">
        <f t="shared" si="7"/>
        <v>297.63155783517902</v>
      </c>
      <c r="BH64" s="62">
        <f t="shared" si="8"/>
        <v>590.96489116851239</v>
      </c>
      <c r="BI64" s="62">
        <f ca="1">AVERAGE(OFFSET($BH$3,0,0,'Données projet'!$E$11+1,1))-AVERAGE(OFFSET($H$3,0,0,'Données projet'!$E$11+1,1))</f>
        <v>298.18906674058809</v>
      </c>
      <c r="BJ64" s="62">
        <f t="shared" si="38"/>
        <v>154.08406475869634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5.2</v>
      </c>
      <c r="BY64" s="13">
        <f>IF('Données projet'!$A$114&gt;35,BY63+BX64-CG63,IF(A64&lt;'Données projet'!$A$114,$BV$205^A64,IF(A64='Données projet'!$A$114,'Données projet'!$B$114,BY63+BX64-CG63)))</f>
        <v>140.1999999999999</v>
      </c>
      <c r="BZ64" s="14">
        <f>BY64*VLOOKUP('Données projet'!$B$12,Paramètres!$A$1:$I$89,3,0)*VLOOKUP('Données projet'!$B$12,Paramètres!$A$1:$I$89,5,0)</f>
        <v>94.046159999999944</v>
      </c>
      <c r="CA64" s="14">
        <f t="shared" si="39"/>
        <v>25.538549790762293</v>
      </c>
      <c r="CB64" s="22">
        <f t="shared" si="10"/>
        <v>208.27670288557758</v>
      </c>
      <c r="CC64" s="62">
        <f t="shared" si="11"/>
        <v>501.61003621891086</v>
      </c>
      <c r="CD64" s="62">
        <f ca="1">AVERAGE(OFFSET($CC$3,0,0,'Données projet'!$E$12+1,1))-AVERAGE(OFFSET($H$3,0,0,'Données projet'!$E$12+1,1))</f>
        <v>218.24409784339861</v>
      </c>
      <c r="CE64" s="62">
        <f t="shared" si="40"/>
        <v>118.89963447540509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293.3333333333353</v>
      </c>
      <c r="S65" s="62">
        <f ca="1">AVERAGE(OFFSET($R$3,0,0,'Données projet'!$E$9+1,1))-AVERAGE(OFFSET($H$3,0,0,'Données projet'!$E$9+1,1))</f>
        <v>257.80952690600492</v>
      </c>
      <c r="T65" s="62">
        <f t="shared" si="34"/>
        <v>269.95358755269427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1.7701571557033748</v>
      </c>
      <c r="AA65" s="23">
        <f>EXP(-LN(2)/25)*AA64+(1-EXP(-LN(2)/25))/(LN(2)/25)*Calculateur!V65*Calculateur!X65*VLOOKUP('Données projet'!$B$9,Paramètres!$A$1:$I$89,3,0)*0.475*44/12</f>
        <v>3.3411937485117367</v>
      </c>
      <c r="AB65" s="23">
        <f>EXP(-LN(2)/2)*AB64+(1-EXP(-LN(2)/2))/(LN(2)/2)*V65*Y65*VLOOKUP('Données projet'!$B$9,Paramètres!$A$1:$I$89,3,0)*0.475*44/12</f>
        <v>2.0119557718638049E-4</v>
      </c>
      <c r="AC65" s="24">
        <f t="shared" si="3"/>
        <v>5.1115520997922976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9.5</v>
      </c>
      <c r="AI65" s="14">
        <f>IF('Données projet'!$A$62&gt;35,AI64+AH65-AQ64,IF(A65&lt;'Données projet'!$A$62,$AF$205^A65,IF(A65='Données projet'!$A$62,'Données projet'!$B$62,AI64+AH65-AQ64)))</f>
        <v>288.00000000000023</v>
      </c>
      <c r="AJ65" s="14">
        <f>AI65*VLOOKUP('Données projet'!$B$10,Paramètres!$A$1:$I$89,3,0)*VLOOKUP('Données projet'!$B$10,Paramètres!$A$1:$I$89,5,0)</f>
        <v>164.73600000000013</v>
      </c>
      <c r="AK65" s="14">
        <f t="shared" si="35"/>
        <v>41.908913144700364</v>
      </c>
      <c r="AL65" s="22">
        <f t="shared" si="4"/>
        <v>359.90655706035335</v>
      </c>
      <c r="AM65" s="62">
        <f t="shared" si="5"/>
        <v>653.23989039368666</v>
      </c>
      <c r="AN65" s="62">
        <f ca="1">AVERAGE(OFFSET($AM$3,0,0,'Données projet'!$E$10+1,1))-AVERAGE(OFFSET($H$3,0,0,'Données projet'!$E$10+1,1))</f>
        <v>258.09881752732008</v>
      </c>
      <c r="AO65" s="62">
        <f t="shared" si="36"/>
        <v>214.72899476643335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2.0963215277836839E-5</v>
      </c>
      <c r="AX65" s="23">
        <f t="shared" si="6"/>
        <v>2.0963215277836839E-5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5.2</v>
      </c>
      <c r="BD65" s="13">
        <f>IF('Données projet'!$A$88&gt;35,BD64+BC65-BL64,IF(A65&lt;'Données projet'!$A$88,$BA$205^A65,IF(A65='Données projet'!$A$88,'Données projet'!$B$88,BD64+BC65-BL64)))</f>
        <v>145.39999999999989</v>
      </c>
      <c r="BE65" s="14">
        <f>BD65*VLOOKUP('Données projet'!$B$11,Paramètres!$A$1:$I$89,3,0)*VLOOKUP('Données projet'!$B$11,Paramètres!$A$1:$I$89,5,0)</f>
        <v>140.63087999999991</v>
      </c>
      <c r="BF65" s="14">
        <f t="shared" si="37"/>
        <v>36.44149340314641</v>
      </c>
      <c r="BG65" s="22">
        <f t="shared" si="7"/>
        <v>308.40105034381315</v>
      </c>
      <c r="BH65" s="62">
        <f t="shared" si="8"/>
        <v>601.73438367714652</v>
      </c>
      <c r="BI65" s="62">
        <f ca="1">AVERAGE(OFFSET($BH$3,0,0,'Données projet'!$E$11+1,1))-AVERAGE(OFFSET($H$3,0,0,'Données projet'!$E$11+1,1))</f>
        <v>298.18906674058809</v>
      </c>
      <c r="BJ65" s="62">
        <f t="shared" si="38"/>
        <v>154.08406475869634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5.2</v>
      </c>
      <c r="BY65" s="13">
        <f>IF('Données projet'!$A$114&gt;35,BY64+BX65-CG64,IF(A65&lt;'Données projet'!$A$114,$BV$205^A65,IF(A65='Données projet'!$A$114,'Données projet'!$B$114,BY64+BX65-CG64)))</f>
        <v>145.39999999999989</v>
      </c>
      <c r="BZ65" s="14">
        <f>BY65*VLOOKUP('Données projet'!$B$12,Paramètres!$A$1:$I$89,3,0)*VLOOKUP('Données projet'!$B$12,Paramètres!$A$1:$I$89,5,0)</f>
        <v>97.534319999999937</v>
      </c>
      <c r="CA65" s="14">
        <f t="shared" si="39"/>
        <v>26.373732497541688</v>
      </c>
      <c r="CB65" s="22">
        <f t="shared" si="10"/>
        <v>215.80652476655166</v>
      </c>
      <c r="CC65" s="62">
        <f t="shared" si="11"/>
        <v>509.13985809988498</v>
      </c>
      <c r="CD65" s="62">
        <f ca="1">AVERAGE(OFFSET($CC$3,0,0,'Données projet'!$E$12+1,1))-AVERAGE(OFFSET($H$3,0,0,'Données projet'!$E$12+1,1))</f>
        <v>218.24409784339861</v>
      </c>
      <c r="CE65" s="62">
        <f t="shared" si="40"/>
        <v>118.89963447540509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293.3333333333353</v>
      </c>
      <c r="S66" s="62">
        <f ca="1">AVERAGE(OFFSET($R$3,0,0,'Données projet'!$E$9+1,1))-AVERAGE(OFFSET($H$3,0,0,'Données projet'!$E$9+1,1))</f>
        <v>257.80952690600492</v>
      </c>
      <c r="T66" s="62">
        <f t="shared" si="34"/>
        <v>269.95358755269427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1.7354454535692863</v>
      </c>
      <c r="AA66" s="23">
        <f>EXP(-LN(2)/25)*AA65+(1-EXP(-LN(2)/25))/(LN(2)/25)*Calculateur!V66*Calculateur!X66*VLOOKUP('Données projet'!$B$9,Paramètres!$A$1:$I$89,3,0)*0.475*44/12</f>
        <v>3.2498286297529404</v>
      </c>
      <c r="AB66" s="23">
        <f>EXP(-LN(2)/2)*AB65+(1-EXP(-LN(2)/2))/(LN(2)/2)*V66*Y66*VLOOKUP('Données projet'!$B$9,Paramètres!$A$1:$I$89,3,0)*0.475*44/12</f>
        <v>1.4226675697323108E-4</v>
      </c>
      <c r="AC66" s="24">
        <f t="shared" si="3"/>
        <v>4.9854163500792001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9.5</v>
      </c>
      <c r="AI66" s="14">
        <f>IF('Données projet'!$A$62&gt;35,AI65+AH66-AQ65,IF(A66&lt;'Données projet'!$A$62,$AF$205^A66,IF(A66='Données projet'!$A$62,'Données projet'!$B$62,AI65+AH66-AQ65)))</f>
        <v>297.50000000000023</v>
      </c>
      <c r="AJ66" s="14">
        <f>AI66*VLOOKUP('Données projet'!$B$10,Paramètres!$A$1:$I$89,3,0)*VLOOKUP('Données projet'!$B$10,Paramètres!$A$1:$I$89,5,0)</f>
        <v>170.17000000000013</v>
      </c>
      <c r="AK66" s="14">
        <f t="shared" si="35"/>
        <v>43.128095715049447</v>
      </c>
      <c r="AL66" s="22">
        <f t="shared" si="4"/>
        <v>371.49418337037804</v>
      </c>
      <c r="AM66" s="62">
        <f t="shared" si="5"/>
        <v>664.82751670371135</v>
      </c>
      <c r="AN66" s="62">
        <f ca="1">AVERAGE(OFFSET($AM$3,0,0,'Données projet'!$E$10+1,1))-AVERAGE(OFFSET($H$3,0,0,'Données projet'!$E$10+1,1))</f>
        <v>258.09881752732008</v>
      </c>
      <c r="AO66" s="62">
        <f t="shared" si="36"/>
        <v>214.72899476643335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1.4823231678431865E-5</v>
      </c>
      <c r="AX66" s="23">
        <f t="shared" si="6"/>
        <v>1.4823231678431865E-5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5.2</v>
      </c>
      <c r="BD66" s="13">
        <f>IF('Données projet'!$A$88&gt;35,BD65+BC66-BL65,IF(A66&lt;'Données projet'!$A$88,$BA$205^A66,IF(A66='Données projet'!$A$88,'Données projet'!$B$88,BD65+BC66-BL65)))</f>
        <v>150.59999999999988</v>
      </c>
      <c r="BE66" s="14">
        <f>BD66*VLOOKUP('Données projet'!$B$11,Paramètres!$A$1:$I$89,3,0)*VLOOKUP('Données projet'!$B$11,Paramètres!$A$1:$I$89,5,0)</f>
        <v>145.6603199999999</v>
      </c>
      <c r="BF66" s="14">
        <f t="shared" si="37"/>
        <v>37.59069903895481</v>
      </c>
      <c r="BG66" s="22">
        <f t="shared" si="7"/>
        <v>319.16219149284615</v>
      </c>
      <c r="BH66" s="62">
        <f t="shared" si="8"/>
        <v>612.49552482617946</v>
      </c>
      <c r="BI66" s="62">
        <f ca="1">AVERAGE(OFFSET($BH$3,0,0,'Données projet'!$E$11+1,1))-AVERAGE(OFFSET($H$3,0,0,'Données projet'!$E$11+1,1))</f>
        <v>298.18906674058809</v>
      </c>
      <c r="BJ66" s="62">
        <f t="shared" si="38"/>
        <v>154.08406475869634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5.2</v>
      </c>
      <c r="BY66" s="13">
        <f>IF('Données projet'!$A$114&gt;35,BY65+BX66-CG65,IF(A66&lt;'Données projet'!$A$114,$BV$205^A66,IF(A66='Données projet'!$A$114,'Données projet'!$B$114,BY65+BX66-CG65)))</f>
        <v>150.59999999999988</v>
      </c>
      <c r="BZ66" s="14">
        <f>BY66*VLOOKUP('Données projet'!$B$12,Paramètres!$A$1:$I$89,3,0)*VLOOKUP('Données projet'!$B$12,Paramètres!$A$1:$I$89,5,0)</f>
        <v>101.02247999999993</v>
      </c>
      <c r="CA66" s="14">
        <f t="shared" si="39"/>
        <v>27.205444899889642</v>
      </c>
      <c r="CB66" s="22">
        <f t="shared" si="10"/>
        <v>223.3303025339743</v>
      </c>
      <c r="CC66" s="62">
        <f t="shared" si="11"/>
        <v>516.66363586730768</v>
      </c>
      <c r="CD66" s="62">
        <f ca="1">AVERAGE(OFFSET($CC$3,0,0,'Données projet'!$E$12+1,1))-AVERAGE(OFFSET($H$3,0,0,'Données projet'!$E$12+1,1))</f>
        <v>218.24409784339861</v>
      </c>
      <c r="CE66" s="62">
        <f t="shared" si="40"/>
        <v>118.89963447540509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293.3333333333353</v>
      </c>
      <c r="S67" s="62">
        <f ca="1">AVERAGE(OFFSET($R$3,0,0,'Données projet'!$E$9+1,1))-AVERAGE(OFFSET($H$3,0,0,'Données projet'!$E$9+1,1))</f>
        <v>257.80952690600492</v>
      </c>
      <c r="T67" s="62">
        <f t="shared" si="34"/>
        <v>269.95358755269427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1.7014144267419993</v>
      </c>
      <c r="AA67" s="23">
        <f>EXP(-LN(2)/25)*AA66+(1-EXP(-LN(2)/25))/(LN(2)/25)*Calculateur!V67*Calculateur!X67*VLOOKUP('Données projet'!$B$9,Paramètres!$A$1:$I$89,3,0)*0.475*44/12</f>
        <v>3.1609618949712863</v>
      </c>
      <c r="AB67" s="23">
        <f>EXP(-LN(2)/2)*AB66+(1-EXP(-LN(2)/2))/(LN(2)/2)*V67*Y67*VLOOKUP('Données projet'!$B$9,Paramètres!$A$1:$I$89,3,0)*0.475*44/12</f>
        <v>1.0059778859319025E-4</v>
      </c>
      <c r="AC67" s="24">
        <f t="shared" si="3"/>
        <v>4.8624769195018791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9.5</v>
      </c>
      <c r="AI67" s="14">
        <f>IF('Données projet'!$A$62&gt;35,AI66+AH67-AQ66,IF(A67&lt;'Données projet'!$A$62,$AF$205^A67,IF(A67='Données projet'!$A$62,'Données projet'!$B$62,AI66+AH67-AQ66)))</f>
        <v>307.00000000000023</v>
      </c>
      <c r="AJ67" s="14">
        <f>AI67*VLOOKUP('Données projet'!$B$10,Paramètres!$A$1:$I$89,3,0)*VLOOKUP('Données projet'!$B$10,Paramètres!$A$1:$I$89,5,0)</f>
        <v>175.60400000000013</v>
      </c>
      <c r="AK67" s="14">
        <f t="shared" si="35"/>
        <v>44.342754213843108</v>
      </c>
      <c r="AL67" s="22">
        <f t="shared" si="4"/>
        <v>383.07393025577699</v>
      </c>
      <c r="AM67" s="62">
        <f t="shared" si="5"/>
        <v>676.40726358911024</v>
      </c>
      <c r="AN67" s="62">
        <f ca="1">AVERAGE(OFFSET($AM$3,0,0,'Données projet'!$E$10+1,1))-AVERAGE(OFFSET($H$3,0,0,'Données projet'!$E$10+1,1))</f>
        <v>258.09881752732008</v>
      </c>
      <c r="AO67" s="62">
        <f t="shared" si="36"/>
        <v>214.72899476643335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1.0481607638918421E-5</v>
      </c>
      <c r="AX67" s="23">
        <f t="shared" si="6"/>
        <v>1.0481607638918421E-5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5.2</v>
      </c>
      <c r="BD67" s="13">
        <f>IF('Données projet'!$A$88&gt;35,BD66+BC67-BL66,IF(A67&lt;'Données projet'!$A$88,$BA$205^A67,IF(A67='Données projet'!$A$88,'Données projet'!$B$88,BD66+BC67-BL66)))</f>
        <v>155.79999999999987</v>
      </c>
      <c r="BE67" s="14">
        <f>BD67*VLOOKUP('Données projet'!$B$11,Paramètres!$A$1:$I$89,3,0)*VLOOKUP('Données projet'!$B$11,Paramètres!$A$1:$I$89,5,0)</f>
        <v>150.68975999999986</v>
      </c>
      <c r="BF67" s="14">
        <f t="shared" si="37"/>
        <v>38.735294176946169</v>
      </c>
      <c r="BG67" s="22">
        <f t="shared" si="7"/>
        <v>329.91530269151434</v>
      </c>
      <c r="BH67" s="62">
        <f t="shared" si="8"/>
        <v>623.24863602484766</v>
      </c>
      <c r="BI67" s="62">
        <f ca="1">AVERAGE(OFFSET($BH$3,0,0,'Données projet'!$E$11+1,1))-AVERAGE(OFFSET($H$3,0,0,'Données projet'!$E$11+1,1))</f>
        <v>298.18906674058809</v>
      </c>
      <c r="BJ67" s="62">
        <f t="shared" si="38"/>
        <v>154.08406475869634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5.2</v>
      </c>
      <c r="BY67" s="13">
        <f>IF('Données projet'!$A$114&gt;35,BY66+BX67-CG66,IF(A67&lt;'Données projet'!$A$114,$BV$205^A67,IF(A67='Données projet'!$A$114,'Données projet'!$B$114,BY66+BX67-CG66)))</f>
        <v>155.79999999999987</v>
      </c>
      <c r="BZ67" s="14">
        <f>BY67*VLOOKUP('Données projet'!$B$12,Paramètres!$A$1:$I$89,3,0)*VLOOKUP('Données projet'!$B$12,Paramètres!$A$1:$I$89,5,0)</f>
        <v>104.51063999999991</v>
      </c>
      <c r="CA67" s="14">
        <f t="shared" si="39"/>
        <v>28.033820555448383</v>
      </c>
      <c r="CB67" s="22">
        <f t="shared" si="10"/>
        <v>230.84826880073911</v>
      </c>
      <c r="CC67" s="62">
        <f t="shared" si="11"/>
        <v>524.18160213407236</v>
      </c>
      <c r="CD67" s="62">
        <f ca="1">AVERAGE(OFFSET($CC$3,0,0,'Données projet'!$E$12+1,1))-AVERAGE(OFFSET($H$3,0,0,'Données projet'!$E$12+1,1))</f>
        <v>218.24409784339861</v>
      </c>
      <c r="CE67" s="62">
        <f t="shared" si="40"/>
        <v>118.89963447540509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293.3333333333353</v>
      </c>
      <c r="S68" s="62">
        <f ca="1">AVERAGE(OFFSET($R$3,0,0,'Données projet'!$E$9+1,1))-AVERAGE(OFFSET($H$3,0,0,'Données projet'!$E$9+1,1))</f>
        <v>257.80952690600492</v>
      </c>
      <c r="T68" s="62">
        <f t="shared" si="34"/>
        <v>269.95358755269427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1.6680507275939187</v>
      </c>
      <c r="AA68" s="23">
        <f>EXP(-LN(2)/25)*AA67+(1-EXP(-LN(2)/25))/(LN(2)/25)*Calculateur!V68*Calculateur!X68*VLOOKUP('Données projet'!$B$9,Paramètres!$A$1:$I$89,3,0)*0.475*44/12</f>
        <v>3.0745252257255351</v>
      </c>
      <c r="AB68" s="23">
        <f>EXP(-LN(2)/2)*AB67+(1-EXP(-LN(2)/2))/(LN(2)/2)*V68*Y68*VLOOKUP('Données projet'!$B$9,Paramètres!$A$1:$I$89,3,0)*0.475*44/12</f>
        <v>7.1133378486615541E-5</v>
      </c>
      <c r="AC68" s="24">
        <f t="shared" ref="AC68:AC131" si="57">SUM(Z68:AB68)</f>
        <v>4.7426470866979402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9.5</v>
      </c>
      <c r="AI68" s="14">
        <f>IF('Données projet'!$A$62&gt;35,AI67+AH68-AQ67,IF(A68&lt;'Données projet'!$A$62,$AF$205^A68,IF(A68='Données projet'!$A$62,'Données projet'!$B$62,AI67+AH68-AQ67)))</f>
        <v>316.50000000000023</v>
      </c>
      <c r="AJ68" s="14">
        <f>AI68*VLOOKUP('Données projet'!$B$10,Paramètres!$A$1:$I$89,3,0)*VLOOKUP('Données projet'!$B$10,Paramètres!$A$1:$I$89,5,0)</f>
        <v>181.03800000000015</v>
      </c>
      <c r="AK68" s="14">
        <f t="shared" si="35"/>
        <v>45.553044701671382</v>
      </c>
      <c r="AL68" s="22">
        <f t="shared" ref="AL68:AL131" si="58">(AJ68+AK68)*0.475*44/12</f>
        <v>394.64606952207788</v>
      </c>
      <c r="AM68" s="62">
        <f t="shared" ref="AM68:AM131" si="59">AL68+(AD68+AE68)*44/12</f>
        <v>687.97940285541119</v>
      </c>
      <c r="AN68" s="62">
        <f ca="1">AVERAGE(OFFSET($AM$3,0,0,'Données projet'!$E$10+1,1))-AVERAGE(OFFSET($H$3,0,0,'Données projet'!$E$10+1,1))</f>
        <v>258.09881752732008</v>
      </c>
      <c r="AO68" s="62">
        <f t="shared" si="36"/>
        <v>214.72899476643335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7.411615839215934E-6</v>
      </c>
      <c r="AX68" s="23">
        <f t="shared" ref="AX68:AX131" si="60">SUM(AU68:AW68)</f>
        <v>7.411615839215934E-6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161</v>
      </c>
      <c r="BB68" s="13">
        <f>VLOOKUP(A68,'Données projet'!$A$87:$I$107,9,0)</f>
        <v>5.2</v>
      </c>
      <c r="BC68" s="13">
        <f t="array" ref="BC68">INDEX(BB:BB,MIN(IF(ISNUMBER(BB68:BB264),ROW(BB68:BB264),"")))</f>
        <v>5.2</v>
      </c>
      <c r="BD68" s="13">
        <f>IF('Données projet'!$A$88&gt;35,BD67+BC68-BL67,IF(A68&lt;'Données projet'!$A$88,$BA$205^A68,IF(A68='Données projet'!$A$88,'Données projet'!$B$88,BD67+BC68-BL67)))</f>
        <v>160.99999999999986</v>
      </c>
      <c r="BE68" s="14">
        <f>BD68*VLOOKUP('Données projet'!$B$11,Paramètres!$A$1:$I$89,3,0)*VLOOKUP('Données projet'!$B$11,Paramètres!$A$1:$I$89,5,0)</f>
        <v>155.71919999999986</v>
      </c>
      <c r="BF68" s="14">
        <f t="shared" si="37"/>
        <v>39.875450340770094</v>
      </c>
      <c r="BG68" s="22">
        <f t="shared" ref="BG68:BG131" si="61">(BE68+BF68)*0.475*44/12</f>
        <v>340.66068267684102</v>
      </c>
      <c r="BH68" s="62">
        <f t="shared" ref="BH68:BH131" si="62">BG68+(AY68+AZ68)*44/12</f>
        <v>633.99401601017439</v>
      </c>
      <c r="BI68" s="62">
        <f ca="1">AVERAGE(OFFSET($BH$3,0,0,'Données projet'!$E$11+1,1))-AVERAGE(OFFSET($H$3,0,0,'Données projet'!$E$11+1,1))</f>
        <v>298.18906674058809</v>
      </c>
      <c r="BJ68" s="62">
        <f t="shared" si="38"/>
        <v>154.08406475869634</v>
      </c>
      <c r="BK68" s="16">
        <f>IF(ISNA(VLOOKUP(A68,'Données projet'!$A$87:$I$107,3,0)),0,VLOOKUP(A68,'Données projet'!$A$87:$I$107,3,0))</f>
        <v>9</v>
      </c>
      <c r="BL68" s="16">
        <f>IF(ISNA(VLOOKUP(A68,'Données projet'!$A$87:$I$107,4,0)),0,VLOOKUP(A68,'Données projet'!$A$87:$I$107,4,0))</f>
        <v>14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161</v>
      </c>
      <c r="BW68" s="13">
        <f>VLOOKUP(A68,'Données projet'!$A$113:$I$133,9,0)</f>
        <v>5.2</v>
      </c>
      <c r="BX68" s="13">
        <f t="array" ref="BX68">INDEX(BW:BW,MIN(IF(ISNUMBER(BW68:BW264),ROW(BW68:BW264),"")))</f>
        <v>5.2</v>
      </c>
      <c r="BY68" s="13">
        <f>IF('Données projet'!$A$114&gt;35,BY67+BX68-CG67,IF(A68&lt;'Données projet'!$A$114,$BV$205^A68,IF(A68='Données projet'!$A$114,'Données projet'!$B$114,BY67+BX68-CG67)))</f>
        <v>160.99999999999986</v>
      </c>
      <c r="BZ68" s="14">
        <f>BY68*VLOOKUP('Données projet'!$B$12,Paramètres!$A$1:$I$89,3,0)*VLOOKUP('Données projet'!$B$12,Paramètres!$A$1:$I$89,5,0)</f>
        <v>107.9987999999999</v>
      </c>
      <c r="CA68" s="14">
        <f t="shared" si="39"/>
        <v>28.858983600701585</v>
      </c>
      <c r="CB68" s="22">
        <f t="shared" ref="CB68:CB131" si="64">(BZ68+CA68)*0.475*44/12</f>
        <v>238.36063977122171</v>
      </c>
      <c r="CC68" s="62">
        <f t="shared" ref="CC68:CC131" si="65">CB68+(BT68+BU68)*44/12</f>
        <v>531.69397310455497</v>
      </c>
      <c r="CD68" s="62">
        <f ca="1">AVERAGE(OFFSET($CC$3,0,0,'Données projet'!$E$12+1,1))-AVERAGE(OFFSET($H$3,0,0,'Données projet'!$E$12+1,1))</f>
        <v>218.24409784339861</v>
      </c>
      <c r="CE68" s="62">
        <f t="shared" si="40"/>
        <v>118.89963447540509</v>
      </c>
      <c r="CF68" s="16">
        <f>IF(ISNA(VLOOKUP(A68,'Données projet'!$A$113:$I$133,3,0)),0,VLOOKUP(A68,'Données projet'!$A$113:$I$133,3,0))</f>
        <v>9</v>
      </c>
      <c r="CG68" s="16">
        <f>IF(ISNA(VLOOKUP(A68,'Données projet'!$A$113:$I$133,4,0)),0,VLOOKUP(A68,'Données projet'!$A$113:$I$133,4,0))</f>
        <v>14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293.3333333333353</v>
      </c>
      <c r="S69" s="62">
        <f ca="1">AVERAGE(OFFSET($R$3,0,0,'Données projet'!$E$9+1,1))-AVERAGE(OFFSET($H$3,0,0,'Données projet'!$E$9+1,1))</f>
        <v>257.80952690600492</v>
      </c>
      <c r="T69" s="62">
        <f t="shared" ref="T69:T132" si="88">$T$3</f>
        <v>269.95358755269427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1.6353412702362848</v>
      </c>
      <c r="AA69" s="23">
        <f>EXP(-LN(2)/25)*AA68+(1-EXP(-LN(2)/25))/(LN(2)/25)*Calculateur!V69*Calculateur!X69*VLOOKUP('Données projet'!$B$9,Paramètres!$A$1:$I$89,3,0)*0.475*44/12</f>
        <v>2.9904521717458157</v>
      </c>
      <c r="AB69" s="23">
        <f>EXP(-LN(2)/2)*AB68+(1-EXP(-LN(2)/2))/(LN(2)/2)*V69*Y69*VLOOKUP('Données projet'!$B$9,Paramètres!$A$1:$I$89,3,0)*0.475*44/12</f>
        <v>5.0298894296595123E-5</v>
      </c>
      <c r="AC69" s="24">
        <f t="shared" si="57"/>
        <v>4.6258437408763973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9.5</v>
      </c>
      <c r="AI69" s="14">
        <f>IF('Données projet'!$A$62&gt;35,AI68+AH69-AQ68,IF(A69&lt;'Données projet'!$A$62,$AF$205^A69,IF(A69='Données projet'!$A$62,'Données projet'!$B$62,AI68+AH69-AQ68)))</f>
        <v>326.00000000000023</v>
      </c>
      <c r="AJ69" s="14">
        <f>AI69*VLOOKUP('Données projet'!$B$10,Paramètres!$A$1:$I$89,3,0)*VLOOKUP('Données projet'!$B$10,Paramètres!$A$1:$I$89,5,0)</f>
        <v>186.47200000000015</v>
      </c>
      <c r="AK69" s="14">
        <f t="shared" ref="AK69:AK132" si="89">EXP(-1.0587+0.8836*LN(AJ69)+0.284)</f>
        <v>46.759113338100882</v>
      </c>
      <c r="AL69" s="22">
        <f t="shared" si="58"/>
        <v>406.21085573052596</v>
      </c>
      <c r="AM69" s="62">
        <f t="shared" si="59"/>
        <v>699.54418906385922</v>
      </c>
      <c r="AN69" s="62">
        <f ca="1">AVERAGE(OFFSET($AM$3,0,0,'Données projet'!$E$10+1,1))-AVERAGE(OFFSET($H$3,0,0,'Données projet'!$E$10+1,1))</f>
        <v>258.09881752732008</v>
      </c>
      <c r="AO69" s="62">
        <f t="shared" ref="AO69:AO132" si="90">$AO$3</f>
        <v>214.72899476643335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5.2408038194592116E-6</v>
      </c>
      <c r="AX69" s="23">
        <f t="shared" si="60"/>
        <v>5.2408038194592116E-6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5.2</v>
      </c>
      <c r="BD69" s="13">
        <f>IF('Données projet'!$A$88&gt;35,BD68+BC69-BL68,IF(A69&lt;'Données projet'!$A$88,$BA$205^A69,IF(A69='Données projet'!$A$88,'Données projet'!$B$88,BD68+BC69-BL68)))</f>
        <v>152.19999999999985</v>
      </c>
      <c r="BE69" s="14">
        <f>BD69*VLOOKUP('Données projet'!$B$11,Paramètres!$A$1:$I$89,3,0)*VLOOKUP('Données projet'!$B$11,Paramètres!$A$1:$I$89,5,0)</f>
        <v>147.20783999999986</v>
      </c>
      <c r="BF69" s="14">
        <f t="shared" ref="BF69:BF132" si="91">EXP(-1.0587+0.8836*LN(BE69)+0.284)</f>
        <v>37.94336501087632</v>
      </c>
      <c r="BG69" s="22">
        <f t="shared" si="61"/>
        <v>322.4716820606094</v>
      </c>
      <c r="BH69" s="62">
        <f t="shared" si="62"/>
        <v>615.80501539394277</v>
      </c>
      <c r="BI69" s="62">
        <f ca="1">AVERAGE(OFFSET($BH$3,0,0,'Données projet'!$E$11+1,1))-AVERAGE(OFFSET($H$3,0,0,'Données projet'!$E$11+1,1))</f>
        <v>298.18906674058809</v>
      </c>
      <c r="BJ69" s="62">
        <f t="shared" ref="BJ69:BJ132" si="92">$BJ$3</f>
        <v>154.08406475869634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5.2</v>
      </c>
      <c r="BY69" s="13">
        <f>IF('Données projet'!$A$114&gt;35,BY68+BX69-CG68,IF(A69&lt;'Données projet'!$A$114,$BV$205^A69,IF(A69='Données projet'!$A$114,'Données projet'!$B$114,BY68+BX69-CG68)))</f>
        <v>152.19999999999985</v>
      </c>
      <c r="BZ69" s="14">
        <f>BY69*VLOOKUP('Données projet'!$B$12,Paramètres!$A$1:$I$89,3,0)*VLOOKUP('Données projet'!$B$12,Paramètres!$A$1:$I$89,5,0)</f>
        <v>102.09575999999988</v>
      </c>
      <c r="CA69" s="14">
        <f t="shared" ref="CA69:CA132" si="93">EXP(-1.0587+0.8836*LN(BZ69)+0.284)</f>
        <v>27.460679170931883</v>
      </c>
      <c r="CB69" s="22">
        <f t="shared" si="64"/>
        <v>225.64413155603947</v>
      </c>
      <c r="CC69" s="62">
        <f t="shared" si="65"/>
        <v>518.97746488937275</v>
      </c>
      <c r="CD69" s="62">
        <f ca="1">AVERAGE(OFFSET($CC$3,0,0,'Données projet'!$E$12+1,1))-AVERAGE(OFFSET($H$3,0,0,'Données projet'!$E$12+1,1))</f>
        <v>218.24409784339861</v>
      </c>
      <c r="CE69" s="62">
        <f t="shared" ref="CE69:CE132" si="94">$CE$3</f>
        <v>118.89963447540509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293.3333333333353</v>
      </c>
      <c r="S70" s="62">
        <f ca="1">AVERAGE(OFFSET($R$3,0,0,'Données projet'!$E$9+1,1))-AVERAGE(OFFSET($H$3,0,0,'Données projet'!$E$9+1,1))</f>
        <v>257.80952690600492</v>
      </c>
      <c r="T70" s="62">
        <f t="shared" si="88"/>
        <v>269.95358755269427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1.6032732253866351</v>
      </c>
      <c r="AA70" s="23">
        <f>EXP(-LN(2)/25)*AA69+(1-EXP(-LN(2)/25))/(LN(2)/25)*Calculateur!V70*Calculateur!X70*VLOOKUP('Données projet'!$B$9,Paramètres!$A$1:$I$89,3,0)*0.475*44/12</f>
        <v>2.9086780998483812</v>
      </c>
      <c r="AB70" s="23">
        <f>EXP(-LN(2)/2)*AB69+(1-EXP(-LN(2)/2))/(LN(2)/2)*V70*Y70*VLOOKUP('Données projet'!$B$9,Paramètres!$A$1:$I$89,3,0)*0.475*44/12</f>
        <v>3.5566689243307771E-5</v>
      </c>
      <c r="AC70" s="24">
        <f t="shared" si="57"/>
        <v>4.5119868919242601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9.5</v>
      </c>
      <c r="AI70" s="14">
        <f>IF('Données projet'!$A$62&gt;35,AI69+AH70-AQ69,IF(A70&lt;'Données projet'!$A$62,$AF$205^A70,IF(A70='Données projet'!$A$62,'Données projet'!$B$62,AI69+AH70-AQ69)))</f>
        <v>335.50000000000023</v>
      </c>
      <c r="AJ70" s="14">
        <f>AI70*VLOOKUP('Données projet'!$B$10,Paramètres!$A$1:$I$89,3,0)*VLOOKUP('Données projet'!$B$10,Paramètres!$A$1:$I$89,5,0)</f>
        <v>191.90600000000012</v>
      </c>
      <c r="AK70" s="14">
        <f t="shared" si="89"/>
        <v>47.96109727983233</v>
      </c>
      <c r="AL70" s="22">
        <f t="shared" si="58"/>
        <v>417.76852776237479</v>
      </c>
      <c r="AM70" s="62">
        <f t="shared" si="59"/>
        <v>711.10186109570805</v>
      </c>
      <c r="AN70" s="62">
        <f ca="1">AVERAGE(OFFSET($AM$3,0,0,'Données projet'!$E$10+1,1))-AVERAGE(OFFSET($H$3,0,0,'Données projet'!$E$10+1,1))</f>
        <v>258.09881752732008</v>
      </c>
      <c r="AO70" s="62">
        <f t="shared" si="90"/>
        <v>214.72899476643335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3.7058079196079674E-6</v>
      </c>
      <c r="AX70" s="23">
        <f t="shared" si="60"/>
        <v>3.7058079196079674E-6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5.2</v>
      </c>
      <c r="BD70" s="13">
        <f>IF('Données projet'!$A$88&gt;35,BD69+BC70-BL69,IF(A70&lt;'Données projet'!$A$88,$BA$205^A70,IF(A70='Données projet'!$A$88,'Données projet'!$B$88,BD69+BC70-BL69)))</f>
        <v>157.39999999999984</v>
      </c>
      <c r="BE70" s="14">
        <f>BD70*VLOOKUP('Données projet'!$B$11,Paramètres!$A$1:$I$89,3,0)*VLOOKUP('Données projet'!$B$11,Paramètres!$A$1:$I$89,5,0)</f>
        <v>152.23727999999983</v>
      </c>
      <c r="BF70" s="14">
        <f t="shared" si="91"/>
        <v>39.08657660953731</v>
      </c>
      <c r="BG70" s="22">
        <f t="shared" si="61"/>
        <v>333.22238359494384</v>
      </c>
      <c r="BH70" s="62">
        <f t="shared" si="62"/>
        <v>626.55571692827721</v>
      </c>
      <c r="BI70" s="62">
        <f ca="1">AVERAGE(OFFSET($BH$3,0,0,'Données projet'!$E$11+1,1))-AVERAGE(OFFSET($H$3,0,0,'Données projet'!$E$11+1,1))</f>
        <v>298.18906674058809</v>
      </c>
      <c r="BJ70" s="62">
        <f t="shared" si="92"/>
        <v>154.08406475869634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5.2</v>
      </c>
      <c r="BY70" s="13">
        <f>IF('Données projet'!$A$114&gt;35,BY69+BX70-CG69,IF(A70&lt;'Données projet'!$A$114,$BV$205^A70,IF(A70='Données projet'!$A$114,'Données projet'!$B$114,BY69+BX70-CG69)))</f>
        <v>157.39999999999984</v>
      </c>
      <c r="BZ70" s="14">
        <f>BY70*VLOOKUP('Données projet'!$B$12,Paramètres!$A$1:$I$89,3,0)*VLOOKUP('Données projet'!$B$12,Paramètres!$A$1:$I$89,5,0)</f>
        <v>105.58391999999989</v>
      </c>
      <c r="CA70" s="14">
        <f t="shared" si="93"/>
        <v>28.288053520210592</v>
      </c>
      <c r="CB70" s="22">
        <f t="shared" si="64"/>
        <v>233.16035388103322</v>
      </c>
      <c r="CC70" s="62">
        <f t="shared" si="65"/>
        <v>526.49368721436656</v>
      </c>
      <c r="CD70" s="62">
        <f ca="1">AVERAGE(OFFSET($CC$3,0,0,'Données projet'!$E$12+1,1))-AVERAGE(OFFSET($H$3,0,0,'Données projet'!$E$12+1,1))</f>
        <v>218.24409784339861</v>
      </c>
      <c r="CE70" s="62">
        <f t="shared" si="94"/>
        <v>118.89963447540509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293.3333333333353</v>
      </c>
      <c r="S71" s="62">
        <f ca="1">AVERAGE(OFFSET($R$3,0,0,'Données projet'!$E$9+1,1))-AVERAGE(OFFSET($H$3,0,0,'Données projet'!$E$9+1,1))</f>
        <v>257.80952690600492</v>
      </c>
      <c r="T71" s="62">
        <f t="shared" si="88"/>
        <v>269.95358755269427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1.571834015336911</v>
      </c>
      <c r="AA71" s="23">
        <f>EXP(-LN(2)/25)*AA70+(1-EXP(-LN(2)/25))/(LN(2)/25)*Calculateur!V71*Calculateur!X71*VLOOKUP('Données projet'!$B$9,Paramètres!$A$1:$I$89,3,0)*0.475*44/12</f>
        <v>2.8291401442472939</v>
      </c>
      <c r="AB71" s="23">
        <f>EXP(-LN(2)/2)*AB70+(1-EXP(-LN(2)/2))/(LN(2)/2)*V71*Y71*VLOOKUP('Données projet'!$B$9,Paramètres!$A$1:$I$89,3,0)*0.475*44/12</f>
        <v>2.5149447148297561E-5</v>
      </c>
      <c r="AC71" s="24">
        <f t="shared" si="57"/>
        <v>4.4009993090313531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9.5</v>
      </c>
      <c r="AI71" s="14">
        <f>IF('Données projet'!$A$62&gt;35,AI70+AH71-AQ70,IF(A71&lt;'Données projet'!$A$62,$AF$205^A71,IF(A71='Données projet'!$A$62,'Données projet'!$B$62,AI70+AH71-AQ70)))</f>
        <v>345.00000000000023</v>
      </c>
      <c r="AJ71" s="14">
        <f>AI71*VLOOKUP('Données projet'!$B$10,Paramètres!$A$1:$I$89,3,0)*VLOOKUP('Données projet'!$B$10,Paramètres!$A$1:$I$89,5,0)</f>
        <v>197.34000000000015</v>
      </c>
      <c r="AK71" s="14">
        <f t="shared" si="89"/>
        <v>49.15912547427002</v>
      </c>
      <c r="AL71" s="22">
        <f t="shared" si="58"/>
        <v>429.31931020102047</v>
      </c>
      <c r="AM71" s="62">
        <f t="shared" si="59"/>
        <v>722.65264353435373</v>
      </c>
      <c r="AN71" s="62">
        <f ca="1">AVERAGE(OFFSET($AM$3,0,0,'Données projet'!$E$10+1,1))-AVERAGE(OFFSET($H$3,0,0,'Données projet'!$E$10+1,1))</f>
        <v>258.09881752732008</v>
      </c>
      <c r="AO71" s="62">
        <f t="shared" si="90"/>
        <v>214.72899476643335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2.6204019097296062E-6</v>
      </c>
      <c r="AX71" s="23">
        <f t="shared" si="60"/>
        <v>2.6204019097296062E-6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5.2</v>
      </c>
      <c r="BD71" s="13">
        <f>IF('Données projet'!$A$88&gt;35,BD70+BC71-BL70,IF(A71&lt;'Données projet'!$A$88,$BA$205^A71,IF(A71='Données projet'!$A$88,'Données projet'!$B$88,BD70+BC71-BL70)))</f>
        <v>162.59999999999982</v>
      </c>
      <c r="BE71" s="14">
        <f>BD71*VLOOKUP('Données projet'!$B$11,Paramètres!$A$1:$I$89,3,0)*VLOOKUP('Données projet'!$B$11,Paramètres!$A$1:$I$89,5,0)</f>
        <v>157.26671999999982</v>
      </c>
      <c r="BF71" s="14">
        <f t="shared" si="91"/>
        <v>40.225399598929073</v>
      </c>
      <c r="BG71" s="22">
        <f t="shared" si="61"/>
        <v>343.96544163480115</v>
      </c>
      <c r="BH71" s="62">
        <f t="shared" si="62"/>
        <v>637.29877496813447</v>
      </c>
      <c r="BI71" s="62">
        <f ca="1">AVERAGE(OFFSET($BH$3,0,0,'Données projet'!$E$11+1,1))-AVERAGE(OFFSET($H$3,0,0,'Données projet'!$E$11+1,1))</f>
        <v>298.18906674058809</v>
      </c>
      <c r="BJ71" s="62">
        <f t="shared" si="92"/>
        <v>154.08406475869634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5.2</v>
      </c>
      <c r="BY71" s="13">
        <f>IF('Données projet'!$A$114&gt;35,BY70+BX71-CG70,IF(A71&lt;'Données projet'!$A$114,$BV$205^A71,IF(A71='Données projet'!$A$114,'Données projet'!$B$114,BY70+BX71-CG70)))</f>
        <v>162.59999999999982</v>
      </c>
      <c r="BZ71" s="14">
        <f>BY71*VLOOKUP('Données projet'!$B$12,Paramètres!$A$1:$I$89,3,0)*VLOOKUP('Données projet'!$B$12,Paramètres!$A$1:$I$89,5,0)</f>
        <v>109.07207999999989</v>
      </c>
      <c r="CA71" s="14">
        <f t="shared" si="93"/>
        <v>29.112251709675458</v>
      </c>
      <c r="CB71" s="22">
        <f t="shared" si="64"/>
        <v>240.67104439435124</v>
      </c>
      <c r="CC71" s="62">
        <f t="shared" si="65"/>
        <v>534.00437772768453</v>
      </c>
      <c r="CD71" s="62">
        <f ca="1">AVERAGE(OFFSET($CC$3,0,0,'Données projet'!$E$12+1,1))-AVERAGE(OFFSET($H$3,0,0,'Données projet'!$E$12+1,1))</f>
        <v>218.24409784339861</v>
      </c>
      <c r="CE71" s="62">
        <f t="shared" si="94"/>
        <v>118.89963447540509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293.3333333333353</v>
      </c>
      <c r="S72" s="62">
        <f ca="1">AVERAGE(OFFSET($R$3,0,0,'Données projet'!$E$9+1,1))-AVERAGE(OFFSET($H$3,0,0,'Données projet'!$E$9+1,1))</f>
        <v>257.80952690600492</v>
      </c>
      <c r="T72" s="62">
        <f t="shared" si="88"/>
        <v>269.95358755269427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1.5410113090202373</v>
      </c>
      <c r="AA72" s="23">
        <f>EXP(-LN(2)/25)*AA71+(1-EXP(-LN(2)/25))/(LN(2)/25)*Calculateur!V72*Calculateur!X72*VLOOKUP('Données projet'!$B$9,Paramètres!$A$1:$I$89,3,0)*0.475*44/12</f>
        <v>2.7517771582248374</v>
      </c>
      <c r="AB72" s="23">
        <f>EXP(-LN(2)/2)*AB71+(1-EXP(-LN(2)/2))/(LN(2)/2)*V72*Y72*VLOOKUP('Données projet'!$B$9,Paramètres!$A$1:$I$89,3,0)*0.475*44/12</f>
        <v>1.7783344621653885E-5</v>
      </c>
      <c r="AC72" s="24">
        <f t="shared" si="57"/>
        <v>4.2928062505896962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9.5</v>
      </c>
      <c r="AI72" s="14">
        <f>IF('Données projet'!$A$62&gt;35,AI71+AH72-AQ71,IF(A72&lt;'Données projet'!$A$62,$AF$205^A72,IF(A72='Données projet'!$A$62,'Données projet'!$B$62,AI71+AH72-AQ71)))</f>
        <v>354.50000000000023</v>
      </c>
      <c r="AJ72" s="14">
        <f>AI72*VLOOKUP('Données projet'!$B$10,Paramètres!$A$1:$I$89,3,0)*VLOOKUP('Données projet'!$B$10,Paramètres!$A$1:$I$89,5,0)</f>
        <v>202.77400000000014</v>
      </c>
      <c r="AK72" s="14">
        <f t="shared" si="89"/>
        <v>50.353319363225992</v>
      </c>
      <c r="AL72" s="22">
        <f t="shared" si="58"/>
        <v>440.86341455761885</v>
      </c>
      <c r="AM72" s="62">
        <f t="shared" si="59"/>
        <v>734.19674789095211</v>
      </c>
      <c r="AN72" s="62">
        <f ca="1">AVERAGE(OFFSET($AM$3,0,0,'Données projet'!$E$10+1,1))-AVERAGE(OFFSET($H$3,0,0,'Données projet'!$E$10+1,1))</f>
        <v>258.09881752732008</v>
      </c>
      <c r="AO72" s="62">
        <f t="shared" si="90"/>
        <v>214.72899476643335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1.8529039598039841E-6</v>
      </c>
      <c r="AX72" s="23">
        <f t="shared" si="60"/>
        <v>1.8529039598039841E-6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5.2</v>
      </c>
      <c r="BD72" s="13">
        <f>IF('Données projet'!$A$88&gt;35,BD71+BC72-BL71,IF(A72&lt;'Données projet'!$A$88,$BA$205^A72,IF(A72='Données projet'!$A$88,'Données projet'!$B$88,BD71+BC72-BL71)))</f>
        <v>167.79999999999981</v>
      </c>
      <c r="BE72" s="14">
        <f>BD72*VLOOKUP('Données projet'!$B$11,Paramètres!$A$1:$I$89,3,0)*VLOOKUP('Données projet'!$B$11,Paramètres!$A$1:$I$89,5,0)</f>
        <v>162.29615999999984</v>
      </c>
      <c r="BF72" s="14">
        <f t="shared" si="91"/>
        <v>41.359990427678127</v>
      </c>
      <c r="BG72" s="22">
        <f t="shared" si="61"/>
        <v>354.70112866153909</v>
      </c>
      <c r="BH72" s="62">
        <f t="shared" si="62"/>
        <v>648.03446199487234</v>
      </c>
      <c r="BI72" s="62">
        <f ca="1">AVERAGE(OFFSET($BH$3,0,0,'Données projet'!$E$11+1,1))-AVERAGE(OFFSET($H$3,0,0,'Données projet'!$E$11+1,1))</f>
        <v>298.18906674058809</v>
      </c>
      <c r="BJ72" s="62">
        <f t="shared" si="92"/>
        <v>154.08406475869634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5.2</v>
      </c>
      <c r="BY72" s="13">
        <f>IF('Données projet'!$A$114&gt;35,BY71+BX72-CG71,IF(A72&lt;'Données projet'!$A$114,$BV$205^A72,IF(A72='Données projet'!$A$114,'Données projet'!$B$114,BY71+BX72-CG71)))</f>
        <v>167.79999999999981</v>
      </c>
      <c r="BZ72" s="14">
        <f>BY72*VLOOKUP('Données projet'!$B$12,Paramètres!$A$1:$I$89,3,0)*VLOOKUP('Données projet'!$B$12,Paramètres!$A$1:$I$89,5,0)</f>
        <v>112.56023999999989</v>
      </c>
      <c r="CA72" s="14">
        <f t="shared" si="93"/>
        <v>29.933386965592501</v>
      </c>
      <c r="CB72" s="22">
        <f t="shared" si="64"/>
        <v>248.17640029840672</v>
      </c>
      <c r="CC72" s="62">
        <f t="shared" si="65"/>
        <v>541.50973363174</v>
      </c>
      <c r="CD72" s="62">
        <f ca="1">AVERAGE(OFFSET($CC$3,0,0,'Données projet'!$E$12+1,1))-AVERAGE(OFFSET($H$3,0,0,'Données projet'!$E$12+1,1))</f>
        <v>218.24409784339861</v>
      </c>
      <c r="CE72" s="62">
        <f t="shared" si="94"/>
        <v>118.89963447540509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293.3333333333353</v>
      </c>
      <c r="S73" s="62">
        <f ca="1">AVERAGE(OFFSET($R$3,0,0,'Données projet'!$E$9+1,1))-AVERAGE(OFFSET($H$3,0,0,'Données projet'!$E$9+1,1))</f>
        <v>257.80952690600492</v>
      </c>
      <c r="T73" s="62">
        <f t="shared" si="88"/>
        <v>269.95358755269427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1.5107930171744393</v>
      </c>
      <c r="AA73" s="23">
        <f>EXP(-LN(2)/25)*AA72+(1-EXP(-LN(2)/25))/(LN(2)/25)*Calculateur!V73*Calculateur!X73*VLOOKUP('Données projet'!$B$9,Paramètres!$A$1:$I$89,3,0)*0.475*44/12</f>
        <v>2.6765296671235079</v>
      </c>
      <c r="AB73" s="23">
        <f>EXP(-LN(2)/2)*AB72+(1-EXP(-LN(2)/2))/(LN(2)/2)*V73*Y73*VLOOKUP('Données projet'!$B$9,Paramètres!$A$1:$I$89,3,0)*0.475*44/12</f>
        <v>1.2574723574148781E-5</v>
      </c>
      <c r="AC73" s="24">
        <f t="shared" si="57"/>
        <v>4.1873352590215216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364</v>
      </c>
      <c r="AG73" s="13">
        <f>VLOOKUP(A73,'Données projet'!$A$61:$I$81,9,0)</f>
        <v>9.5</v>
      </c>
      <c r="AH73" s="13">
        <f t="array" ref="AH73">INDEX(AG:AG,MIN(IF(ISNUMBER(AG73:AG269),ROW(AG73:AG269),"")))</f>
        <v>9.5</v>
      </c>
      <c r="AI73" s="14">
        <f>IF('Données projet'!$A$62&gt;35,AI72+AH73-AQ72,IF(A73&lt;'Données projet'!$A$62,$AF$205^A73,IF(A73='Données projet'!$A$62,'Données projet'!$B$62,AI72+AH73-AQ72)))</f>
        <v>364.00000000000023</v>
      </c>
      <c r="AJ73" s="14">
        <f>AI73*VLOOKUP('Données projet'!$B$10,Paramètres!$A$1:$I$89,3,0)*VLOOKUP('Données projet'!$B$10,Paramètres!$A$1:$I$89,5,0)</f>
        <v>208.20800000000014</v>
      </c>
      <c r="AK73" s="14">
        <f t="shared" si="89"/>
        <v>51.543793509070333</v>
      </c>
      <c r="AL73" s="22">
        <f t="shared" si="58"/>
        <v>452.40104036163103</v>
      </c>
      <c r="AM73" s="62">
        <f t="shared" si="59"/>
        <v>745.73437369496435</v>
      </c>
      <c r="AN73" s="62">
        <f ca="1">AVERAGE(OFFSET($AM$3,0,0,'Données projet'!$E$10+1,1))-AVERAGE(OFFSET($H$3,0,0,'Données projet'!$E$10+1,1))</f>
        <v>258.09881752732008</v>
      </c>
      <c r="AO73" s="62">
        <f t="shared" si="90"/>
        <v>214.72899476643335</v>
      </c>
      <c r="AP73" s="16">
        <f>IF(ISNA(VLOOKUP(A73,'Données projet'!$A$61:$I$81,3,0)),0,VLOOKUP(A73,'Données projet'!$A$61:$I$81,3,0))</f>
        <v>7</v>
      </c>
      <c r="AQ73" s="16">
        <f>IF(ISNA(VLOOKUP(A73,'Données projet'!$A$61:$I$81,4,0)),0,VLOOKUP(A73,'Données projet'!$A$61:$I$81,4,0))</f>
        <v>52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1.3102009548648033E-6</v>
      </c>
      <c r="AX73" s="23">
        <f t="shared" si="60"/>
        <v>1.3102009548648033E-6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173</v>
      </c>
      <c r="BB73" s="13">
        <f>VLOOKUP(A73,'Données projet'!$A$87:$I$107,9,0)</f>
        <v>5.2</v>
      </c>
      <c r="BC73" s="13">
        <f t="array" ref="BC73">INDEX(BB:BB,MIN(IF(ISNUMBER(BB73:BB269),ROW(BB73:BB269),"")))</f>
        <v>5.2</v>
      </c>
      <c r="BD73" s="13">
        <f>IF('Données projet'!$A$88&gt;35,BD72+BC73-BL72,IF(A73&lt;'Données projet'!$A$88,$BA$205^A73,IF(A73='Données projet'!$A$88,'Données projet'!$B$88,BD72+BC73-BL72)))</f>
        <v>172.9999999999998</v>
      </c>
      <c r="BE73" s="14">
        <f>BD73*VLOOKUP('Données projet'!$B$11,Paramètres!$A$1:$I$89,3,0)*VLOOKUP('Données projet'!$B$11,Paramètres!$A$1:$I$89,5,0)</f>
        <v>167.32559999999981</v>
      </c>
      <c r="BF73" s="14">
        <f t="shared" si="91"/>
        <v>42.490495297127566</v>
      </c>
      <c r="BG73" s="22">
        <f t="shared" si="61"/>
        <v>365.42969930916348</v>
      </c>
      <c r="BH73" s="62">
        <f t="shared" si="62"/>
        <v>658.7630326424968</v>
      </c>
      <c r="BI73" s="62">
        <f ca="1">AVERAGE(OFFSET($BH$3,0,0,'Données projet'!$E$11+1,1))-AVERAGE(OFFSET($H$3,0,0,'Données projet'!$E$11+1,1))</f>
        <v>298.18906674058809</v>
      </c>
      <c r="BJ73" s="62">
        <f t="shared" si="92"/>
        <v>154.08406475869634</v>
      </c>
      <c r="BK73" s="16">
        <f>IF(ISNA(VLOOKUP(A73,'Données projet'!$A$87:$I$107,3,0)),0,VLOOKUP(A73,'Données projet'!$A$87:$I$107,3,0))</f>
        <v>10</v>
      </c>
      <c r="BL73" s="16">
        <f>IF(ISNA(VLOOKUP(A73,'Données projet'!$A$87:$I$107,4,0)),0,VLOOKUP(A73,'Données projet'!$A$87:$I$107,4,0))</f>
        <v>14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173</v>
      </c>
      <c r="BW73" s="13">
        <f>VLOOKUP(A73,'Données projet'!$A$113:$I$133,9,0)</f>
        <v>5.2</v>
      </c>
      <c r="BX73" s="13">
        <f t="array" ref="BX73">INDEX(BW:BW,MIN(IF(ISNUMBER(BW73:BW269),ROW(BW73:BW269),"")))</f>
        <v>5.2</v>
      </c>
      <c r="BY73" s="13">
        <f>IF('Données projet'!$A$114&gt;35,BY72+BX73-CG72,IF(A73&lt;'Données projet'!$A$114,$BV$205^A73,IF(A73='Données projet'!$A$114,'Données projet'!$B$114,BY72+BX73-CG72)))</f>
        <v>172.9999999999998</v>
      </c>
      <c r="BZ73" s="14">
        <f>BY73*VLOOKUP('Données projet'!$B$12,Paramètres!$A$1:$I$89,3,0)*VLOOKUP('Données projet'!$B$12,Paramètres!$A$1:$I$89,5,0)</f>
        <v>116.04839999999987</v>
      </c>
      <c r="CA73" s="14">
        <f t="shared" si="93"/>
        <v>30.751565097980826</v>
      </c>
      <c r="CB73" s="22">
        <f t="shared" si="64"/>
        <v>255.67660587898308</v>
      </c>
      <c r="CC73" s="62">
        <f t="shared" si="65"/>
        <v>549.00993921231634</v>
      </c>
      <c r="CD73" s="62">
        <f ca="1">AVERAGE(OFFSET($CC$3,0,0,'Données projet'!$E$12+1,1))-AVERAGE(OFFSET($H$3,0,0,'Données projet'!$E$12+1,1))</f>
        <v>218.24409784339861</v>
      </c>
      <c r="CE73" s="62">
        <f t="shared" si="94"/>
        <v>118.89963447540509</v>
      </c>
      <c r="CF73" s="16">
        <f>IF(ISNA(VLOOKUP(A73,'Données projet'!$A$113:$I$133,3,0)),0,VLOOKUP(A73,'Données projet'!$A$113:$I$133,3,0))</f>
        <v>10</v>
      </c>
      <c r="CG73" s="16">
        <f>IF(ISNA(VLOOKUP(A73,'Données projet'!$A$113:$I$133,4,0)),0,VLOOKUP(A73,'Données projet'!$A$113:$I$133,4,0))</f>
        <v>14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293.3333333333353</v>
      </c>
      <c r="S74" s="62">
        <f ca="1">AVERAGE(OFFSET($R$3,0,0,'Données projet'!$E$9+1,1))-AVERAGE(OFFSET($H$3,0,0,'Données projet'!$E$9+1,1))</f>
        <v>257.80952690600492</v>
      </c>
      <c r="T74" s="62">
        <f t="shared" si="88"/>
        <v>269.95358755269427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1.4811672876003992</v>
      </c>
      <c r="AA74" s="23">
        <f>EXP(-LN(2)/25)*AA73+(1-EXP(-LN(2)/25))/(LN(2)/25)*Calculateur!V74*Calculateur!X74*VLOOKUP('Données projet'!$B$9,Paramètres!$A$1:$I$89,3,0)*0.475*44/12</f>
        <v>2.6033398226234379</v>
      </c>
      <c r="AB74" s="23">
        <f>EXP(-LN(2)/2)*AB73+(1-EXP(-LN(2)/2))/(LN(2)/2)*V74*Y74*VLOOKUP('Données projet'!$B$9,Paramètres!$A$1:$I$89,3,0)*0.475*44/12</f>
        <v>8.8916723108269427E-6</v>
      </c>
      <c r="AC74" s="24">
        <f t="shared" si="57"/>
        <v>4.0845160018961479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8.3000000000000007</v>
      </c>
      <c r="AI74" s="14">
        <f>IF('Données projet'!$A$62&gt;35,AI73+AH74-AQ73,IF(A74&lt;'Données projet'!$A$62,$AF$205^A74,IF(A74='Données projet'!$A$62,'Données projet'!$B$62,AI73+AH74-AQ73)))</f>
        <v>320.30000000000024</v>
      </c>
      <c r="AJ74" s="14">
        <f>AI74*VLOOKUP('Données projet'!$B$10,Paramètres!$A$1:$I$89,3,0)*VLOOKUP('Données projet'!$B$10,Paramètres!$A$1:$I$89,5,0)</f>
        <v>183.21160000000015</v>
      </c>
      <c r="AK74" s="14">
        <f t="shared" si="89"/>
        <v>46.035970904955342</v>
      </c>
      <c r="AL74" s="22">
        <f t="shared" si="58"/>
        <v>399.27285265946415</v>
      </c>
      <c r="AM74" s="62">
        <f t="shared" si="59"/>
        <v>692.60618599279746</v>
      </c>
      <c r="AN74" s="62">
        <f ca="1">AVERAGE(OFFSET($AM$3,0,0,'Données projet'!$E$10+1,1))-AVERAGE(OFFSET($H$3,0,0,'Données projet'!$E$10+1,1))</f>
        <v>258.09881752732008</v>
      </c>
      <c r="AO74" s="62">
        <f t="shared" si="90"/>
        <v>214.72899476643335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9.2645197990199217E-7</v>
      </c>
      <c r="AX74" s="23">
        <f t="shared" si="60"/>
        <v>9.2645197990199217E-7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4.8</v>
      </c>
      <c r="BD74" s="13">
        <f>IF('Données projet'!$A$88&gt;35,BD73+BC74-BL73,IF(A74&lt;'Données projet'!$A$88,$BA$205^A74,IF(A74='Données projet'!$A$88,'Données projet'!$B$88,BD73+BC74-BL73)))</f>
        <v>163.79999999999981</v>
      </c>
      <c r="BE74" s="14">
        <f>BD74*VLOOKUP('Données projet'!$B$11,Paramètres!$A$1:$I$89,3,0)*VLOOKUP('Données projet'!$B$11,Paramètres!$A$1:$I$89,5,0)</f>
        <v>158.42735999999982</v>
      </c>
      <c r="BF74" s="14">
        <f t="shared" si="91"/>
        <v>40.487598405868177</v>
      </c>
      <c r="BG74" s="22">
        <f t="shared" si="61"/>
        <v>346.44355255688674</v>
      </c>
      <c r="BH74" s="62">
        <f t="shared" si="62"/>
        <v>639.77688589022</v>
      </c>
      <c r="BI74" s="62">
        <f ca="1">AVERAGE(OFFSET($BH$3,0,0,'Données projet'!$E$11+1,1))-AVERAGE(OFFSET($H$3,0,0,'Données projet'!$E$11+1,1))</f>
        <v>298.18906674058809</v>
      </c>
      <c r="BJ74" s="62">
        <f t="shared" si="92"/>
        <v>154.08406475869634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4.8</v>
      </c>
      <c r="BY74" s="13">
        <f>IF('Données projet'!$A$114&gt;35,BY73+BX74-CG73,IF(A74&lt;'Données projet'!$A$114,$BV$205^A74,IF(A74='Données projet'!$A$114,'Données projet'!$B$114,BY73+BX74-CG73)))</f>
        <v>163.79999999999981</v>
      </c>
      <c r="BZ74" s="14">
        <f>BY74*VLOOKUP('Données projet'!$B$12,Paramètres!$A$1:$I$89,3,0)*VLOOKUP('Données projet'!$B$12,Paramètres!$A$1:$I$89,5,0)</f>
        <v>109.87703999999987</v>
      </c>
      <c r="CA74" s="14">
        <f t="shared" si="93"/>
        <v>29.302012351998354</v>
      </c>
      <c r="CB74" s="22">
        <f t="shared" si="64"/>
        <v>242.40351617973022</v>
      </c>
      <c r="CC74" s="62">
        <f t="shared" si="65"/>
        <v>535.73684951306359</v>
      </c>
      <c r="CD74" s="62">
        <f ca="1">AVERAGE(OFFSET($CC$3,0,0,'Données projet'!$E$12+1,1))-AVERAGE(OFFSET($H$3,0,0,'Données projet'!$E$12+1,1))</f>
        <v>218.24409784339861</v>
      </c>
      <c r="CE74" s="62">
        <f t="shared" si="94"/>
        <v>118.89963447540509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293.3333333333353</v>
      </c>
      <c r="S75" s="62">
        <f ca="1">AVERAGE(OFFSET($R$3,0,0,'Données projet'!$E$9+1,1))-AVERAGE(OFFSET($H$3,0,0,'Données projet'!$E$9+1,1))</f>
        <v>257.80952690600492</v>
      </c>
      <c r="T75" s="62">
        <f t="shared" si="88"/>
        <v>269.95358755269427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1.4521225005133951</v>
      </c>
      <c r="AA75" s="23">
        <f>EXP(-LN(2)/25)*AA74+(1-EXP(-LN(2)/25))/(LN(2)/25)*Calculateur!V75*Calculateur!X75*VLOOKUP('Données projet'!$B$9,Paramètres!$A$1:$I$89,3,0)*0.475*44/12</f>
        <v>2.5321513582701085</v>
      </c>
      <c r="AB75" s="23">
        <f>EXP(-LN(2)/2)*AB74+(1-EXP(-LN(2)/2))/(LN(2)/2)*V75*Y75*VLOOKUP('Données projet'!$B$9,Paramètres!$A$1:$I$89,3,0)*0.475*44/12</f>
        <v>6.2873617870743904E-6</v>
      </c>
      <c r="AC75" s="24">
        <f t="shared" si="57"/>
        <v>3.984280146145291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8.3000000000000007</v>
      </c>
      <c r="AI75" s="14">
        <f>IF('Données projet'!$A$62&gt;35,AI74+AH75-AQ74,IF(A75&lt;'Données projet'!$A$62,$AF$205^A75,IF(A75='Données projet'!$A$62,'Données projet'!$B$62,AI74+AH75-AQ74)))</f>
        <v>328.60000000000025</v>
      </c>
      <c r="AJ75" s="14">
        <f>AI75*VLOOKUP('Données projet'!$B$10,Paramètres!$A$1:$I$89,3,0)*VLOOKUP('Données projet'!$B$10,Paramètres!$A$1:$I$89,5,0)</f>
        <v>187.95920000000015</v>
      </c>
      <c r="AK75" s="14">
        <f t="shared" si="89"/>
        <v>47.088477759834014</v>
      </c>
      <c r="AL75" s="22">
        <f t="shared" si="58"/>
        <v>409.37470543171111</v>
      </c>
      <c r="AM75" s="62">
        <f t="shared" si="59"/>
        <v>702.70803876504442</v>
      </c>
      <c r="AN75" s="62">
        <f ca="1">AVERAGE(OFFSET($AM$3,0,0,'Données projet'!$E$10+1,1))-AVERAGE(OFFSET($H$3,0,0,'Données projet'!$E$10+1,1))</f>
        <v>258.09881752732008</v>
      </c>
      <c r="AO75" s="62">
        <f t="shared" si="90"/>
        <v>214.72899476643335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6.5510047743240176E-7</v>
      </c>
      <c r="AX75" s="23">
        <f t="shared" si="60"/>
        <v>6.5510047743240176E-7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4.8</v>
      </c>
      <c r="BD75" s="13">
        <f>IF('Données projet'!$A$88&gt;35,BD74+BC75-BL74,IF(A75&lt;'Données projet'!$A$88,$BA$205^A75,IF(A75='Données projet'!$A$88,'Données projet'!$B$88,BD74+BC75-BL74)))</f>
        <v>168.59999999999982</v>
      </c>
      <c r="BE75" s="14">
        <f>BD75*VLOOKUP('Données projet'!$B$11,Paramètres!$A$1:$I$89,3,0)*VLOOKUP('Données projet'!$B$11,Paramètres!$A$1:$I$89,5,0)</f>
        <v>163.06991999999985</v>
      </c>
      <c r="BF75" s="14">
        <f t="shared" si="91"/>
        <v>41.534176673396168</v>
      </c>
      <c r="BG75" s="22">
        <f t="shared" si="61"/>
        <v>356.35213503949808</v>
      </c>
      <c r="BH75" s="62">
        <f t="shared" si="62"/>
        <v>649.68546837283134</v>
      </c>
      <c r="BI75" s="62">
        <f ca="1">AVERAGE(OFFSET($BH$3,0,0,'Données projet'!$E$11+1,1))-AVERAGE(OFFSET($H$3,0,0,'Données projet'!$E$11+1,1))</f>
        <v>298.18906674058809</v>
      </c>
      <c r="BJ75" s="62">
        <f t="shared" si="92"/>
        <v>154.08406475869634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4.8</v>
      </c>
      <c r="BY75" s="13">
        <f>IF('Données projet'!$A$114&gt;35,BY74+BX75-CG74,IF(A75&lt;'Données projet'!$A$114,$BV$205^A75,IF(A75='Données projet'!$A$114,'Données projet'!$B$114,BY74+BX75-CG74)))</f>
        <v>168.59999999999982</v>
      </c>
      <c r="BZ75" s="14">
        <f>BY75*VLOOKUP('Données projet'!$B$12,Paramètres!$A$1:$I$89,3,0)*VLOOKUP('Données projet'!$B$12,Paramètres!$A$1:$I$89,5,0)</f>
        <v>113.09687999999989</v>
      </c>
      <c r="CA75" s="14">
        <f t="shared" si="93"/>
        <v>30.059450444893326</v>
      </c>
      <c r="CB75" s="22">
        <f t="shared" si="64"/>
        <v>249.33060885818895</v>
      </c>
      <c r="CC75" s="62">
        <f t="shared" si="65"/>
        <v>542.66394219152221</v>
      </c>
      <c r="CD75" s="62">
        <f ca="1">AVERAGE(OFFSET($CC$3,0,0,'Données projet'!$E$12+1,1))-AVERAGE(OFFSET($H$3,0,0,'Données projet'!$E$12+1,1))</f>
        <v>218.24409784339861</v>
      </c>
      <c r="CE75" s="62">
        <f t="shared" si="94"/>
        <v>118.89963447540509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293.3333333333353</v>
      </c>
      <c r="S76" s="62">
        <f ca="1">AVERAGE(OFFSET($R$3,0,0,'Données projet'!$E$9+1,1))-AVERAGE(OFFSET($H$3,0,0,'Données projet'!$E$9+1,1))</f>
        <v>257.80952690600492</v>
      </c>
      <c r="T76" s="62">
        <f t="shared" si="88"/>
        <v>269.95358755269427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1.4236472639855964</v>
      </c>
      <c r="AA76" s="23">
        <f>EXP(-LN(2)/25)*AA75+(1-EXP(-LN(2)/25))/(LN(2)/25)*Calculateur!V76*Calculateur!X76*VLOOKUP('Données projet'!$B$9,Paramètres!$A$1:$I$89,3,0)*0.475*44/12</f>
        <v>2.4629095462181598</v>
      </c>
      <c r="AB76" s="23">
        <f>EXP(-LN(2)/2)*AB75+(1-EXP(-LN(2)/2))/(LN(2)/2)*V76*Y76*VLOOKUP('Données projet'!$B$9,Paramètres!$A$1:$I$89,3,0)*0.475*44/12</f>
        <v>4.4458361554134713E-6</v>
      </c>
      <c r="AC76" s="24">
        <f t="shared" si="57"/>
        <v>3.8865612560399114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8.3000000000000007</v>
      </c>
      <c r="AI76" s="14">
        <f>IF('Données projet'!$A$62&gt;35,AI75+AH76-AQ75,IF(A76&lt;'Données projet'!$A$62,$AF$205^A76,IF(A76='Données projet'!$A$62,'Données projet'!$B$62,AI75+AH76-AQ75)))</f>
        <v>336.90000000000026</v>
      </c>
      <c r="AJ76" s="14">
        <f>AI76*VLOOKUP('Données projet'!$B$10,Paramètres!$A$1:$I$89,3,0)*VLOOKUP('Données projet'!$B$10,Paramètres!$A$1:$I$89,5,0)</f>
        <v>192.70680000000013</v>
      </c>
      <c r="AK76" s="14">
        <f t="shared" si="89"/>
        <v>48.137894326591152</v>
      </c>
      <c r="AL76" s="22">
        <f t="shared" si="58"/>
        <v>419.4711759521465</v>
      </c>
      <c r="AM76" s="62">
        <f t="shared" si="59"/>
        <v>712.80450928547975</v>
      </c>
      <c r="AN76" s="62">
        <f ca="1">AVERAGE(OFFSET($AM$3,0,0,'Données projet'!$E$10+1,1))-AVERAGE(OFFSET($H$3,0,0,'Données projet'!$E$10+1,1))</f>
        <v>258.09881752732008</v>
      </c>
      <c r="AO76" s="62">
        <f t="shared" si="90"/>
        <v>214.72899476643335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4.6322598995099614E-7</v>
      </c>
      <c r="AX76" s="23">
        <f t="shared" si="60"/>
        <v>4.6322598995099614E-7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4.8</v>
      </c>
      <c r="BD76" s="13">
        <f>IF('Données projet'!$A$88&gt;35,BD75+BC76-BL75,IF(A76&lt;'Données projet'!$A$88,$BA$205^A76,IF(A76='Données projet'!$A$88,'Données projet'!$B$88,BD75+BC76-BL75)))</f>
        <v>173.39999999999984</v>
      </c>
      <c r="BE76" s="14">
        <f>BD76*VLOOKUP('Données projet'!$B$11,Paramètres!$A$1:$I$89,3,0)*VLOOKUP('Données projet'!$B$11,Paramètres!$A$1:$I$89,5,0)</f>
        <v>167.71247999999986</v>
      </c>
      <c r="BF76" s="14">
        <f t="shared" si="91"/>
        <v>42.577291953177607</v>
      </c>
      <c r="BG76" s="22">
        <f t="shared" si="61"/>
        <v>366.25468615178403</v>
      </c>
      <c r="BH76" s="62">
        <f t="shared" si="62"/>
        <v>659.58801948511734</v>
      </c>
      <c r="BI76" s="62">
        <f ca="1">AVERAGE(OFFSET($BH$3,0,0,'Données projet'!$E$11+1,1))-AVERAGE(OFFSET($H$3,0,0,'Données projet'!$E$11+1,1))</f>
        <v>298.18906674058809</v>
      </c>
      <c r="BJ76" s="62">
        <f t="shared" si="92"/>
        <v>154.08406475869634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4.8</v>
      </c>
      <c r="BY76" s="13">
        <f>IF('Données projet'!$A$114&gt;35,BY75+BX76-CG75,IF(A76&lt;'Données projet'!$A$114,$BV$205^A76,IF(A76='Données projet'!$A$114,'Données projet'!$B$114,BY75+BX76-CG75)))</f>
        <v>173.39999999999984</v>
      </c>
      <c r="BZ76" s="14">
        <f>BY76*VLOOKUP('Données projet'!$B$12,Paramètres!$A$1:$I$89,3,0)*VLOOKUP('Données projet'!$B$12,Paramètres!$A$1:$I$89,5,0)</f>
        <v>116.31671999999989</v>
      </c>
      <c r="CA76" s="14">
        <f t="shared" si="93"/>
        <v>30.814382276273175</v>
      </c>
      <c r="CB76" s="22">
        <f t="shared" si="64"/>
        <v>256.25333646450889</v>
      </c>
      <c r="CC76" s="62">
        <f t="shared" si="65"/>
        <v>549.58666979784221</v>
      </c>
      <c r="CD76" s="62">
        <f ca="1">AVERAGE(OFFSET($CC$3,0,0,'Données projet'!$E$12+1,1))-AVERAGE(OFFSET($H$3,0,0,'Données projet'!$E$12+1,1))</f>
        <v>218.24409784339861</v>
      </c>
      <c r="CE76" s="62">
        <f t="shared" si="94"/>
        <v>118.89963447540509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293.3333333333353</v>
      </c>
      <c r="S77" s="62">
        <f ca="1">AVERAGE(OFFSET($R$3,0,0,'Données projet'!$E$9+1,1))-AVERAGE(OFFSET($H$3,0,0,'Données projet'!$E$9+1,1))</f>
        <v>257.80952690600492</v>
      </c>
      <c r="T77" s="62">
        <f t="shared" si="88"/>
        <v>269.95358755269427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1.3957304094779286</v>
      </c>
      <c r="AA77" s="23">
        <f>EXP(-LN(2)/25)*AA76+(1-EXP(-LN(2)/25))/(LN(2)/25)*Calculateur!V77*Calculateur!X77*VLOOKUP('Données projet'!$B$9,Paramètres!$A$1:$I$89,3,0)*0.475*44/12</f>
        <v>2.3955611551580405</v>
      </c>
      <c r="AB77" s="23">
        <f>EXP(-LN(2)/2)*AB76+(1-EXP(-LN(2)/2))/(LN(2)/2)*V77*Y77*VLOOKUP('Données projet'!$B$9,Paramètres!$A$1:$I$89,3,0)*0.475*44/12</f>
        <v>3.1436808935371952E-6</v>
      </c>
      <c r="AC77" s="24">
        <f t="shared" si="57"/>
        <v>3.7912947083168627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8.3000000000000007</v>
      </c>
      <c r="AI77" s="14">
        <f>IF('Données projet'!$A$62&gt;35,AI76+AH77-AQ76,IF(A77&lt;'Données projet'!$A$62,$AF$205^A77,IF(A77='Données projet'!$A$62,'Données projet'!$B$62,AI76+AH77-AQ76)))</f>
        <v>345.20000000000027</v>
      </c>
      <c r="AJ77" s="14">
        <f>AI77*VLOOKUP('Données projet'!$B$10,Paramètres!$A$1:$I$89,3,0)*VLOOKUP('Données projet'!$B$10,Paramètres!$A$1:$I$89,5,0)</f>
        <v>197.45440000000016</v>
      </c>
      <c r="AK77" s="14">
        <f t="shared" si="89"/>
        <v>49.184305496332875</v>
      </c>
      <c r="AL77" s="22">
        <f t="shared" si="58"/>
        <v>429.56241207278003</v>
      </c>
      <c r="AM77" s="62">
        <f t="shared" si="59"/>
        <v>722.89574540611329</v>
      </c>
      <c r="AN77" s="62">
        <f ca="1">AVERAGE(OFFSET($AM$3,0,0,'Données projet'!$E$10+1,1))-AVERAGE(OFFSET($H$3,0,0,'Données projet'!$E$10+1,1))</f>
        <v>258.09881752732008</v>
      </c>
      <c r="AO77" s="62">
        <f t="shared" si="90"/>
        <v>214.72899476643335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3.2755023871620093E-7</v>
      </c>
      <c r="AX77" s="23">
        <f t="shared" si="60"/>
        <v>3.2755023871620093E-7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4.8</v>
      </c>
      <c r="BD77" s="13">
        <f>IF('Données projet'!$A$88&gt;35,BD76+BC77-BL76,IF(A77&lt;'Données projet'!$A$88,$BA$205^A77,IF(A77='Données projet'!$A$88,'Données projet'!$B$88,BD76+BC77-BL76)))</f>
        <v>178.19999999999985</v>
      </c>
      <c r="BE77" s="14">
        <f>BD77*VLOOKUP('Données projet'!$B$11,Paramètres!$A$1:$I$89,3,0)*VLOOKUP('Données projet'!$B$11,Paramètres!$A$1:$I$89,5,0)</f>
        <v>172.35503999999986</v>
      </c>
      <c r="BF77" s="14">
        <f t="shared" si="91"/>
        <v>43.617051120131656</v>
      </c>
      <c r="BG77" s="22">
        <f t="shared" si="61"/>
        <v>376.15139203422905</v>
      </c>
      <c r="BH77" s="62">
        <f t="shared" si="62"/>
        <v>669.48472536756231</v>
      </c>
      <c r="BI77" s="62">
        <f ca="1">AVERAGE(OFFSET($BH$3,0,0,'Données projet'!$E$11+1,1))-AVERAGE(OFFSET($H$3,0,0,'Données projet'!$E$11+1,1))</f>
        <v>298.18906674058809</v>
      </c>
      <c r="BJ77" s="62">
        <f t="shared" si="92"/>
        <v>154.08406475869634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4.8</v>
      </c>
      <c r="BY77" s="13">
        <f>IF('Données projet'!$A$114&gt;35,BY76+BX77-CG76,IF(A77&lt;'Données projet'!$A$114,$BV$205^A77,IF(A77='Données projet'!$A$114,'Données projet'!$B$114,BY76+BX77-CG76)))</f>
        <v>178.19999999999985</v>
      </c>
      <c r="BZ77" s="14">
        <f>BY77*VLOOKUP('Données projet'!$B$12,Paramètres!$A$1:$I$89,3,0)*VLOOKUP('Données projet'!$B$12,Paramètres!$A$1:$I$89,5,0)</f>
        <v>119.53655999999989</v>
      </c>
      <c r="CA77" s="14">
        <f t="shared" si="93"/>
        <v>31.566885194519251</v>
      </c>
      <c r="CB77" s="22">
        <f t="shared" si="64"/>
        <v>263.17183371378752</v>
      </c>
      <c r="CC77" s="62">
        <f t="shared" si="65"/>
        <v>556.50516704712084</v>
      </c>
      <c r="CD77" s="62">
        <f ca="1">AVERAGE(OFFSET($CC$3,0,0,'Données projet'!$E$12+1,1))-AVERAGE(OFFSET($H$3,0,0,'Données projet'!$E$12+1,1))</f>
        <v>218.24409784339861</v>
      </c>
      <c r="CE77" s="62">
        <f t="shared" si="94"/>
        <v>118.89963447540509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293.3333333333353</v>
      </c>
      <c r="S78" s="62">
        <f ca="1">AVERAGE(OFFSET($R$3,0,0,'Données projet'!$E$9+1,1))-AVERAGE(OFFSET($H$3,0,0,'Données projet'!$E$9+1,1))</f>
        <v>257.80952690600492</v>
      </c>
      <c r="T78" s="62">
        <f t="shared" si="88"/>
        <v>269.95358755269427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1.3683609874595561</v>
      </c>
      <c r="AA78" s="23">
        <f>EXP(-LN(2)/25)*AA77+(1-EXP(-LN(2)/25))/(LN(2)/25)*Calculateur!V78*Calculateur!X78*VLOOKUP('Données projet'!$B$9,Paramètres!$A$1:$I$89,3,0)*0.475*44/12</f>
        <v>2.3300544093931577</v>
      </c>
      <c r="AB78" s="23">
        <f>EXP(-LN(2)/2)*AB77+(1-EXP(-LN(2)/2))/(LN(2)/2)*V78*Y78*VLOOKUP('Données projet'!$B$9,Paramètres!$A$1:$I$89,3,0)*0.475*44/12</f>
        <v>2.2229180777067357E-6</v>
      </c>
      <c r="AC78" s="24">
        <f t="shared" si="57"/>
        <v>3.6984176197707916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8.3000000000000007</v>
      </c>
      <c r="AI78" s="14">
        <f>IF('Données projet'!$A$62&gt;35,AI77+AH78-AQ77,IF(A78&lt;'Données projet'!$A$62,$AF$205^A78,IF(A78='Données projet'!$A$62,'Données projet'!$B$62,AI77+AH78-AQ77)))</f>
        <v>353.50000000000028</v>
      </c>
      <c r="AJ78" s="14">
        <f>AI78*VLOOKUP('Données projet'!$B$10,Paramètres!$A$1:$I$89,3,0)*VLOOKUP('Données projet'!$B$10,Paramètres!$A$1:$I$89,5,0)</f>
        <v>202.20200000000017</v>
      </c>
      <c r="AK78" s="14">
        <f t="shared" si="89"/>
        <v>50.227791845116791</v>
      </c>
      <c r="AL78" s="22">
        <f t="shared" si="58"/>
        <v>439.64855413024537</v>
      </c>
      <c r="AM78" s="62">
        <f t="shared" si="59"/>
        <v>732.98188746357869</v>
      </c>
      <c r="AN78" s="62">
        <f ca="1">AVERAGE(OFFSET($AM$3,0,0,'Données projet'!$E$10+1,1))-AVERAGE(OFFSET($H$3,0,0,'Données projet'!$E$10+1,1))</f>
        <v>258.09881752732008</v>
      </c>
      <c r="AO78" s="62">
        <f t="shared" si="90"/>
        <v>214.72899476643335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2.3161299497549812E-7</v>
      </c>
      <c r="AX78" s="23">
        <f t="shared" si="60"/>
        <v>2.3161299497549812E-7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183</v>
      </c>
      <c r="BB78" s="13">
        <f>VLOOKUP(A78,'Données projet'!$A$87:$I$107,9,0)</f>
        <v>4.8</v>
      </c>
      <c r="BC78" s="13">
        <f t="array" ref="BC78">INDEX(BB:BB,MIN(IF(ISNUMBER(BB78:BB274),ROW(BB78:BB274),"")))</f>
        <v>4.8</v>
      </c>
      <c r="BD78" s="13">
        <f>IF('Données projet'!$A$88&gt;35,BD77+BC78-BL77,IF(A78&lt;'Données projet'!$A$88,$BA$205^A78,IF(A78='Données projet'!$A$88,'Données projet'!$B$88,BD77+BC78-BL77)))</f>
        <v>182.99999999999986</v>
      </c>
      <c r="BE78" s="14">
        <f>BD78*VLOOKUP('Données projet'!$B$11,Paramètres!$A$1:$I$89,3,0)*VLOOKUP('Données projet'!$B$11,Paramètres!$A$1:$I$89,5,0)</f>
        <v>176.99759999999986</v>
      </c>
      <c r="BF78" s="14">
        <f t="shared" si="91"/>
        <v>44.653554963834011</v>
      </c>
      <c r="BG78" s="22">
        <f t="shared" si="61"/>
        <v>386.04242822867735</v>
      </c>
      <c r="BH78" s="62">
        <f t="shared" si="62"/>
        <v>679.37576156201067</v>
      </c>
      <c r="BI78" s="62">
        <f ca="1">AVERAGE(OFFSET($BH$3,0,0,'Données projet'!$E$11+1,1))-AVERAGE(OFFSET($H$3,0,0,'Données projet'!$E$11+1,1))</f>
        <v>298.18906674058809</v>
      </c>
      <c r="BJ78" s="62">
        <f t="shared" si="92"/>
        <v>154.08406475869634</v>
      </c>
      <c r="BK78" s="16">
        <f>IF(ISNA(VLOOKUP(A78,'Données projet'!$A$87:$I$107,3,0)),0,VLOOKUP(A78,'Données projet'!$A$87:$I$107,3,0))</f>
        <v>11</v>
      </c>
      <c r="BL78" s="16">
        <f>IF(ISNA(VLOOKUP(A78,'Données projet'!$A$87:$I$107,4,0)),0,VLOOKUP(A78,'Données projet'!$A$87:$I$107,4,0))</f>
        <v>14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183</v>
      </c>
      <c r="BW78" s="13">
        <f>VLOOKUP(A78,'Données projet'!$A$113:$I$133,9,0)</f>
        <v>4.8</v>
      </c>
      <c r="BX78" s="13">
        <f t="array" ref="BX78">INDEX(BW:BW,MIN(IF(ISNUMBER(BW78:BW274),ROW(BW78:BW274),"")))</f>
        <v>4.8</v>
      </c>
      <c r="BY78" s="13">
        <f>IF('Données projet'!$A$114&gt;35,BY77+BX78-CG77,IF(A78&lt;'Données projet'!$A$114,$BV$205^A78,IF(A78='Données projet'!$A$114,'Données projet'!$B$114,BY77+BX78-CG77)))</f>
        <v>182.99999999999986</v>
      </c>
      <c r="BZ78" s="14">
        <f>BY78*VLOOKUP('Données projet'!$B$12,Paramètres!$A$1:$I$89,3,0)*VLOOKUP('Données projet'!$B$12,Paramètres!$A$1:$I$89,5,0)</f>
        <v>122.75639999999991</v>
      </c>
      <c r="CA78" s="14">
        <f t="shared" si="93"/>
        <v>32.31703214387889</v>
      </c>
      <c r="CB78" s="22">
        <f t="shared" si="64"/>
        <v>270.08622765058885</v>
      </c>
      <c r="CC78" s="62">
        <f t="shared" si="65"/>
        <v>563.41956098392211</v>
      </c>
      <c r="CD78" s="62">
        <f ca="1">AVERAGE(OFFSET($CC$3,0,0,'Données projet'!$E$12+1,1))-AVERAGE(OFFSET($H$3,0,0,'Données projet'!$E$12+1,1))</f>
        <v>218.24409784339861</v>
      </c>
      <c r="CE78" s="62">
        <f t="shared" si="94"/>
        <v>118.89963447540509</v>
      </c>
      <c r="CF78" s="16">
        <f>IF(ISNA(VLOOKUP(A78,'Données projet'!$A$113:$I$133,3,0)),0,VLOOKUP(A78,'Données projet'!$A$113:$I$133,3,0))</f>
        <v>11</v>
      </c>
      <c r="CG78" s="16">
        <f>IF(ISNA(VLOOKUP(A78,'Données projet'!$A$113:$I$133,4,0)),0,VLOOKUP(A78,'Données projet'!$A$113:$I$133,4,0))</f>
        <v>14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293.3333333333353</v>
      </c>
      <c r="S79" s="62">
        <f ca="1">AVERAGE(OFFSET($R$3,0,0,'Données projet'!$E$9+1,1))-AVERAGE(OFFSET($H$3,0,0,'Données projet'!$E$9+1,1))</f>
        <v>257.80952690600492</v>
      </c>
      <c r="T79" s="62">
        <f t="shared" si="88"/>
        <v>269.95358755269427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1.341528263113265</v>
      </c>
      <c r="AA79" s="23">
        <f>EXP(-LN(2)/25)*AA78+(1-EXP(-LN(2)/25))/(LN(2)/25)*Calculateur!V79*Calculateur!X79*VLOOKUP('Données projet'!$B$9,Paramètres!$A$1:$I$89,3,0)*0.475*44/12</f>
        <v>2.2663389490360659</v>
      </c>
      <c r="AB79" s="23">
        <f>EXP(-LN(2)/2)*AB78+(1-EXP(-LN(2)/2))/(LN(2)/2)*V79*Y79*VLOOKUP('Données projet'!$B$9,Paramètres!$A$1:$I$89,3,0)*0.475*44/12</f>
        <v>1.5718404467685976E-6</v>
      </c>
      <c r="AC79" s="24">
        <f t="shared" si="57"/>
        <v>3.6078687839897774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8.3000000000000007</v>
      </c>
      <c r="AI79" s="14">
        <f>IF('Données projet'!$A$62&gt;35,AI78+AH79-AQ78,IF(A79&lt;'Données projet'!$A$62,$AF$205^A79,IF(A79='Données projet'!$A$62,'Données projet'!$B$62,AI78+AH79-AQ78)))</f>
        <v>361.8000000000003</v>
      </c>
      <c r="AJ79" s="14">
        <f>AI79*VLOOKUP('Données projet'!$B$10,Paramètres!$A$1:$I$89,3,0)*VLOOKUP('Données projet'!$B$10,Paramètres!$A$1:$I$89,5,0)</f>
        <v>206.94960000000017</v>
      </c>
      <c r="AK79" s="14">
        <f t="shared" si="89"/>
        <v>51.268429949375587</v>
      </c>
      <c r="AL79" s="22">
        <f t="shared" si="58"/>
        <v>449.72973549516274</v>
      </c>
      <c r="AM79" s="62">
        <f t="shared" si="59"/>
        <v>743.06306882849606</v>
      </c>
      <c r="AN79" s="62">
        <f ca="1">AVERAGE(OFFSET($AM$3,0,0,'Données projet'!$E$10+1,1))-AVERAGE(OFFSET($H$3,0,0,'Données projet'!$E$10+1,1))</f>
        <v>258.09881752732008</v>
      </c>
      <c r="AO79" s="62">
        <f t="shared" si="90"/>
        <v>214.72899476643335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1.6377511935810049E-7</v>
      </c>
      <c r="AX79" s="23">
        <f t="shared" si="60"/>
        <v>1.6377511935810049E-7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4.5999999999999996</v>
      </c>
      <c r="BD79" s="13">
        <f>IF('Données projet'!$A$88&gt;35,BD78+BC79-BL78,IF(A79&lt;'Données projet'!$A$88,$BA$205^A79,IF(A79='Données projet'!$A$88,'Données projet'!$B$88,BD78+BC79-BL78)))</f>
        <v>173.59999999999985</v>
      </c>
      <c r="BE79" s="14">
        <f>BD79*VLOOKUP('Données projet'!$B$11,Paramètres!$A$1:$I$89,3,0)*VLOOKUP('Données projet'!$B$11,Paramètres!$A$1:$I$89,5,0)</f>
        <v>167.90591999999987</v>
      </c>
      <c r="BF79" s="14">
        <f t="shared" si="91"/>
        <v>42.620681538886721</v>
      </c>
      <c r="BG79" s="22">
        <f t="shared" si="61"/>
        <v>366.66716434689414</v>
      </c>
      <c r="BH79" s="62">
        <f t="shared" si="62"/>
        <v>660.00049768022745</v>
      </c>
      <c r="BI79" s="62">
        <f ca="1">AVERAGE(OFFSET($BH$3,0,0,'Données projet'!$E$11+1,1))-AVERAGE(OFFSET($H$3,0,0,'Données projet'!$E$11+1,1))</f>
        <v>298.18906674058809</v>
      </c>
      <c r="BJ79" s="62">
        <f t="shared" si="92"/>
        <v>154.08406475869634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4.5999999999999996</v>
      </c>
      <c r="BY79" s="13">
        <f>IF('Données projet'!$A$114&gt;35,BY78+BX79-CG78,IF(A79&lt;'Données projet'!$A$114,$BV$205^A79,IF(A79='Données projet'!$A$114,'Données projet'!$B$114,BY78+BX79-CG78)))</f>
        <v>173.59999999999985</v>
      </c>
      <c r="BZ79" s="14">
        <f>BY79*VLOOKUP('Données projet'!$B$12,Paramètres!$A$1:$I$89,3,0)*VLOOKUP('Données projet'!$B$12,Paramètres!$A$1:$I$89,5,0)</f>
        <v>116.45087999999991</v>
      </c>
      <c r="CA79" s="14">
        <f t="shared" si="93"/>
        <v>30.845784538359709</v>
      </c>
      <c r="CB79" s="22">
        <f t="shared" si="64"/>
        <v>256.54169073764297</v>
      </c>
      <c r="CC79" s="62">
        <f t="shared" si="65"/>
        <v>549.87502407097622</v>
      </c>
      <c r="CD79" s="62">
        <f ca="1">AVERAGE(OFFSET($CC$3,0,0,'Données projet'!$E$12+1,1))-AVERAGE(OFFSET($H$3,0,0,'Données projet'!$E$12+1,1))</f>
        <v>218.24409784339861</v>
      </c>
      <c r="CE79" s="62">
        <f t="shared" si="94"/>
        <v>118.89963447540509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293.3333333333353</v>
      </c>
      <c r="S80" s="62">
        <f ca="1">AVERAGE(OFFSET($R$3,0,0,'Données projet'!$E$9+1,1))-AVERAGE(OFFSET($H$3,0,0,'Données projet'!$E$9+1,1))</f>
        <v>257.80952690600492</v>
      </c>
      <c r="T80" s="62">
        <f t="shared" si="88"/>
        <v>269.95358755269427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1.3152217121250587</v>
      </c>
      <c r="AA80" s="23">
        <f>EXP(-LN(2)/25)*AA79+(1-EXP(-LN(2)/25))/(LN(2)/25)*Calculateur!V80*Calculateur!X80*VLOOKUP('Données projet'!$B$9,Paramètres!$A$1:$I$89,3,0)*0.475*44/12</f>
        <v>2.204365791293089</v>
      </c>
      <c r="AB80" s="23">
        <f>EXP(-LN(2)/2)*AB79+(1-EXP(-LN(2)/2))/(LN(2)/2)*V80*Y80*VLOOKUP('Données projet'!$B$9,Paramètres!$A$1:$I$89,3,0)*0.475*44/12</f>
        <v>1.1114590388533678E-6</v>
      </c>
      <c r="AC80" s="24">
        <f t="shared" si="57"/>
        <v>3.5195886148771867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8.3000000000000007</v>
      </c>
      <c r="AI80" s="14">
        <f>IF('Données projet'!$A$62&gt;35,AI79+AH80-AQ79,IF(A80&lt;'Données projet'!$A$62,$AF$205^A80,IF(A80='Données projet'!$A$62,'Données projet'!$B$62,AI79+AH80-AQ79)))</f>
        <v>370.10000000000031</v>
      </c>
      <c r="AJ80" s="14">
        <f>AI80*VLOOKUP('Données projet'!$B$10,Paramètres!$A$1:$I$89,3,0)*VLOOKUP('Données projet'!$B$10,Paramètres!$A$1:$I$89,5,0)</f>
        <v>211.69720000000018</v>
      </c>
      <c r="AK80" s="14">
        <f t="shared" si="89"/>
        <v>52.306292671581474</v>
      </c>
      <c r="AL80" s="22">
        <f t="shared" si="58"/>
        <v>459.80608306967133</v>
      </c>
      <c r="AM80" s="62">
        <f t="shared" si="59"/>
        <v>753.13941640300459</v>
      </c>
      <c r="AN80" s="62">
        <f ca="1">AVERAGE(OFFSET($AM$3,0,0,'Données projet'!$E$10+1,1))-AVERAGE(OFFSET($H$3,0,0,'Données projet'!$E$10+1,1))</f>
        <v>258.09881752732008</v>
      </c>
      <c r="AO80" s="62">
        <f t="shared" si="90"/>
        <v>214.72899476643335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1.1580649748774907E-7</v>
      </c>
      <c r="AX80" s="23">
        <f t="shared" si="60"/>
        <v>1.1580649748774907E-7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4.5999999999999996</v>
      </c>
      <c r="BD80" s="13">
        <f>IF('Données projet'!$A$88&gt;35,BD79+BC80-BL79,IF(A80&lt;'Données projet'!$A$88,$BA$205^A80,IF(A80='Données projet'!$A$88,'Données projet'!$B$88,BD79+BC80-BL79)))</f>
        <v>178.19999999999985</v>
      </c>
      <c r="BE80" s="14">
        <f>BD80*VLOOKUP('Données projet'!$B$11,Paramètres!$A$1:$I$89,3,0)*VLOOKUP('Données projet'!$B$11,Paramètres!$A$1:$I$89,5,0)</f>
        <v>172.35503999999986</v>
      </c>
      <c r="BF80" s="14">
        <f t="shared" si="91"/>
        <v>43.617051120131656</v>
      </c>
      <c r="BG80" s="22">
        <f t="shared" si="61"/>
        <v>376.15139203422905</v>
      </c>
      <c r="BH80" s="62">
        <f t="shared" si="62"/>
        <v>669.48472536756231</v>
      </c>
      <c r="BI80" s="62">
        <f ca="1">AVERAGE(OFFSET($BH$3,0,0,'Données projet'!$E$11+1,1))-AVERAGE(OFFSET($H$3,0,0,'Données projet'!$E$11+1,1))</f>
        <v>298.18906674058809</v>
      </c>
      <c r="BJ80" s="62">
        <f t="shared" si="92"/>
        <v>154.08406475869634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4.5999999999999996</v>
      </c>
      <c r="BY80" s="13">
        <f>IF('Données projet'!$A$114&gt;35,BY79+BX80-CG79,IF(A80&lt;'Données projet'!$A$114,$BV$205^A80,IF(A80='Données projet'!$A$114,'Données projet'!$B$114,BY79+BX80-CG79)))</f>
        <v>178.19999999999985</v>
      </c>
      <c r="BZ80" s="14">
        <f>BY80*VLOOKUP('Données projet'!$B$12,Paramètres!$A$1:$I$89,3,0)*VLOOKUP('Données projet'!$B$12,Paramètres!$A$1:$I$89,5,0)</f>
        <v>119.53655999999989</v>
      </c>
      <c r="CA80" s="14">
        <f t="shared" si="93"/>
        <v>31.566885194519251</v>
      </c>
      <c r="CB80" s="22">
        <f t="shared" si="64"/>
        <v>263.17183371378752</v>
      </c>
      <c r="CC80" s="62">
        <f t="shared" si="65"/>
        <v>556.50516704712084</v>
      </c>
      <c r="CD80" s="62">
        <f ca="1">AVERAGE(OFFSET($CC$3,0,0,'Données projet'!$E$12+1,1))-AVERAGE(OFFSET($H$3,0,0,'Données projet'!$E$12+1,1))</f>
        <v>218.24409784339861</v>
      </c>
      <c r="CE80" s="62">
        <f t="shared" si="94"/>
        <v>118.89963447540509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293.3333333333353</v>
      </c>
      <c r="S81" s="62">
        <f ca="1">AVERAGE(OFFSET($R$3,0,0,'Données projet'!$E$9+1,1))-AVERAGE(OFFSET($H$3,0,0,'Données projet'!$E$9+1,1))</f>
        <v>257.80952690600492</v>
      </c>
      <c r="T81" s="62">
        <f t="shared" si="88"/>
        <v>269.95358755269427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1.2894310165563194</v>
      </c>
      <c r="AA81" s="23">
        <f>EXP(-LN(2)/25)*AA80+(1-EXP(-LN(2)/25))/(LN(2)/25)*Calculateur!V81*Calculateur!X81*VLOOKUP('Données projet'!$B$9,Paramètres!$A$1:$I$89,3,0)*0.475*44/12</f>
        <v>2.1440872928076207</v>
      </c>
      <c r="AB81" s="23">
        <f>EXP(-LN(2)/2)*AB80+(1-EXP(-LN(2)/2))/(LN(2)/2)*V81*Y81*VLOOKUP('Données projet'!$B$9,Paramètres!$A$1:$I$89,3,0)*0.475*44/12</f>
        <v>7.859202233842988E-7</v>
      </c>
      <c r="AC81" s="24">
        <f t="shared" si="57"/>
        <v>3.4335190952841637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8.3000000000000007</v>
      </c>
      <c r="AI81" s="14">
        <f>IF('Données projet'!$A$62&gt;35,AI80+AH81-AQ80,IF(A81&lt;'Données projet'!$A$62,$AF$205^A81,IF(A81='Données projet'!$A$62,'Données projet'!$B$62,AI80+AH81-AQ80)))</f>
        <v>378.40000000000032</v>
      </c>
      <c r="AJ81" s="14">
        <f>AI81*VLOOKUP('Données projet'!$B$10,Paramètres!$A$1:$I$89,3,0)*VLOOKUP('Données projet'!$B$10,Paramètres!$A$1:$I$89,5,0)</f>
        <v>216.44480000000021</v>
      </c>
      <c r="AK81" s="14">
        <f t="shared" si="89"/>
        <v>53.341449419561577</v>
      </c>
      <c r="AL81" s="22">
        <f t="shared" si="58"/>
        <v>469.87771773907002</v>
      </c>
      <c r="AM81" s="62">
        <f t="shared" si="59"/>
        <v>763.21105107240328</v>
      </c>
      <c r="AN81" s="62">
        <f ca="1">AVERAGE(OFFSET($AM$3,0,0,'Données projet'!$E$10+1,1))-AVERAGE(OFFSET($H$3,0,0,'Données projet'!$E$10+1,1))</f>
        <v>258.09881752732008</v>
      </c>
      <c r="AO81" s="62">
        <f t="shared" si="90"/>
        <v>214.72899476643335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8.188755967905026E-8</v>
      </c>
      <c r="AX81" s="23">
        <f t="shared" si="60"/>
        <v>8.188755967905026E-8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4.5999999999999996</v>
      </c>
      <c r="BD81" s="13">
        <f>IF('Données projet'!$A$88&gt;35,BD80+BC81-BL80,IF(A81&lt;'Données projet'!$A$88,$BA$205^A81,IF(A81='Données projet'!$A$88,'Données projet'!$B$88,BD80+BC81-BL80)))</f>
        <v>182.79999999999984</v>
      </c>
      <c r="BE81" s="14">
        <f>BD81*VLOOKUP('Données projet'!$B$11,Paramètres!$A$1:$I$89,3,0)*VLOOKUP('Données projet'!$B$11,Paramètres!$A$1:$I$89,5,0)</f>
        <v>176.80415999999985</v>
      </c>
      <c r="BF81" s="14">
        <f t="shared" si="91"/>
        <v>44.610431038325714</v>
      </c>
      <c r="BG81" s="22">
        <f t="shared" si="61"/>
        <v>385.63041272508372</v>
      </c>
      <c r="BH81" s="62">
        <f t="shared" si="62"/>
        <v>678.96374605841697</v>
      </c>
      <c r="BI81" s="62">
        <f ca="1">AVERAGE(OFFSET($BH$3,0,0,'Données projet'!$E$11+1,1))-AVERAGE(OFFSET($H$3,0,0,'Données projet'!$E$11+1,1))</f>
        <v>298.18906674058809</v>
      </c>
      <c r="BJ81" s="62">
        <f t="shared" si="92"/>
        <v>154.08406475869634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4.5999999999999996</v>
      </c>
      <c r="BY81" s="13">
        <f>IF('Données projet'!$A$114&gt;35,BY80+BX81-CG80,IF(A81&lt;'Données projet'!$A$114,$BV$205^A81,IF(A81='Données projet'!$A$114,'Données projet'!$B$114,BY80+BX81-CG80)))</f>
        <v>182.79999999999984</v>
      </c>
      <c r="BZ81" s="14">
        <f>BY81*VLOOKUP('Données projet'!$B$12,Paramètres!$A$1:$I$89,3,0)*VLOOKUP('Données projet'!$B$12,Paramètres!$A$1:$I$89,5,0)</f>
        <v>122.62223999999989</v>
      </c>
      <c r="CA81" s="14">
        <f t="shared" si="93"/>
        <v>32.285822147542639</v>
      </c>
      <c r="CB81" s="22">
        <f t="shared" si="64"/>
        <v>269.79820824030321</v>
      </c>
      <c r="CC81" s="62">
        <f t="shared" si="65"/>
        <v>563.13154157363647</v>
      </c>
      <c r="CD81" s="62">
        <f ca="1">AVERAGE(OFFSET($CC$3,0,0,'Données projet'!$E$12+1,1))-AVERAGE(OFFSET($H$3,0,0,'Données projet'!$E$12+1,1))</f>
        <v>218.24409784339861</v>
      </c>
      <c r="CE81" s="62">
        <f t="shared" si="94"/>
        <v>118.89963447540509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293.3333333333353</v>
      </c>
      <c r="S82" s="62">
        <f ca="1">AVERAGE(OFFSET($R$3,0,0,'Données projet'!$E$9+1,1))-AVERAGE(OFFSET($H$3,0,0,'Données projet'!$E$9+1,1))</f>
        <v>257.80952690600492</v>
      </c>
      <c r="T82" s="62">
        <f t="shared" si="88"/>
        <v>269.95358755269427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1.2641460607969122</v>
      </c>
      <c r="AA82" s="23">
        <f>EXP(-LN(2)/25)*AA81+(1-EXP(-LN(2)/25))/(LN(2)/25)*Calculateur!V82*Calculateur!X82*VLOOKUP('Données projet'!$B$9,Paramètres!$A$1:$I$89,3,0)*0.475*44/12</f>
        <v>2.0854571130331458</v>
      </c>
      <c r="AB82" s="23">
        <f>EXP(-LN(2)/2)*AB81+(1-EXP(-LN(2)/2))/(LN(2)/2)*V82*Y82*VLOOKUP('Données projet'!$B$9,Paramètres!$A$1:$I$89,3,0)*0.475*44/12</f>
        <v>5.5572951942668392E-7</v>
      </c>
      <c r="AC82" s="24">
        <f t="shared" si="57"/>
        <v>3.3496037295595773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8.3000000000000007</v>
      </c>
      <c r="AI82" s="14">
        <f>IF('Données projet'!$A$62&gt;35,AI81+AH82-AQ81,IF(A82&lt;'Données projet'!$A$62,$AF$205^A82,IF(A82='Données projet'!$A$62,'Données projet'!$B$62,AI81+AH82-AQ81)))</f>
        <v>386.70000000000033</v>
      </c>
      <c r="AJ82" s="14">
        <f>AI82*VLOOKUP('Données projet'!$B$10,Paramètres!$A$1:$I$89,3,0)*VLOOKUP('Données projet'!$B$10,Paramètres!$A$1:$I$89,5,0)</f>
        <v>221.19240000000019</v>
      </c>
      <c r="AK82" s="14">
        <f t="shared" si="89"/>
        <v>54.373966382420612</v>
      </c>
      <c r="AL82" s="22">
        <f t="shared" si="58"/>
        <v>479.94475478271625</v>
      </c>
      <c r="AM82" s="62">
        <f t="shared" si="59"/>
        <v>773.2780881160495</v>
      </c>
      <c r="AN82" s="62">
        <f ca="1">AVERAGE(OFFSET($AM$3,0,0,'Données projet'!$E$10+1,1))-AVERAGE(OFFSET($H$3,0,0,'Données projet'!$E$10+1,1))</f>
        <v>258.09881752732008</v>
      </c>
      <c r="AO82" s="62">
        <f t="shared" si="90"/>
        <v>214.72899476643335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5.790324874387455E-8</v>
      </c>
      <c r="AX82" s="23">
        <f t="shared" si="60"/>
        <v>5.790324874387455E-8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4.5999999999999996</v>
      </c>
      <c r="BD82" s="13">
        <f>IF('Données projet'!$A$88&gt;35,BD81+BC82-BL81,IF(A82&lt;'Données projet'!$A$88,$BA$205^A82,IF(A82='Données projet'!$A$88,'Données projet'!$B$88,BD81+BC82-BL81)))</f>
        <v>187.39999999999984</v>
      </c>
      <c r="BE82" s="14">
        <f>BD82*VLOOKUP('Données projet'!$B$11,Paramètres!$A$1:$I$89,3,0)*VLOOKUP('Données projet'!$B$11,Paramètres!$A$1:$I$89,5,0)</f>
        <v>181.25327999999985</v>
      </c>
      <c r="BF82" s="14">
        <f t="shared" si="91"/>
        <v>45.600905177745368</v>
      </c>
      <c r="BG82" s="22">
        <f t="shared" si="61"/>
        <v>395.10437251790626</v>
      </c>
      <c r="BH82" s="62">
        <f t="shared" si="62"/>
        <v>688.43770585123957</v>
      </c>
      <c r="BI82" s="62">
        <f ca="1">AVERAGE(OFFSET($BH$3,0,0,'Données projet'!$E$11+1,1))-AVERAGE(OFFSET($H$3,0,0,'Données projet'!$E$11+1,1))</f>
        <v>298.18906674058809</v>
      </c>
      <c r="BJ82" s="62">
        <f t="shared" si="92"/>
        <v>154.08406475869634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4.5999999999999996</v>
      </c>
      <c r="BY82" s="13">
        <f>IF('Données projet'!$A$114&gt;35,BY81+BX82-CG81,IF(A82&lt;'Données projet'!$A$114,$BV$205^A82,IF(A82='Données projet'!$A$114,'Données projet'!$B$114,BY81+BX82-CG81)))</f>
        <v>187.39999999999984</v>
      </c>
      <c r="BZ82" s="14">
        <f>BY82*VLOOKUP('Données projet'!$B$12,Paramètres!$A$1:$I$89,3,0)*VLOOKUP('Données projet'!$B$12,Paramètres!$A$1:$I$89,5,0)</f>
        <v>125.70791999999989</v>
      </c>
      <c r="CA82" s="14">
        <f t="shared" si="93"/>
        <v>33.002656106837271</v>
      </c>
      <c r="CB82" s="22">
        <f t="shared" si="64"/>
        <v>276.42092005274134</v>
      </c>
      <c r="CC82" s="62">
        <f t="shared" si="65"/>
        <v>569.75425338607465</v>
      </c>
      <c r="CD82" s="62">
        <f ca="1">AVERAGE(OFFSET($CC$3,0,0,'Données projet'!$E$12+1,1))-AVERAGE(OFFSET($H$3,0,0,'Données projet'!$E$12+1,1))</f>
        <v>218.24409784339861</v>
      </c>
      <c r="CE82" s="62">
        <f t="shared" si="94"/>
        <v>118.89963447540509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293.3333333333353</v>
      </c>
      <c r="S83" s="62">
        <f ca="1">AVERAGE(OFFSET($R$3,0,0,'Données projet'!$E$9+1,1))-AVERAGE(OFFSET($H$3,0,0,'Données projet'!$E$9+1,1))</f>
        <v>257.80952690600492</v>
      </c>
      <c r="T83" s="62">
        <f t="shared" si="88"/>
        <v>269.95358755269427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1.2393569275976466</v>
      </c>
      <c r="AA83" s="23">
        <f>EXP(-LN(2)/25)*AA82+(1-EXP(-LN(2)/25))/(LN(2)/25)*Calculateur!V83*Calculateur!X83*VLOOKUP('Données projet'!$B$9,Paramètres!$A$1:$I$89,3,0)*0.475*44/12</f>
        <v>2.0284301786078314</v>
      </c>
      <c r="AB83" s="23">
        <f>EXP(-LN(2)/2)*AB82+(1-EXP(-LN(2)/2))/(LN(2)/2)*V83*Y83*VLOOKUP('Données projet'!$B$9,Paramètres!$A$1:$I$89,3,0)*0.475*44/12</f>
        <v>3.929601116921494E-7</v>
      </c>
      <c r="AC83" s="24">
        <f t="shared" si="57"/>
        <v>3.2677874991655895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395</v>
      </c>
      <c r="AG83" s="13">
        <f>VLOOKUP(A83,'Données projet'!$A$61:$I$81,9,0)</f>
        <v>8.3000000000000007</v>
      </c>
      <c r="AH83" s="13">
        <f t="array" ref="AH83">INDEX(AG:AG,MIN(IF(ISNUMBER(AG83:AG279),ROW(AG83:AG279),"")))</f>
        <v>8.3000000000000007</v>
      </c>
      <c r="AI83" s="14">
        <f>IF('Données projet'!$A$62&gt;35,AI82+AH83-AQ82,IF(A83&lt;'Données projet'!$A$62,$AF$205^A83,IF(A83='Données projet'!$A$62,'Données projet'!$B$62,AI82+AH83-AQ82)))</f>
        <v>395.00000000000034</v>
      </c>
      <c r="AJ83" s="14">
        <f>AI83*VLOOKUP('Données projet'!$B$10,Paramètres!$A$1:$I$89,3,0)*VLOOKUP('Données projet'!$B$10,Paramètres!$A$1:$I$89,5,0)</f>
        <v>225.9400000000002</v>
      </c>
      <c r="AK83" s="14">
        <f t="shared" si="89"/>
        <v>55.403906745636547</v>
      </c>
      <c r="AL83" s="22">
        <f t="shared" si="58"/>
        <v>490.0073042486506</v>
      </c>
      <c r="AM83" s="62">
        <f t="shared" si="59"/>
        <v>783.34063758198386</v>
      </c>
      <c r="AN83" s="62">
        <f ca="1">AVERAGE(OFFSET($AM$3,0,0,'Données projet'!$E$10+1,1))-AVERAGE(OFFSET($H$3,0,0,'Données projet'!$E$10+1,1))</f>
        <v>258.09881752732008</v>
      </c>
      <c r="AO83" s="62">
        <f t="shared" si="90"/>
        <v>214.72899476643335</v>
      </c>
      <c r="AP83" s="16">
        <f>IF(ISNA(VLOOKUP(A83,'Données projet'!$A$61:$I$81,3,0)),0,VLOOKUP(A83,'Données projet'!$A$61:$I$81,3,0))</f>
        <v>8</v>
      </c>
      <c r="AQ83" s="16">
        <f>IF(ISNA(VLOOKUP(A83,'Données projet'!$A$61:$I$81,4,0)),0,VLOOKUP(A83,'Données projet'!$A$61:$I$81,4,0))</f>
        <v>395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4.0943779839525137E-8</v>
      </c>
      <c r="AX83" s="23">
        <f t="shared" si="60"/>
        <v>4.0943779839525137E-8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192</v>
      </c>
      <c r="BB83" s="13">
        <f>VLOOKUP(A83,'Données projet'!$A$87:$I$107,9,0)</f>
        <v>4.5999999999999996</v>
      </c>
      <c r="BC83" s="13">
        <f t="array" ref="BC83">INDEX(BB:BB,MIN(IF(ISNUMBER(BB83:BB279),ROW(BB83:BB279),"")))</f>
        <v>4.5999999999999996</v>
      </c>
      <c r="BD83" s="13">
        <f>IF('Données projet'!$A$88&gt;35,BD82+BC83-BL82,IF(A83&lt;'Données projet'!$A$88,$BA$205^A83,IF(A83='Données projet'!$A$88,'Données projet'!$B$88,BD82+BC83-BL82)))</f>
        <v>191.99999999999983</v>
      </c>
      <c r="BE83" s="14">
        <f>BD83*VLOOKUP('Données projet'!$B$11,Paramètres!$A$1:$I$89,3,0)*VLOOKUP('Données projet'!$B$11,Paramètres!$A$1:$I$89,5,0)</f>
        <v>185.70239999999984</v>
      </c>
      <c r="BF83" s="14">
        <f t="shared" si="91"/>
        <v>46.588553069776786</v>
      </c>
      <c r="BG83" s="22">
        <f t="shared" si="61"/>
        <v>404.57340992986093</v>
      </c>
      <c r="BH83" s="62">
        <f t="shared" si="62"/>
        <v>697.90674326319424</v>
      </c>
      <c r="BI83" s="62">
        <f ca="1">AVERAGE(OFFSET($BH$3,0,0,'Données projet'!$E$11+1,1))-AVERAGE(OFFSET($H$3,0,0,'Données projet'!$E$11+1,1))</f>
        <v>298.18906674058809</v>
      </c>
      <c r="BJ83" s="62">
        <f t="shared" si="92"/>
        <v>154.08406475869634</v>
      </c>
      <c r="BK83" s="16">
        <f>IF(ISNA(VLOOKUP(A83,'Données projet'!$A$87:$I$107,3,0)),0,VLOOKUP(A83,'Données projet'!$A$87:$I$107,3,0))</f>
        <v>12</v>
      </c>
      <c r="BL83" s="23">
        <f>IF(ISNA(VLOOKUP(A83,'Données projet'!$A$87:$I$107,4,0)),0,VLOOKUP(A83,'Données projet'!$A$87:$I$107,4,0))</f>
        <v>14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192</v>
      </c>
      <c r="BW83" s="13">
        <f>VLOOKUP(A83,'Données projet'!$A$113:$I$133,9,0)</f>
        <v>4.5999999999999996</v>
      </c>
      <c r="BX83" s="13">
        <f t="array" ref="BX83">INDEX(BW:BW,MIN(IF(ISNUMBER(BW83:BW279),ROW(BW83:BW279),"")))</f>
        <v>4.5999999999999996</v>
      </c>
      <c r="BY83" s="13">
        <f>IF('Données projet'!$A$114&gt;35,BY82+BX83-CG82,IF(A83&lt;'Données projet'!$A$114,$BV$205^A83,IF(A83='Données projet'!$A$114,'Données projet'!$B$114,BY82+BX83-CG82)))</f>
        <v>191.99999999999983</v>
      </c>
      <c r="BZ83" s="14">
        <f>BY83*VLOOKUP('Données projet'!$B$12,Paramètres!$A$1:$I$89,3,0)*VLOOKUP('Données projet'!$B$12,Paramètres!$A$1:$I$89,5,0)</f>
        <v>128.79359999999988</v>
      </c>
      <c r="CA83" s="14">
        <f t="shared" si="93"/>
        <v>33.717444631501536</v>
      </c>
      <c r="CB83" s="22">
        <f t="shared" si="64"/>
        <v>283.04006939986493</v>
      </c>
      <c r="CC83" s="62">
        <f t="shared" si="65"/>
        <v>576.37340273319819</v>
      </c>
      <c r="CD83" s="62">
        <f ca="1">AVERAGE(OFFSET($CC$3,0,0,'Données projet'!$E$12+1,1))-AVERAGE(OFFSET($H$3,0,0,'Données projet'!$E$12+1,1))</f>
        <v>218.24409784339861</v>
      </c>
      <c r="CE83" s="62">
        <f t="shared" si="94"/>
        <v>118.89963447540509</v>
      </c>
      <c r="CF83" s="16">
        <f>IF(ISNA(VLOOKUP(A83,'Données projet'!$A$113:$I$133,3,0)),0,VLOOKUP(A83,'Données projet'!$A$113:$I$133,3,0))</f>
        <v>12</v>
      </c>
      <c r="CG83" s="16">
        <f>IF(ISNA(VLOOKUP(A83,'Données projet'!$A$113:$I$133,4,0)),0,VLOOKUP(A83,'Données projet'!$A$113:$I$133,4,0))</f>
        <v>14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257.80952690600492</v>
      </c>
      <c r="T84" s="62">
        <f t="shared" si="88"/>
        <v>269.95358755269427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1.2150538941805404</v>
      </c>
      <c r="AA84" s="23">
        <f>EXP(-LN(2)/25)*AA83+(1-EXP(-LN(2)/25))/(LN(2)/25)*Calculateur!V84*Calculateur!X84*VLOOKUP('Données projet'!$B$9,Paramètres!$A$1:$I$89,3,0)*0.475*44/12</f>
        <v>1.9729626487032932</v>
      </c>
      <c r="AB84" s="23">
        <f>EXP(-LN(2)/2)*AB83+(1-EXP(-LN(2)/2))/(LN(2)/2)*V84*Y84*VLOOKUP('Données projet'!$B$9,Paramètres!$A$1:$I$89,3,0)*0.475*44/12</f>
        <v>2.7786475971334196E-7</v>
      </c>
      <c r="AC84" s="24">
        <f t="shared" si="57"/>
        <v>3.1880168207485933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3.4106051316484809E-13</v>
      </c>
      <c r="AJ84" s="14">
        <f>AI84*VLOOKUP('Données projet'!$B$10,Paramètres!$A$1:$I$89,3,0)*VLOOKUP('Données projet'!$B$10,Paramètres!$A$1:$I$89,5,0)</f>
        <v>1.9508661353029313E-13</v>
      </c>
      <c r="AK84" s="14">
        <f t="shared" si="89"/>
        <v>2.711421636700695E-12</v>
      </c>
      <c r="AL84" s="22">
        <f t="shared" si="58"/>
        <v>5.0621685358189711E-12</v>
      </c>
      <c r="AM84" s="62">
        <f t="shared" si="59"/>
        <v>293.33333333333837</v>
      </c>
      <c r="AN84" s="62">
        <f ca="1">AVERAGE(OFFSET($AM$3,0,0,'Données projet'!$E$10+1,1))-AVERAGE(OFFSET($H$3,0,0,'Données projet'!$E$10+1,1))</f>
        <v>258.09881752732008</v>
      </c>
      <c r="AO84" s="62">
        <f t="shared" si="90"/>
        <v>214.72899476643335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2.8951624371937278E-8</v>
      </c>
      <c r="AX84" s="23">
        <f t="shared" si="60"/>
        <v>2.8951624371937278E-8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4.4000000000000004</v>
      </c>
      <c r="BD84" s="13">
        <f>IF('Données projet'!$A$88&gt;35,BD83+BC84-BL83,IF(A84&lt;'Données projet'!$A$88,$BA$205^A84,IF(A84='Données projet'!$A$88,'Données projet'!$B$88,BD83+BC84-BL83)))</f>
        <v>182.39999999999984</v>
      </c>
      <c r="BE84" s="14">
        <f>BD84*VLOOKUP('Données projet'!$B$11,Paramètres!$A$1:$I$89,3,0)*VLOOKUP('Données projet'!$B$11,Paramètres!$A$1:$I$89,5,0)</f>
        <v>176.41727999999983</v>
      </c>
      <c r="BF84" s="14">
        <f t="shared" si="91"/>
        <v>44.524166703747213</v>
      </c>
      <c r="BG84" s="22">
        <f t="shared" si="61"/>
        <v>384.80635300902605</v>
      </c>
      <c r="BH84" s="62">
        <f t="shared" si="62"/>
        <v>678.13968634235937</v>
      </c>
      <c r="BI84" s="62">
        <f ca="1">AVERAGE(OFFSET($BH$3,0,0,'Données projet'!$E$11+1,1))-AVERAGE(OFFSET($H$3,0,0,'Données projet'!$E$11+1,1))</f>
        <v>298.18906674058809</v>
      </c>
      <c r="BJ84" s="62">
        <f t="shared" si="92"/>
        <v>154.08406475869634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4.4000000000000004</v>
      </c>
      <c r="BY84" s="13">
        <f>IF('Données projet'!$A$114&gt;35,BY83+BX84-CG83,IF(A84&lt;'Données projet'!$A$114,$BV$205^A84,IF(A84='Données projet'!$A$114,'Données projet'!$B$114,BY83+BX84-CG83)))</f>
        <v>182.39999999999984</v>
      </c>
      <c r="BZ84" s="14">
        <f>BY84*VLOOKUP('Données projet'!$B$12,Paramètres!$A$1:$I$89,3,0)*VLOOKUP('Données projet'!$B$12,Paramètres!$A$1:$I$89,5,0)</f>
        <v>122.3539199999999</v>
      </c>
      <c r="CA84" s="14">
        <f t="shared" si="93"/>
        <v>32.223390225253326</v>
      </c>
      <c r="CB84" s="22">
        <f t="shared" si="64"/>
        <v>269.22214864231609</v>
      </c>
      <c r="CC84" s="62">
        <f t="shared" si="65"/>
        <v>562.5554819756494</v>
      </c>
      <c r="CD84" s="62">
        <f ca="1">AVERAGE(OFFSET($CC$3,0,0,'Données projet'!$E$12+1,1))-AVERAGE(OFFSET($H$3,0,0,'Données projet'!$E$12+1,1))</f>
        <v>218.24409784339861</v>
      </c>
      <c r="CE84" s="62">
        <f t="shared" si="94"/>
        <v>118.89963447540509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257.80952690600492</v>
      </c>
      <c r="T85" s="62">
        <f t="shared" si="88"/>
        <v>269.95358755269427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1.191227428425357</v>
      </c>
      <c r="AA85" s="23">
        <f>EXP(-LN(2)/25)*AA84+(1-EXP(-LN(2)/25))/(LN(2)/25)*Calculateur!V85*Calculateur!X85*VLOOKUP('Données projet'!$B$9,Paramètres!$A$1:$I$89,3,0)*0.475*44/12</f>
        <v>1.9190118813209052</v>
      </c>
      <c r="AB85" s="23">
        <f>EXP(-LN(2)/2)*AB84+(1-EXP(-LN(2)/2))/(LN(2)/2)*V85*Y85*VLOOKUP('Données projet'!$B$9,Paramètres!$A$1:$I$89,3,0)*0.475*44/12</f>
        <v>1.964800558460747E-7</v>
      </c>
      <c r="AC85" s="24">
        <f t="shared" si="57"/>
        <v>3.1102395062263182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3.4106051316484809E-13</v>
      </c>
      <c r="AJ85" s="14">
        <f>AI85*VLOOKUP('Données projet'!$B$10,Paramètres!$A$1:$I$89,3,0)*VLOOKUP('Données projet'!$B$10,Paramètres!$A$1:$I$89,5,0)</f>
        <v>1.9508661353029313E-13</v>
      </c>
      <c r="AK85" s="14">
        <f t="shared" si="89"/>
        <v>2.711421636700695E-12</v>
      </c>
      <c r="AL85" s="22">
        <f t="shared" si="58"/>
        <v>5.0621685358189711E-12</v>
      </c>
      <c r="AM85" s="62">
        <f t="shared" si="59"/>
        <v>293.33333333333837</v>
      </c>
      <c r="AN85" s="62">
        <f ca="1">AVERAGE(OFFSET($AM$3,0,0,'Données projet'!$E$10+1,1))-AVERAGE(OFFSET($H$3,0,0,'Données projet'!$E$10+1,1))</f>
        <v>258.09881752732008</v>
      </c>
      <c r="AO85" s="62">
        <f t="shared" si="90"/>
        <v>214.72899476643335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2.0471889919762572E-8</v>
      </c>
      <c r="AX85" s="23">
        <f t="shared" si="60"/>
        <v>2.0471889919762572E-8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4.4000000000000004</v>
      </c>
      <c r="BD85" s="13">
        <f>IF('Données projet'!$A$88&gt;35,BD84+BC85-BL84,IF(A85&lt;'Données projet'!$A$88,$BA$205^A85,IF(A85='Données projet'!$A$88,'Données projet'!$B$88,BD84+BC85-BL84)))</f>
        <v>186.79999999999984</v>
      </c>
      <c r="BE85" s="14">
        <f>BD85*VLOOKUP('Données projet'!$B$11,Paramètres!$A$1:$I$89,3,0)*VLOOKUP('Données projet'!$B$11,Paramètres!$A$1:$I$89,5,0)</f>
        <v>180.67295999999985</v>
      </c>
      <c r="BF85" s="14">
        <f t="shared" si="91"/>
        <v>45.471874835351159</v>
      </c>
      <c r="BG85" s="22">
        <f t="shared" si="61"/>
        <v>393.86892067156964</v>
      </c>
      <c r="BH85" s="62">
        <f t="shared" si="62"/>
        <v>687.2022540049029</v>
      </c>
      <c r="BI85" s="62">
        <f ca="1">AVERAGE(OFFSET($BH$3,0,0,'Données projet'!$E$11+1,1))-AVERAGE(OFFSET($H$3,0,0,'Données projet'!$E$11+1,1))</f>
        <v>298.18906674058809</v>
      </c>
      <c r="BJ85" s="62">
        <f t="shared" si="92"/>
        <v>154.08406475869634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4.4000000000000004</v>
      </c>
      <c r="BY85" s="13">
        <f>IF('Données projet'!$A$114&gt;35,BY84+BX85-CG84,IF(A85&lt;'Données projet'!$A$114,$BV$205^A85,IF(A85='Données projet'!$A$114,'Données projet'!$B$114,BY84+BX85-CG84)))</f>
        <v>186.79999999999984</v>
      </c>
      <c r="BZ85" s="14">
        <f>BY85*VLOOKUP('Données projet'!$B$12,Paramètres!$A$1:$I$89,3,0)*VLOOKUP('Données projet'!$B$12,Paramètres!$A$1:$I$89,5,0)</f>
        <v>125.30543999999989</v>
      </c>
      <c r="CA85" s="14">
        <f t="shared" si="93"/>
        <v>32.909273223300495</v>
      </c>
      <c r="CB85" s="22">
        <f t="shared" si="64"/>
        <v>275.55729219724816</v>
      </c>
      <c r="CC85" s="62">
        <f t="shared" si="65"/>
        <v>568.89062553058147</v>
      </c>
      <c r="CD85" s="62">
        <f ca="1">AVERAGE(OFFSET($CC$3,0,0,'Données projet'!$E$12+1,1))-AVERAGE(OFFSET($H$3,0,0,'Données projet'!$E$12+1,1))</f>
        <v>218.24409784339861</v>
      </c>
      <c r="CE85" s="62">
        <f t="shared" si="94"/>
        <v>118.89963447540509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257.80952690600492</v>
      </c>
      <c r="T86" s="62">
        <f t="shared" si="88"/>
        <v>269.95358755269427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1.1678681851309236</v>
      </c>
      <c r="AA86" s="23">
        <f>EXP(-LN(2)/25)*AA85+(1-EXP(-LN(2)/25))/(LN(2)/25)*Calculateur!V86*Calculateur!X86*VLOOKUP('Données projet'!$B$9,Paramètres!$A$1:$I$89,3,0)*0.475*44/12</f>
        <v>1.8665364005097362</v>
      </c>
      <c r="AB86" s="23">
        <f>EXP(-LN(2)/2)*AB85+(1-EXP(-LN(2)/2))/(LN(2)/2)*V86*Y86*VLOOKUP('Données projet'!$B$9,Paramètres!$A$1:$I$89,3,0)*0.475*44/12</f>
        <v>1.3893237985667098E-7</v>
      </c>
      <c r="AC86" s="24">
        <f t="shared" si="57"/>
        <v>3.0344047245730397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3.4106051316484809E-13</v>
      </c>
      <c r="AJ86" s="14">
        <f>AI86*VLOOKUP('Données projet'!$B$10,Paramètres!$A$1:$I$89,3,0)*VLOOKUP('Données projet'!$B$10,Paramètres!$A$1:$I$89,5,0)</f>
        <v>1.9508661353029313E-13</v>
      </c>
      <c r="AK86" s="14">
        <f t="shared" si="89"/>
        <v>2.711421636700695E-12</v>
      </c>
      <c r="AL86" s="22">
        <f t="shared" si="58"/>
        <v>5.0621685358189711E-12</v>
      </c>
      <c r="AM86" s="62">
        <f t="shared" si="59"/>
        <v>293.33333333333837</v>
      </c>
      <c r="AN86" s="62">
        <f ca="1">AVERAGE(OFFSET($AM$3,0,0,'Données projet'!$E$10+1,1))-AVERAGE(OFFSET($H$3,0,0,'Données projet'!$E$10+1,1))</f>
        <v>258.09881752732008</v>
      </c>
      <c r="AO86" s="62">
        <f t="shared" si="90"/>
        <v>214.72899476643335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1.4475812185968641E-8</v>
      </c>
      <c r="AX86" s="23">
        <f t="shared" si="60"/>
        <v>1.4475812185968641E-8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4.4000000000000004</v>
      </c>
      <c r="BD86" s="13">
        <f>IF('Données projet'!$A$88&gt;35,BD85+BC86-BL85,IF(A86&lt;'Données projet'!$A$88,$BA$205^A86,IF(A86='Données projet'!$A$88,'Données projet'!$B$88,BD85+BC86-BL85)))</f>
        <v>191.19999999999985</v>
      </c>
      <c r="BE86" s="14">
        <f>BD86*VLOOKUP('Données projet'!$B$11,Paramètres!$A$1:$I$89,3,0)*VLOOKUP('Données projet'!$B$11,Paramètres!$A$1:$I$89,5,0)</f>
        <v>184.92863999999986</v>
      </c>
      <c r="BF86" s="14">
        <f t="shared" si="91"/>
        <v>46.416987887800182</v>
      </c>
      <c r="BG86" s="22">
        <f t="shared" si="61"/>
        <v>402.92696857125173</v>
      </c>
      <c r="BH86" s="62">
        <f t="shared" si="62"/>
        <v>696.26030190458505</v>
      </c>
      <c r="BI86" s="62">
        <f ca="1">AVERAGE(OFFSET($BH$3,0,0,'Données projet'!$E$11+1,1))-AVERAGE(OFFSET($H$3,0,0,'Données projet'!$E$11+1,1))</f>
        <v>298.18906674058809</v>
      </c>
      <c r="BJ86" s="62">
        <f t="shared" si="92"/>
        <v>154.08406475869634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4.4000000000000004</v>
      </c>
      <c r="BY86" s="13">
        <f>IF('Données projet'!$A$114&gt;35,BY85+BX86-CG85,IF(A86&lt;'Données projet'!$A$114,$BV$205^A86,IF(A86='Données projet'!$A$114,'Données projet'!$B$114,BY85+BX86-CG85)))</f>
        <v>191.19999999999985</v>
      </c>
      <c r="BZ86" s="14">
        <f>BY86*VLOOKUP('Données projet'!$B$12,Paramètres!$A$1:$I$89,3,0)*VLOOKUP('Données projet'!$B$12,Paramètres!$A$1:$I$89,5,0)</f>
        <v>128.25695999999991</v>
      </c>
      <c r="CA86" s="14">
        <f t="shared" si="93"/>
        <v>33.593278089661837</v>
      </c>
      <c r="CB86" s="22">
        <f t="shared" si="64"/>
        <v>281.88916467282746</v>
      </c>
      <c r="CC86" s="62">
        <f t="shared" si="65"/>
        <v>575.22249800616078</v>
      </c>
      <c r="CD86" s="62">
        <f ca="1">AVERAGE(OFFSET($CC$3,0,0,'Données projet'!$E$12+1,1))-AVERAGE(OFFSET($H$3,0,0,'Données projet'!$E$12+1,1))</f>
        <v>218.24409784339861</v>
      </c>
      <c r="CE86" s="62">
        <f t="shared" si="94"/>
        <v>118.89963447540509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257.80952690600492</v>
      </c>
      <c r="T87" s="62">
        <f t="shared" si="88"/>
        <v>269.95358755269427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1.1449670023497625</v>
      </c>
      <c r="AA87" s="23">
        <f>EXP(-LN(2)/25)*AA86+(1-EXP(-LN(2)/25))/(LN(2)/25)*Calculateur!V87*Calculateur!X87*VLOOKUP('Données projet'!$B$9,Paramètres!$A$1:$I$89,3,0)*0.475*44/12</f>
        <v>1.8154958644809143</v>
      </c>
      <c r="AB87" s="23">
        <f>EXP(-LN(2)/2)*AB86+(1-EXP(-LN(2)/2))/(LN(2)/2)*V87*Y87*VLOOKUP('Données projet'!$B$9,Paramètres!$A$1:$I$89,3,0)*0.475*44/12</f>
        <v>9.824002792303735E-8</v>
      </c>
      <c r="AC87" s="24">
        <f t="shared" si="57"/>
        <v>2.9604629650707048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3.4106051316484809E-13</v>
      </c>
      <c r="AJ87" s="14">
        <f>AI87*VLOOKUP('Données projet'!$B$10,Paramètres!$A$1:$I$89,3,0)*VLOOKUP('Données projet'!$B$10,Paramètres!$A$1:$I$89,5,0)</f>
        <v>1.9508661353029313E-13</v>
      </c>
      <c r="AK87" s="14">
        <f t="shared" si="89"/>
        <v>2.711421636700695E-12</v>
      </c>
      <c r="AL87" s="22">
        <f t="shared" si="58"/>
        <v>5.0621685358189711E-12</v>
      </c>
      <c r="AM87" s="62">
        <f t="shared" si="59"/>
        <v>293.33333333333837</v>
      </c>
      <c r="AN87" s="62">
        <f ca="1">AVERAGE(OFFSET($AM$3,0,0,'Données projet'!$E$10+1,1))-AVERAGE(OFFSET($H$3,0,0,'Données projet'!$E$10+1,1))</f>
        <v>258.09881752732008</v>
      </c>
      <c r="AO87" s="62">
        <f t="shared" si="90"/>
        <v>214.72899476643335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1.0235944959881287E-8</v>
      </c>
      <c r="AX87" s="23">
        <f t="shared" si="60"/>
        <v>1.0235944959881287E-8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4.4000000000000004</v>
      </c>
      <c r="BD87" s="13">
        <f>IF('Données projet'!$A$88&gt;35,BD86+BC87-BL86,IF(A87&lt;'Données projet'!$A$88,$BA$205^A87,IF(A87='Données projet'!$A$88,'Données projet'!$B$88,BD86+BC87-BL86)))</f>
        <v>195.59999999999985</v>
      </c>
      <c r="BE87" s="14">
        <f>BD87*VLOOKUP('Données projet'!$B$11,Paramètres!$A$1:$I$89,3,0)*VLOOKUP('Données projet'!$B$11,Paramètres!$A$1:$I$89,5,0)</f>
        <v>189.18431999999987</v>
      </c>
      <c r="BF87" s="14">
        <f t="shared" si="91"/>
        <v>47.359572454491783</v>
      </c>
      <c r="BG87" s="22">
        <f t="shared" si="61"/>
        <v>411.98061269157296</v>
      </c>
      <c r="BH87" s="62">
        <f t="shared" si="62"/>
        <v>705.31394602490627</v>
      </c>
      <c r="BI87" s="62">
        <f ca="1">AVERAGE(OFFSET($BH$3,0,0,'Données projet'!$E$11+1,1))-AVERAGE(OFFSET($H$3,0,0,'Données projet'!$E$11+1,1))</f>
        <v>298.18906674058809</v>
      </c>
      <c r="BJ87" s="62">
        <f t="shared" si="92"/>
        <v>154.08406475869634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4.4000000000000004</v>
      </c>
      <c r="BY87" s="13">
        <f>IF('Données projet'!$A$114&gt;35,BY86+BX87-CG86,IF(A87&lt;'Données projet'!$A$114,$BV$205^A87,IF(A87='Données projet'!$A$114,'Données projet'!$B$114,BY86+BX87-CG86)))</f>
        <v>195.59999999999985</v>
      </c>
      <c r="BZ87" s="14">
        <f>BY87*VLOOKUP('Données projet'!$B$12,Paramètres!$A$1:$I$89,3,0)*VLOOKUP('Données projet'!$B$12,Paramètres!$A$1:$I$89,5,0)</f>
        <v>131.20847999999989</v>
      </c>
      <c r="CA87" s="14">
        <f t="shared" si="93"/>
        <v>34.275453019849742</v>
      </c>
      <c r="CB87" s="22">
        <f t="shared" si="64"/>
        <v>288.21785000957146</v>
      </c>
      <c r="CC87" s="62">
        <f t="shared" si="65"/>
        <v>581.55118334290478</v>
      </c>
      <c r="CD87" s="62">
        <f ca="1">AVERAGE(OFFSET($CC$3,0,0,'Données projet'!$E$12+1,1))-AVERAGE(OFFSET($H$3,0,0,'Données projet'!$E$12+1,1))</f>
        <v>218.24409784339861</v>
      </c>
      <c r="CE87" s="62">
        <f t="shared" si="94"/>
        <v>118.89963447540509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257.80952690600492</v>
      </c>
      <c r="T88" s="62">
        <f t="shared" si="88"/>
        <v>269.95358755269427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1.1225148977945976</v>
      </c>
      <c r="AA88" s="23">
        <f>EXP(-LN(2)/25)*AA87+(1-EXP(-LN(2)/25))/(LN(2)/25)*Calculateur!V88*Calculateur!X88*VLOOKUP('Données projet'!$B$9,Paramètres!$A$1:$I$89,3,0)*0.475*44/12</f>
        <v>1.7658510345939056</v>
      </c>
      <c r="AB88" s="23">
        <f>EXP(-LN(2)/2)*AB87+(1-EXP(-LN(2)/2))/(LN(2)/2)*V88*Y88*VLOOKUP('Données projet'!$B$9,Paramètres!$A$1:$I$89,3,0)*0.475*44/12</f>
        <v>6.946618992833549E-8</v>
      </c>
      <c r="AC88" s="24">
        <f t="shared" si="57"/>
        <v>2.8883660018546933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3.4106051316484809E-13</v>
      </c>
      <c r="AJ88" s="14">
        <f>AI88*VLOOKUP('Données projet'!$B$10,Paramètres!$A$1:$I$89,3,0)*VLOOKUP('Données projet'!$B$10,Paramètres!$A$1:$I$89,5,0)</f>
        <v>1.9508661353029313E-13</v>
      </c>
      <c r="AK88" s="14">
        <f t="shared" si="89"/>
        <v>2.711421636700695E-12</v>
      </c>
      <c r="AL88" s="22">
        <f t="shared" si="58"/>
        <v>5.0621685358189711E-12</v>
      </c>
      <c r="AM88" s="62">
        <f t="shared" si="59"/>
        <v>293.33333333333837</v>
      </c>
      <c r="AN88" s="62">
        <f ca="1">AVERAGE(OFFSET($AM$3,0,0,'Données projet'!$E$10+1,1))-AVERAGE(OFFSET($H$3,0,0,'Données projet'!$E$10+1,1))</f>
        <v>258.09881752732008</v>
      </c>
      <c r="AO88" s="62">
        <f t="shared" si="90"/>
        <v>214.72899476643335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7.2379060929843221E-9</v>
      </c>
      <c r="AX88" s="23">
        <f t="shared" si="60"/>
        <v>7.2379060929843221E-9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200</v>
      </c>
      <c r="BB88" s="13">
        <f>VLOOKUP(A88,'Données projet'!$A$87:$I$107,9,0)</f>
        <v>4.4000000000000004</v>
      </c>
      <c r="BC88" s="13">
        <f t="array" ref="BC88">INDEX(BB:BB,MIN(IF(ISNUMBER(BB88:BB284),ROW(BB88:BB284),"")))</f>
        <v>4.4000000000000004</v>
      </c>
      <c r="BD88" s="13">
        <f>IF('Données projet'!$A$88&gt;35,BD87+BC88-BL87,IF(A88&lt;'Données projet'!$A$88,$BA$205^A88,IF(A88='Données projet'!$A$88,'Données projet'!$B$88,BD87+BC88-BL87)))</f>
        <v>199.99999999999986</v>
      </c>
      <c r="BE88" s="14">
        <f>BD88*VLOOKUP('Données projet'!$B$11,Paramètres!$A$1:$I$89,3,0)*VLOOKUP('Données projet'!$B$11,Paramètres!$A$1:$I$89,5,0)</f>
        <v>193.43999999999988</v>
      </c>
      <c r="BF88" s="14">
        <f t="shared" si="91"/>
        <v>48.299691961776745</v>
      </c>
      <c r="BG88" s="22">
        <f t="shared" si="61"/>
        <v>421.02996350009425</v>
      </c>
      <c r="BH88" s="62">
        <f t="shared" si="62"/>
        <v>714.36329683342751</v>
      </c>
      <c r="BI88" s="62">
        <f ca="1">AVERAGE(OFFSET($BH$3,0,0,'Données projet'!$E$11+1,1))-AVERAGE(OFFSET($H$3,0,0,'Données projet'!$E$11+1,1))</f>
        <v>298.18906674058809</v>
      </c>
      <c r="BJ88" s="62">
        <f t="shared" si="92"/>
        <v>154.08406475869634</v>
      </c>
      <c r="BK88" s="16">
        <f>IF(ISNA(VLOOKUP(A88,'Données projet'!$A$87:$I$107,3,0)),0,VLOOKUP(A88,'Données projet'!$A$87:$I$107,3,0))</f>
        <v>13</v>
      </c>
      <c r="BL88" s="16">
        <f>IF(ISNA(VLOOKUP(A88,'Données projet'!$A$87:$I$107,4,0)),0,VLOOKUP(A88,'Données projet'!$A$87:$I$107,4,0))</f>
        <v>14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>
        <f>VLOOKUP(A88,'Données projet'!$A$113:$I$133,2,0)</f>
        <v>200</v>
      </c>
      <c r="BW88" s="13">
        <f>VLOOKUP(A88,'Données projet'!$A$113:$I$133,9,0)</f>
        <v>4.4000000000000004</v>
      </c>
      <c r="BX88" s="13">
        <f t="array" ref="BX88">INDEX(BW:BW,MIN(IF(ISNUMBER(BW88:BW284),ROW(BW88:BW284),"")))</f>
        <v>4.4000000000000004</v>
      </c>
      <c r="BY88" s="13">
        <f>IF('Données projet'!$A$114&gt;35,BY87+BX88-CG87,IF(A88&lt;'Données projet'!$A$114,$BV$205^A88,IF(A88='Données projet'!$A$114,'Données projet'!$B$114,BY87+BX88-CG87)))</f>
        <v>199.99999999999986</v>
      </c>
      <c r="BZ88" s="14">
        <f>BY88*VLOOKUP('Données projet'!$B$12,Paramètres!$A$1:$I$89,3,0)*VLOOKUP('Données projet'!$B$12,Paramètres!$A$1:$I$89,5,0)</f>
        <v>134.15999999999991</v>
      </c>
      <c r="CA88" s="14">
        <f t="shared" si="93"/>
        <v>34.95584391729615</v>
      </c>
      <c r="CB88" s="22">
        <f t="shared" si="64"/>
        <v>294.54342815595732</v>
      </c>
      <c r="CC88" s="62">
        <f t="shared" si="65"/>
        <v>587.87676148929063</v>
      </c>
      <c r="CD88" s="62">
        <f ca="1">AVERAGE(OFFSET($CC$3,0,0,'Données projet'!$E$12+1,1))-AVERAGE(OFFSET($H$3,0,0,'Données projet'!$E$12+1,1))</f>
        <v>218.24409784339861</v>
      </c>
      <c r="CE88" s="62">
        <f t="shared" si="94"/>
        <v>118.89963447540509</v>
      </c>
      <c r="CF88" s="16">
        <f>IF(ISNA(VLOOKUP(A88,'Données projet'!$A$113:$I$133,3,0)),0,VLOOKUP(A88,'Données projet'!$A$113:$I$133,3,0))</f>
        <v>13</v>
      </c>
      <c r="CG88" s="16">
        <f>IF(ISNA(VLOOKUP(A88,'Données projet'!$A$113:$I$133,4,0)),0,VLOOKUP(A88,'Données projet'!$A$113:$I$133,4,0))</f>
        <v>14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257.80952690600492</v>
      </c>
      <c r="T89" s="62">
        <f t="shared" si="88"/>
        <v>269.95358755269427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1.100503065315328</v>
      </c>
      <c r="AA89" s="23">
        <f>EXP(-LN(2)/25)*AA88+(1-EXP(-LN(2)/25))/(LN(2)/25)*Calculateur!V89*Calculateur!X89*VLOOKUP('Données projet'!$B$9,Paramètres!$A$1:$I$89,3,0)*0.475*44/12</f>
        <v>1.7175637451908652</v>
      </c>
      <c r="AB89" s="23">
        <f>EXP(-LN(2)/2)*AB88+(1-EXP(-LN(2)/2))/(LN(2)/2)*V89*Y89*VLOOKUP('Données projet'!$B$9,Paramètres!$A$1:$I$89,3,0)*0.475*44/12</f>
        <v>4.9120013961518675E-8</v>
      </c>
      <c r="AC89" s="24">
        <f t="shared" si="57"/>
        <v>2.8180668596262071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3.4106051316484809E-13</v>
      </c>
      <c r="AJ89" s="14">
        <f>AI89*VLOOKUP('Données projet'!$B$10,Paramètres!$A$1:$I$89,3,0)*VLOOKUP('Données projet'!$B$10,Paramètres!$A$1:$I$89,5,0)</f>
        <v>1.9508661353029313E-13</v>
      </c>
      <c r="AK89" s="14">
        <f t="shared" si="89"/>
        <v>2.711421636700695E-12</v>
      </c>
      <c r="AL89" s="22">
        <f t="shared" si="58"/>
        <v>5.0621685358189711E-12</v>
      </c>
      <c r="AM89" s="62">
        <f t="shared" si="59"/>
        <v>293.33333333333837</v>
      </c>
      <c r="AN89" s="62">
        <f ca="1">AVERAGE(OFFSET($AM$3,0,0,'Données projet'!$E$10+1,1))-AVERAGE(OFFSET($H$3,0,0,'Données projet'!$E$10+1,1))</f>
        <v>258.09881752732008</v>
      </c>
      <c r="AO89" s="62">
        <f t="shared" si="90"/>
        <v>214.72899476643335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5.1179724799406446E-9</v>
      </c>
      <c r="AX89" s="23">
        <f t="shared" si="60"/>
        <v>5.1179724799406446E-9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4.2</v>
      </c>
      <c r="BD89" s="13">
        <f>IF('Données projet'!$A$88&gt;35,BD88+BC89-BL88,IF(A89&lt;'Données projet'!$A$88,$BA$205^A89,IF(A89='Données projet'!$A$88,'Données projet'!$B$88,BD88+BC89-BL88)))</f>
        <v>190.19999999999985</v>
      </c>
      <c r="BE89" s="14">
        <f>BD89*VLOOKUP('Données projet'!$B$11,Paramètres!$A$1:$I$89,3,0)*VLOOKUP('Données projet'!$B$11,Paramètres!$A$1:$I$89,5,0)</f>
        <v>183.96143999999987</v>
      </c>
      <c r="BF89" s="14">
        <f t="shared" si="91"/>
        <v>46.202413833061883</v>
      </c>
      <c r="BG89" s="22">
        <f t="shared" si="61"/>
        <v>400.86871209258248</v>
      </c>
      <c r="BH89" s="62">
        <f t="shared" si="62"/>
        <v>694.2020454259158</v>
      </c>
      <c r="BI89" s="62">
        <f ca="1">AVERAGE(OFFSET($BH$3,0,0,'Données projet'!$E$11+1,1))-AVERAGE(OFFSET($H$3,0,0,'Données projet'!$E$11+1,1))</f>
        <v>298.18906674058809</v>
      </c>
      <c r="BJ89" s="62">
        <f t="shared" si="92"/>
        <v>154.08406475869634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4.2</v>
      </c>
      <c r="BY89" s="13">
        <f>IF('Données projet'!$A$114&gt;35,BY88+BX89-CG88,IF(A89&lt;'Données projet'!$A$114,$BV$205^A89,IF(A89='Données projet'!$A$114,'Données projet'!$B$114,BY88+BX89-CG88)))</f>
        <v>190.19999999999985</v>
      </c>
      <c r="BZ89" s="14">
        <f>BY89*VLOOKUP('Données projet'!$B$12,Paramètres!$A$1:$I$89,3,0)*VLOOKUP('Données projet'!$B$12,Paramètres!$A$1:$I$89,5,0)</f>
        <v>127.58615999999989</v>
      </c>
      <c r="CA89" s="14">
        <f t="shared" si="93"/>
        <v>33.437984818390682</v>
      </c>
      <c r="CB89" s="22">
        <f t="shared" si="64"/>
        <v>280.45038555869695</v>
      </c>
      <c r="CC89" s="62">
        <f t="shared" si="65"/>
        <v>573.78371889203027</v>
      </c>
      <c r="CD89" s="62">
        <f ca="1">AVERAGE(OFFSET($CC$3,0,0,'Données projet'!$E$12+1,1))-AVERAGE(OFFSET($H$3,0,0,'Données projet'!$E$12+1,1))</f>
        <v>218.24409784339861</v>
      </c>
      <c r="CE89" s="62">
        <f t="shared" si="94"/>
        <v>118.89963447540509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257.80952690600492</v>
      </c>
      <c r="T90" s="62">
        <f t="shared" si="88"/>
        <v>269.95358755269427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1.0789228714450847</v>
      </c>
      <c r="AA90" s="23">
        <f>EXP(-LN(2)/25)*AA89+(1-EXP(-LN(2)/25))/(LN(2)/25)*Calculateur!V90*Calculateur!X90*VLOOKUP('Données projet'!$B$9,Paramètres!$A$1:$I$89,3,0)*0.475*44/12</f>
        <v>1.6705968742558692</v>
      </c>
      <c r="AB90" s="23">
        <f>EXP(-LN(2)/2)*AB89+(1-EXP(-LN(2)/2))/(LN(2)/2)*V90*Y90*VLOOKUP('Données projet'!$B$9,Paramètres!$A$1:$I$89,3,0)*0.475*44/12</f>
        <v>3.4733094964167745E-8</v>
      </c>
      <c r="AC90" s="24">
        <f t="shared" si="57"/>
        <v>2.7495197804340488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3.4106051316484809E-13</v>
      </c>
      <c r="AJ90" s="14">
        <f>AI90*VLOOKUP('Données projet'!$B$10,Paramètres!$A$1:$I$89,3,0)*VLOOKUP('Données projet'!$B$10,Paramètres!$A$1:$I$89,5,0)</f>
        <v>1.9508661353029313E-13</v>
      </c>
      <c r="AK90" s="14">
        <f t="shared" si="89"/>
        <v>2.711421636700695E-12</v>
      </c>
      <c r="AL90" s="22">
        <f t="shared" si="58"/>
        <v>5.0621685358189711E-12</v>
      </c>
      <c r="AM90" s="62">
        <f t="shared" si="59"/>
        <v>293.33333333333837</v>
      </c>
      <c r="AN90" s="62">
        <f ca="1">AVERAGE(OFFSET($AM$3,0,0,'Données projet'!$E$10+1,1))-AVERAGE(OFFSET($H$3,0,0,'Données projet'!$E$10+1,1))</f>
        <v>258.09881752732008</v>
      </c>
      <c r="AO90" s="62">
        <f t="shared" si="90"/>
        <v>214.72899476643335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3.6189530464921615E-9</v>
      </c>
      <c r="AX90" s="23">
        <f t="shared" si="60"/>
        <v>3.6189530464921615E-9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4.2</v>
      </c>
      <c r="BD90" s="13">
        <f>IF('Données projet'!$A$88&gt;35,BD89+BC90-BL89,IF(A90&lt;'Données projet'!$A$88,$BA$205^A90,IF(A90='Données projet'!$A$88,'Données projet'!$B$88,BD89+BC90-BL89)))</f>
        <v>194.39999999999984</v>
      </c>
      <c r="BE90" s="14">
        <f>BD90*VLOOKUP('Données projet'!$B$11,Paramètres!$A$1:$I$89,3,0)*VLOOKUP('Données projet'!$B$11,Paramètres!$A$1:$I$89,5,0)</f>
        <v>188.02367999999984</v>
      </c>
      <c r="BF90" s="14">
        <f t="shared" si="91"/>
        <v>47.10275101826771</v>
      </c>
      <c r="BG90" s="22">
        <f t="shared" si="61"/>
        <v>409.51186735681603</v>
      </c>
      <c r="BH90" s="62">
        <f t="shared" si="62"/>
        <v>702.84520069014934</v>
      </c>
      <c r="BI90" s="62">
        <f ca="1">AVERAGE(OFFSET($BH$3,0,0,'Données projet'!$E$11+1,1))-AVERAGE(OFFSET($H$3,0,0,'Données projet'!$E$11+1,1))</f>
        <v>298.18906674058809</v>
      </c>
      <c r="BJ90" s="62">
        <f t="shared" si="92"/>
        <v>154.08406475869634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4.2</v>
      </c>
      <c r="BY90" s="13">
        <f>IF('Données projet'!$A$114&gt;35,BY89+BX90-CG89,IF(A90&lt;'Données projet'!$A$114,$BV$205^A90,IF(A90='Données projet'!$A$114,'Données projet'!$B$114,BY89+BX90-CG89)))</f>
        <v>194.39999999999984</v>
      </c>
      <c r="BZ90" s="14">
        <f>BY90*VLOOKUP('Données projet'!$B$12,Paramètres!$A$1:$I$89,3,0)*VLOOKUP('Données projet'!$B$12,Paramètres!$A$1:$I$89,5,0)</f>
        <v>130.4035199999999</v>
      </c>
      <c r="CA90" s="14">
        <f t="shared" si="93"/>
        <v>34.089584131775517</v>
      </c>
      <c r="CB90" s="22">
        <f t="shared" si="64"/>
        <v>286.49215636284219</v>
      </c>
      <c r="CC90" s="62">
        <f t="shared" si="65"/>
        <v>579.82548969617551</v>
      </c>
      <c r="CD90" s="62">
        <f ca="1">AVERAGE(OFFSET($CC$3,0,0,'Données projet'!$E$12+1,1))-AVERAGE(OFFSET($H$3,0,0,'Données projet'!$E$12+1,1))</f>
        <v>218.24409784339861</v>
      </c>
      <c r="CE90" s="62">
        <f t="shared" si="94"/>
        <v>118.89963447540509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257.80952690600492</v>
      </c>
      <c r="T91" s="62">
        <f t="shared" si="88"/>
        <v>269.95358755269427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1.0577658520140183</v>
      </c>
      <c r="AA91" s="23">
        <f>EXP(-LN(2)/25)*AA90+(1-EXP(-LN(2)/25))/(LN(2)/25)*Calculateur!V91*Calculateur!X91*VLOOKUP('Données projet'!$B$9,Paramètres!$A$1:$I$89,3,0)*0.475*44/12</f>
        <v>1.6249143148764711</v>
      </c>
      <c r="AB91" s="23">
        <f>EXP(-LN(2)/2)*AB90+(1-EXP(-LN(2)/2))/(LN(2)/2)*V91*Y91*VLOOKUP('Données projet'!$B$9,Paramètres!$A$1:$I$89,3,0)*0.475*44/12</f>
        <v>2.4560006980759337E-8</v>
      </c>
      <c r="AC91" s="24">
        <f t="shared" si="57"/>
        <v>2.6826801914504963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3.4106051316484809E-13</v>
      </c>
      <c r="AJ91" s="14">
        <f>AI91*VLOOKUP('Données projet'!$B$10,Paramètres!$A$1:$I$89,3,0)*VLOOKUP('Données projet'!$B$10,Paramètres!$A$1:$I$89,5,0)</f>
        <v>1.9508661353029313E-13</v>
      </c>
      <c r="AK91" s="14">
        <f t="shared" si="89"/>
        <v>2.711421636700695E-12</v>
      </c>
      <c r="AL91" s="22">
        <f t="shared" si="58"/>
        <v>5.0621685358189711E-12</v>
      </c>
      <c r="AM91" s="62">
        <f t="shared" si="59"/>
        <v>293.33333333333837</v>
      </c>
      <c r="AN91" s="62">
        <f ca="1">AVERAGE(OFFSET($AM$3,0,0,'Données projet'!$E$10+1,1))-AVERAGE(OFFSET($H$3,0,0,'Données projet'!$E$10+1,1))</f>
        <v>258.09881752732008</v>
      </c>
      <c r="AO91" s="62">
        <f t="shared" si="90"/>
        <v>214.72899476643335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2.5589862399703227E-9</v>
      </c>
      <c r="AX91" s="23">
        <f t="shared" si="60"/>
        <v>2.5589862399703227E-9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4.2</v>
      </c>
      <c r="BD91" s="13">
        <f>IF('Données projet'!$A$88&gt;35,BD90+BC91-BL90,IF(A91&lt;'Données projet'!$A$88,$BA$205^A91,IF(A91='Données projet'!$A$88,'Données projet'!$B$88,BD90+BC91-BL90)))</f>
        <v>198.59999999999982</v>
      </c>
      <c r="BE91" s="14">
        <f>BD91*VLOOKUP('Données projet'!$B$11,Paramètres!$A$1:$I$89,3,0)*VLOOKUP('Données projet'!$B$11,Paramètres!$A$1:$I$89,5,0)</f>
        <v>192.08591999999985</v>
      </c>
      <c r="BF91" s="14">
        <f t="shared" si="91"/>
        <v>48.000826680832176</v>
      </c>
      <c r="BG91" s="22">
        <f t="shared" si="61"/>
        <v>418.15108380244902</v>
      </c>
      <c r="BH91" s="62">
        <f t="shared" si="62"/>
        <v>711.48441713578234</v>
      </c>
      <c r="BI91" s="62">
        <f ca="1">AVERAGE(OFFSET($BH$3,0,0,'Données projet'!$E$11+1,1))-AVERAGE(OFFSET($H$3,0,0,'Données projet'!$E$11+1,1))</f>
        <v>298.18906674058809</v>
      </c>
      <c r="BJ91" s="62">
        <f t="shared" si="92"/>
        <v>154.08406475869634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4.2</v>
      </c>
      <c r="BY91" s="13">
        <f>IF('Données projet'!$A$114&gt;35,BY90+BX91-CG90,IF(A91&lt;'Données projet'!$A$114,$BV$205^A91,IF(A91='Données projet'!$A$114,'Données projet'!$B$114,BY90+BX91-CG90)))</f>
        <v>198.59999999999982</v>
      </c>
      <c r="BZ91" s="14">
        <f>BY91*VLOOKUP('Données projet'!$B$12,Paramètres!$A$1:$I$89,3,0)*VLOOKUP('Données projet'!$B$12,Paramètres!$A$1:$I$89,5,0)</f>
        <v>133.22087999999988</v>
      </c>
      <c r="CA91" s="14">
        <f t="shared" si="93"/>
        <v>34.739546717693621</v>
      </c>
      <c r="CB91" s="22">
        <f t="shared" si="64"/>
        <v>292.53107653331614</v>
      </c>
      <c r="CC91" s="62">
        <f t="shared" si="65"/>
        <v>585.86440986664945</v>
      </c>
      <c r="CD91" s="62">
        <f ca="1">AVERAGE(OFFSET($CC$3,0,0,'Données projet'!$E$12+1,1))-AVERAGE(OFFSET($H$3,0,0,'Données projet'!$E$12+1,1))</f>
        <v>218.24409784339861</v>
      </c>
      <c r="CE91" s="62">
        <f t="shared" si="94"/>
        <v>118.89963447540509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257.80952690600492</v>
      </c>
      <c r="T92" s="62">
        <f t="shared" si="88"/>
        <v>269.95358755269427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1.0370237088294876</v>
      </c>
      <c r="AA92" s="23">
        <f>EXP(-LN(2)/25)*AA91+(1-EXP(-LN(2)/25))/(LN(2)/25)*Calculateur!V92*Calculateur!X92*VLOOKUP('Données projet'!$B$9,Paramètres!$A$1:$I$89,3,0)*0.475*44/12</f>
        <v>1.580480947485644</v>
      </c>
      <c r="AB92" s="23">
        <f>EXP(-LN(2)/2)*AB91+(1-EXP(-LN(2)/2))/(LN(2)/2)*V92*Y92*VLOOKUP('Données projet'!$B$9,Paramètres!$A$1:$I$89,3,0)*0.475*44/12</f>
        <v>1.7366547482083872E-8</v>
      </c>
      <c r="AC92" s="24">
        <f t="shared" si="57"/>
        <v>2.6175046736816787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3.4106051316484809E-13</v>
      </c>
      <c r="AJ92" s="14">
        <f>AI92*VLOOKUP('Données projet'!$B$10,Paramètres!$A$1:$I$89,3,0)*VLOOKUP('Données projet'!$B$10,Paramètres!$A$1:$I$89,5,0)</f>
        <v>1.9508661353029313E-13</v>
      </c>
      <c r="AK92" s="14">
        <f t="shared" si="89"/>
        <v>2.711421636700695E-12</v>
      </c>
      <c r="AL92" s="22">
        <f t="shared" si="58"/>
        <v>5.0621685358189711E-12</v>
      </c>
      <c r="AM92" s="62">
        <f t="shared" si="59"/>
        <v>293.33333333333837</v>
      </c>
      <c r="AN92" s="62">
        <f ca="1">AVERAGE(OFFSET($AM$3,0,0,'Données projet'!$E$10+1,1))-AVERAGE(OFFSET($H$3,0,0,'Données projet'!$E$10+1,1))</f>
        <v>258.09881752732008</v>
      </c>
      <c r="AO92" s="62">
        <f t="shared" si="90"/>
        <v>214.72899476643335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1.8094765232460811E-9</v>
      </c>
      <c r="AX92" s="23">
        <f t="shared" si="60"/>
        <v>1.8094765232460811E-9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4.2</v>
      </c>
      <c r="BD92" s="13">
        <f>IF('Données projet'!$A$88&gt;35,BD91+BC92-BL91,IF(A92&lt;'Données projet'!$A$88,$BA$205^A92,IF(A92='Données projet'!$A$88,'Données projet'!$B$88,BD91+BC92-BL91)))</f>
        <v>202.79999999999981</v>
      </c>
      <c r="BE92" s="14">
        <f>BD92*VLOOKUP('Données projet'!$B$11,Paramètres!$A$1:$I$89,3,0)*VLOOKUP('Données projet'!$B$11,Paramètres!$A$1:$I$89,5,0)</f>
        <v>196.14815999999982</v>
      </c>
      <c r="BF92" s="14">
        <f t="shared" si="91"/>
        <v>48.896694156917398</v>
      </c>
      <c r="BG92" s="22">
        <f t="shared" si="61"/>
        <v>426.78645432329745</v>
      </c>
      <c r="BH92" s="62">
        <f t="shared" si="62"/>
        <v>720.11978765663071</v>
      </c>
      <c r="BI92" s="62">
        <f ca="1">AVERAGE(OFFSET($BH$3,0,0,'Données projet'!$E$11+1,1))-AVERAGE(OFFSET($H$3,0,0,'Données projet'!$E$11+1,1))</f>
        <v>298.18906674058809</v>
      </c>
      <c r="BJ92" s="62">
        <f t="shared" si="92"/>
        <v>154.08406475869634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4.2</v>
      </c>
      <c r="BY92" s="13">
        <f>IF('Données projet'!$A$114&gt;35,BY91+BX92-CG91,IF(A92&lt;'Données projet'!$A$114,$BV$205^A92,IF(A92='Données projet'!$A$114,'Données projet'!$B$114,BY91+BX92-CG91)))</f>
        <v>202.79999999999981</v>
      </c>
      <c r="BZ92" s="14">
        <f>BY92*VLOOKUP('Données projet'!$B$12,Paramètres!$A$1:$I$89,3,0)*VLOOKUP('Données projet'!$B$12,Paramètres!$A$1:$I$89,5,0)</f>
        <v>136.03823999999989</v>
      </c>
      <c r="CA92" s="14">
        <f t="shared" si="93"/>
        <v>35.387911177023916</v>
      </c>
      <c r="CB92" s="22">
        <f t="shared" si="64"/>
        <v>298.56721329998305</v>
      </c>
      <c r="CC92" s="62">
        <f t="shared" si="65"/>
        <v>591.90054663331637</v>
      </c>
      <c r="CD92" s="62">
        <f ca="1">AVERAGE(OFFSET($CC$3,0,0,'Données projet'!$E$12+1,1))-AVERAGE(OFFSET($H$3,0,0,'Données projet'!$E$12+1,1))</f>
        <v>218.24409784339861</v>
      </c>
      <c r="CE92" s="62">
        <f t="shared" si="94"/>
        <v>118.89963447540509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257.80952690600492</v>
      </c>
      <c r="T93" s="62">
        <f t="shared" si="88"/>
        <v>269.95358755269427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1.0166883064213474</v>
      </c>
      <c r="AA93" s="23">
        <f>EXP(-LN(2)/25)*AA92+(1-EXP(-LN(2)/25))/(LN(2)/25)*Calculateur!V93*Calculateur!X93*VLOOKUP('Données projet'!$B$9,Paramètres!$A$1:$I$89,3,0)*0.475*44/12</f>
        <v>1.5372626128627682</v>
      </c>
      <c r="AB93" s="23">
        <f>EXP(-LN(2)/2)*AB92+(1-EXP(-LN(2)/2))/(LN(2)/2)*V93*Y93*VLOOKUP('Données projet'!$B$9,Paramètres!$A$1:$I$89,3,0)*0.475*44/12</f>
        <v>1.2280003490379669E-8</v>
      </c>
      <c r="AC93" s="24">
        <f t="shared" si="57"/>
        <v>2.5539509315641196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3.4106051316484809E-13</v>
      </c>
      <c r="AJ93" s="14">
        <f>AI93*VLOOKUP('Données projet'!$B$10,Paramètres!$A$1:$I$89,3,0)*VLOOKUP('Données projet'!$B$10,Paramètres!$A$1:$I$89,5,0)</f>
        <v>1.9508661353029313E-13</v>
      </c>
      <c r="AK93" s="14">
        <f t="shared" si="89"/>
        <v>2.711421636700695E-12</v>
      </c>
      <c r="AL93" s="22">
        <f t="shared" si="58"/>
        <v>5.0621685358189711E-12</v>
      </c>
      <c r="AM93" s="62">
        <f t="shared" si="59"/>
        <v>293.33333333333837</v>
      </c>
      <c r="AN93" s="62">
        <f ca="1">AVERAGE(OFFSET($AM$3,0,0,'Données projet'!$E$10+1,1))-AVERAGE(OFFSET($H$3,0,0,'Données projet'!$E$10+1,1))</f>
        <v>258.09881752732008</v>
      </c>
      <c r="AO93" s="62">
        <f t="shared" si="90"/>
        <v>214.72899476643335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1.2794931199851616E-9</v>
      </c>
      <c r="AX93" s="23">
        <f t="shared" si="60"/>
        <v>1.2794931199851616E-9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207</v>
      </c>
      <c r="BB93" s="13">
        <f>VLOOKUP(A93,'Données projet'!$A$87:$I$107,9,0)</f>
        <v>4.2</v>
      </c>
      <c r="BC93" s="13">
        <f t="array" ref="BC93">INDEX(BB:BB,MIN(IF(ISNUMBER(BB93:BB289),ROW(BB93:BB289),"")))</f>
        <v>4.2</v>
      </c>
      <c r="BD93" s="13">
        <f>IF('Données projet'!$A$88&gt;35,BD92+BC93-BL92,IF(A93&lt;'Données projet'!$A$88,$BA$205^A93,IF(A93='Données projet'!$A$88,'Données projet'!$B$88,BD92+BC93-BL92)))</f>
        <v>206.9999999999998</v>
      </c>
      <c r="BE93" s="14">
        <f>BD93*VLOOKUP('Données projet'!$B$11,Paramètres!$A$1:$I$89,3,0)*VLOOKUP('Données projet'!$B$11,Paramètres!$A$1:$I$89,5,0)</f>
        <v>200.21039999999982</v>
      </c>
      <c r="BF93" s="14">
        <f t="shared" si="91"/>
        <v>49.790404447235005</v>
      </c>
      <c r="BG93" s="22">
        <f t="shared" si="61"/>
        <v>435.41806774560064</v>
      </c>
      <c r="BH93" s="62">
        <f t="shared" si="62"/>
        <v>728.7514010789339</v>
      </c>
      <c r="BI93" s="62">
        <f ca="1">AVERAGE(OFFSET($BH$3,0,0,'Données projet'!$E$11+1,1))-AVERAGE(OFFSET($H$3,0,0,'Données projet'!$E$11+1,1))</f>
        <v>298.18906674058809</v>
      </c>
      <c r="BJ93" s="62">
        <f t="shared" si="92"/>
        <v>154.08406475869634</v>
      </c>
      <c r="BK93" s="16">
        <f>IF(ISNA(VLOOKUP(A93,'Données projet'!$A$87:$I$107,3,0)),0,VLOOKUP(A93,'Données projet'!$A$87:$I$107,3,0))</f>
        <v>14</v>
      </c>
      <c r="BL93" s="16">
        <f>IF(ISNA(VLOOKUP(A93,'Données projet'!$A$87:$I$107,4,0)),0,VLOOKUP(A93,'Données projet'!$A$87:$I$107,4,0))</f>
        <v>14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207</v>
      </c>
      <c r="BW93" s="13">
        <f>VLOOKUP(A93,'Données projet'!$A$113:$I$133,9,0)</f>
        <v>4.2</v>
      </c>
      <c r="BX93" s="13">
        <f t="array" ref="BX93">INDEX(BW:BW,MIN(IF(ISNUMBER(BW93:BW289),ROW(BW93:BW289),"")))</f>
        <v>4.2</v>
      </c>
      <c r="BY93" s="13">
        <f>IF('Données projet'!$A$114&gt;35,BY92+BX93-CG92,IF(A93&lt;'Données projet'!$A$114,$BV$205^A93,IF(A93='Données projet'!$A$114,'Données projet'!$B$114,BY92+BX93-CG92)))</f>
        <v>206.9999999999998</v>
      </c>
      <c r="BZ93" s="14">
        <f>BY93*VLOOKUP('Données projet'!$B$12,Paramètres!$A$1:$I$89,3,0)*VLOOKUP('Données projet'!$B$12,Paramètres!$A$1:$I$89,5,0)</f>
        <v>138.85559999999987</v>
      </c>
      <c r="CA93" s="14">
        <f t="shared" si="93"/>
        <v>36.034714420414126</v>
      </c>
      <c r="CB93" s="22">
        <f t="shared" si="64"/>
        <v>304.60063094888767</v>
      </c>
      <c r="CC93" s="62">
        <f t="shared" si="65"/>
        <v>597.93396428222104</v>
      </c>
      <c r="CD93" s="62">
        <f ca="1">AVERAGE(OFFSET($CC$3,0,0,'Données projet'!$E$12+1,1))-AVERAGE(OFFSET($H$3,0,0,'Données projet'!$E$12+1,1))</f>
        <v>218.24409784339861</v>
      </c>
      <c r="CE93" s="62">
        <f t="shared" si="94"/>
        <v>118.89963447540509</v>
      </c>
      <c r="CF93" s="16">
        <f>IF(ISNA(VLOOKUP(A93,'Données projet'!$A$113:$I$133,3,0)),0,VLOOKUP(A93,'Données projet'!$A$113:$I$133,3,0))</f>
        <v>14</v>
      </c>
      <c r="CG93" s="16">
        <f>IF(ISNA(VLOOKUP(A93,'Données projet'!$A$113:$I$133,4,0)),0,VLOOKUP(A93,'Données projet'!$A$113:$I$133,4,0))</f>
        <v>14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257.80952690600492</v>
      </c>
      <c r="T94" s="62">
        <f t="shared" si="88"/>
        <v>269.95358755269427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0.99675166885106015</v>
      </c>
      <c r="AA94" s="23">
        <f>EXP(-LN(2)/25)*AA93+(1-EXP(-LN(2)/25))/(LN(2)/25)*Calculateur!V94*Calculateur!X94*VLOOKUP('Données projet'!$B$9,Paramètres!$A$1:$I$89,3,0)*0.475*44/12</f>
        <v>1.4952260858729085</v>
      </c>
      <c r="AB94" s="23">
        <f>EXP(-LN(2)/2)*AB93+(1-EXP(-LN(2)/2))/(LN(2)/2)*V94*Y94*VLOOKUP('Données projet'!$B$9,Paramètres!$A$1:$I$89,3,0)*0.475*44/12</f>
        <v>8.6832737410419362E-9</v>
      </c>
      <c r="AC94" s="24">
        <f t="shared" si="57"/>
        <v>2.4919777634072422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3.4106051316484809E-13</v>
      </c>
      <c r="AJ94" s="14">
        <f>AI94*VLOOKUP('Données projet'!$B$10,Paramètres!$A$1:$I$89,3,0)*VLOOKUP('Données projet'!$B$10,Paramètres!$A$1:$I$89,5,0)</f>
        <v>1.9508661353029313E-13</v>
      </c>
      <c r="AK94" s="14">
        <f t="shared" si="89"/>
        <v>2.711421636700695E-12</v>
      </c>
      <c r="AL94" s="22">
        <f t="shared" si="58"/>
        <v>5.0621685358189711E-12</v>
      </c>
      <c r="AM94" s="62">
        <f t="shared" si="59"/>
        <v>293.33333333333837</v>
      </c>
      <c r="AN94" s="62">
        <f ca="1">AVERAGE(OFFSET($AM$3,0,0,'Données projet'!$E$10+1,1))-AVERAGE(OFFSET($H$3,0,0,'Données projet'!$E$10+1,1))</f>
        <v>258.09881752732008</v>
      </c>
      <c r="AO94" s="62">
        <f t="shared" si="90"/>
        <v>214.72899476643335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9.0473826162304068E-10</v>
      </c>
      <c r="AX94" s="23">
        <f t="shared" si="60"/>
        <v>9.0473826162304068E-10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3.8</v>
      </c>
      <c r="BD94" s="13">
        <f>IF('Données projet'!$A$88&gt;35,BD93+BC94-BL93,IF(A94&lt;'Données projet'!$A$88,$BA$205^A94,IF(A94='Données projet'!$A$88,'Données projet'!$B$88,BD93+BC94-BL93)))</f>
        <v>196.79999999999981</v>
      </c>
      <c r="BE94" s="14">
        <f>BD94*VLOOKUP('Données projet'!$B$11,Paramètres!$A$1:$I$89,3,0)*VLOOKUP('Données projet'!$B$11,Paramètres!$A$1:$I$89,5,0)</f>
        <v>190.34495999999982</v>
      </c>
      <c r="BF94" s="14">
        <f t="shared" si="91"/>
        <v>47.61621055610108</v>
      </c>
      <c r="BG94" s="22">
        <f t="shared" si="61"/>
        <v>414.4490387185424</v>
      </c>
      <c r="BH94" s="62">
        <f t="shared" si="62"/>
        <v>707.78237205187565</v>
      </c>
      <c r="BI94" s="62">
        <f ca="1">AVERAGE(OFFSET($BH$3,0,0,'Données projet'!$E$11+1,1))-AVERAGE(OFFSET($H$3,0,0,'Données projet'!$E$11+1,1))</f>
        <v>298.18906674058809</v>
      </c>
      <c r="BJ94" s="62">
        <f t="shared" si="92"/>
        <v>154.08406475869634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3.8</v>
      </c>
      <c r="BY94" s="13">
        <f>IF('Données projet'!$A$114&gt;35,BY93+BX94-CG93,IF(A94&lt;'Données projet'!$A$114,$BV$205^A94,IF(A94='Données projet'!$A$114,'Données projet'!$B$114,BY93+BX94-CG93)))</f>
        <v>196.79999999999981</v>
      </c>
      <c r="BZ94" s="14">
        <f>BY94*VLOOKUP('Données projet'!$B$12,Paramètres!$A$1:$I$89,3,0)*VLOOKUP('Données projet'!$B$12,Paramètres!$A$1:$I$89,5,0)</f>
        <v>132.01343999999989</v>
      </c>
      <c r="CA94" s="14">
        <f t="shared" si="93"/>
        <v>34.461189223513038</v>
      </c>
      <c r="CB94" s="22">
        <f t="shared" si="64"/>
        <v>289.94331256428501</v>
      </c>
      <c r="CC94" s="62">
        <f t="shared" si="65"/>
        <v>583.27664589761832</v>
      </c>
      <c r="CD94" s="62">
        <f ca="1">AVERAGE(OFFSET($CC$3,0,0,'Données projet'!$E$12+1,1))-AVERAGE(OFFSET($H$3,0,0,'Données projet'!$E$12+1,1))</f>
        <v>218.24409784339861</v>
      </c>
      <c r="CE94" s="62">
        <f t="shared" si="94"/>
        <v>118.89963447540509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257.80952690600492</v>
      </c>
      <c r="T95" s="62">
        <f t="shared" si="88"/>
        <v>269.95358755269427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0.97720597658337793</v>
      </c>
      <c r="AA95" s="23">
        <f>EXP(-LN(2)/25)*AA94+(1-EXP(-LN(2)/25))/(LN(2)/25)*Calculateur!V95*Calculateur!X95*VLOOKUP('Données projet'!$B$9,Paramètres!$A$1:$I$89,3,0)*0.475*44/12</f>
        <v>1.4543390499241913</v>
      </c>
      <c r="AB95" s="23">
        <f>EXP(-LN(2)/2)*AB94+(1-EXP(-LN(2)/2))/(LN(2)/2)*V95*Y95*VLOOKUP('Données projet'!$B$9,Paramètres!$A$1:$I$89,3,0)*0.475*44/12</f>
        <v>6.1400017451898343E-9</v>
      </c>
      <c r="AC95" s="24">
        <f t="shared" si="57"/>
        <v>2.4315450326475712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3.4106051316484809E-13</v>
      </c>
      <c r="AJ95" s="14">
        <f>AI95*VLOOKUP('Données projet'!$B$10,Paramètres!$A$1:$I$89,3,0)*VLOOKUP('Données projet'!$B$10,Paramètres!$A$1:$I$89,5,0)</f>
        <v>1.9508661353029313E-13</v>
      </c>
      <c r="AK95" s="14">
        <f t="shared" si="89"/>
        <v>2.711421636700695E-12</v>
      </c>
      <c r="AL95" s="22">
        <f t="shared" si="58"/>
        <v>5.0621685358189711E-12</v>
      </c>
      <c r="AM95" s="62">
        <f t="shared" si="59"/>
        <v>293.33333333333837</v>
      </c>
      <c r="AN95" s="62">
        <f ca="1">AVERAGE(OFFSET($AM$3,0,0,'Données projet'!$E$10+1,1))-AVERAGE(OFFSET($H$3,0,0,'Données projet'!$E$10+1,1))</f>
        <v>258.09881752732008</v>
      </c>
      <c r="AO95" s="62">
        <f t="shared" si="90"/>
        <v>214.72899476643335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6.3974655999258088E-10</v>
      </c>
      <c r="AX95" s="23">
        <f t="shared" si="60"/>
        <v>6.3974655999258088E-10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3.8</v>
      </c>
      <c r="BD95" s="13">
        <f>IF('Données projet'!$A$88&gt;35,BD94+BC95-BL94,IF(A95&lt;'Données projet'!$A$88,$BA$205^A95,IF(A95='Données projet'!$A$88,'Données projet'!$B$88,BD94+BC95-BL94)))</f>
        <v>200.59999999999982</v>
      </c>
      <c r="BE95" s="14">
        <f>BD95*VLOOKUP('Données projet'!$B$11,Paramètres!$A$1:$I$89,3,0)*VLOOKUP('Données projet'!$B$11,Paramètres!$A$1:$I$89,5,0)</f>
        <v>194.02031999999983</v>
      </c>
      <c r="BF95" s="14">
        <f t="shared" si="91"/>
        <v>48.427702455615062</v>
      </c>
      <c r="BG95" s="22">
        <f t="shared" si="61"/>
        <v>422.26363911019592</v>
      </c>
      <c r="BH95" s="62">
        <f t="shared" si="62"/>
        <v>715.59697244352924</v>
      </c>
      <c r="BI95" s="62">
        <f ca="1">AVERAGE(OFFSET($BH$3,0,0,'Données projet'!$E$11+1,1))-AVERAGE(OFFSET($H$3,0,0,'Données projet'!$E$11+1,1))</f>
        <v>298.18906674058809</v>
      </c>
      <c r="BJ95" s="62">
        <f t="shared" si="92"/>
        <v>154.08406475869634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3.8</v>
      </c>
      <c r="BY95" s="13">
        <f>IF('Données projet'!$A$114&gt;35,BY94+BX95-CG94,IF(A95&lt;'Données projet'!$A$114,$BV$205^A95,IF(A95='Données projet'!$A$114,'Données projet'!$B$114,BY94+BX95-CG94)))</f>
        <v>200.59999999999982</v>
      </c>
      <c r="BZ95" s="14">
        <f>BY95*VLOOKUP('Données projet'!$B$12,Paramètres!$A$1:$I$89,3,0)*VLOOKUP('Données projet'!$B$12,Paramètres!$A$1:$I$89,5,0)</f>
        <v>134.56247999999988</v>
      </c>
      <c r="CA95" s="14">
        <f t="shared" si="93"/>
        <v>35.048488707783243</v>
      </c>
      <c r="CB95" s="22">
        <f t="shared" si="64"/>
        <v>295.40577049938889</v>
      </c>
      <c r="CC95" s="62">
        <f t="shared" si="65"/>
        <v>588.73910383272221</v>
      </c>
      <c r="CD95" s="62">
        <f ca="1">AVERAGE(OFFSET($CC$3,0,0,'Données projet'!$E$12+1,1))-AVERAGE(OFFSET($H$3,0,0,'Données projet'!$E$12+1,1))</f>
        <v>218.24409784339861</v>
      </c>
      <c r="CE95" s="62">
        <f t="shared" si="94"/>
        <v>118.89963447540509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257.80952690600492</v>
      </c>
      <c r="T96" s="62">
        <f t="shared" si="88"/>
        <v>269.95358755269427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0.95804356341936991</v>
      </c>
      <c r="AA96" s="23">
        <f>EXP(-LN(2)/25)*AA95+(1-EXP(-LN(2)/25))/(LN(2)/25)*Calculateur!V96*Calculateur!X96*VLOOKUP('Données projet'!$B$9,Paramètres!$A$1:$I$89,3,0)*0.475*44/12</f>
        <v>1.4145700721236476</v>
      </c>
      <c r="AB96" s="23">
        <f>EXP(-LN(2)/2)*AB95+(1-EXP(-LN(2)/2))/(LN(2)/2)*V96*Y96*VLOOKUP('Données projet'!$B$9,Paramètres!$A$1:$I$89,3,0)*0.475*44/12</f>
        <v>4.3416368705209681E-9</v>
      </c>
      <c r="AC96" s="24">
        <f t="shared" si="57"/>
        <v>2.3726136398846545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3.4106051316484809E-13</v>
      </c>
      <c r="AJ96" s="14">
        <f>AI96*VLOOKUP('Données projet'!$B$10,Paramètres!$A$1:$I$89,3,0)*VLOOKUP('Données projet'!$B$10,Paramètres!$A$1:$I$89,5,0)</f>
        <v>1.9508661353029313E-13</v>
      </c>
      <c r="AK96" s="14">
        <f t="shared" si="89"/>
        <v>2.711421636700695E-12</v>
      </c>
      <c r="AL96" s="22">
        <f t="shared" si="58"/>
        <v>5.0621685358189711E-12</v>
      </c>
      <c r="AM96" s="62">
        <f t="shared" si="59"/>
        <v>293.33333333333837</v>
      </c>
      <c r="AN96" s="62">
        <f ca="1">AVERAGE(OFFSET($AM$3,0,0,'Données projet'!$E$10+1,1))-AVERAGE(OFFSET($H$3,0,0,'Données projet'!$E$10+1,1))</f>
        <v>258.09881752732008</v>
      </c>
      <c r="AO96" s="62">
        <f t="shared" si="90"/>
        <v>214.72899476643335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4.5236913081152044E-10</v>
      </c>
      <c r="AX96" s="23">
        <f t="shared" si="60"/>
        <v>4.5236913081152044E-10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3.8</v>
      </c>
      <c r="BD96" s="13">
        <f>IF('Données projet'!$A$88&gt;35,BD95+BC96-BL95,IF(A96&lt;'Données projet'!$A$88,$BA$205^A96,IF(A96='Données projet'!$A$88,'Données projet'!$B$88,BD95+BC96-BL95)))</f>
        <v>204.39999999999984</v>
      </c>
      <c r="BE96" s="14">
        <f>BD96*VLOOKUP('Données projet'!$B$11,Paramètres!$A$1:$I$89,3,0)*VLOOKUP('Données projet'!$B$11,Paramètres!$A$1:$I$89,5,0)</f>
        <v>197.69567999999984</v>
      </c>
      <c r="BF96" s="14">
        <f t="shared" si="91"/>
        <v>49.237406885887019</v>
      </c>
      <c r="BG96" s="22">
        <f t="shared" si="61"/>
        <v>430.07512632625293</v>
      </c>
      <c r="BH96" s="62">
        <f t="shared" si="62"/>
        <v>723.40845965958624</v>
      </c>
      <c r="BI96" s="62">
        <f ca="1">AVERAGE(OFFSET($BH$3,0,0,'Données projet'!$E$11+1,1))-AVERAGE(OFFSET($H$3,0,0,'Données projet'!$E$11+1,1))</f>
        <v>298.18906674058809</v>
      </c>
      <c r="BJ96" s="62">
        <f t="shared" si="92"/>
        <v>154.08406475869634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3.8</v>
      </c>
      <c r="BY96" s="13">
        <f>IF('Données projet'!$A$114&gt;35,BY95+BX96-CG95,IF(A96&lt;'Données projet'!$A$114,$BV$205^A96,IF(A96='Données projet'!$A$114,'Données projet'!$B$114,BY95+BX96-CG95)))</f>
        <v>204.39999999999984</v>
      </c>
      <c r="BZ96" s="14">
        <f>BY96*VLOOKUP('Données projet'!$B$12,Paramètres!$A$1:$I$89,3,0)*VLOOKUP('Données projet'!$B$12,Paramètres!$A$1:$I$89,5,0)</f>
        <v>137.1115199999999</v>
      </c>
      <c r="CA96" s="14">
        <f t="shared" si="93"/>
        <v>35.634494550349046</v>
      </c>
      <c r="CB96" s="22">
        <f t="shared" si="64"/>
        <v>300.86597534185779</v>
      </c>
      <c r="CC96" s="62">
        <f t="shared" si="65"/>
        <v>594.19930867519111</v>
      </c>
      <c r="CD96" s="62">
        <f ca="1">AVERAGE(OFFSET($CC$3,0,0,'Données projet'!$E$12+1,1))-AVERAGE(OFFSET($H$3,0,0,'Données projet'!$E$12+1,1))</f>
        <v>218.24409784339861</v>
      </c>
      <c r="CE96" s="62">
        <f t="shared" si="94"/>
        <v>118.89963447540509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257.80952690600492</v>
      </c>
      <c r="T97" s="62">
        <f t="shared" si="88"/>
        <v>269.95358755269427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0.93925691348959006</v>
      </c>
      <c r="AA97" s="23">
        <f>EXP(-LN(2)/25)*AA96+(1-EXP(-LN(2)/25))/(LN(2)/25)*Calculateur!V97*Calculateur!X97*VLOOKUP('Données projet'!$B$9,Paramètres!$A$1:$I$89,3,0)*0.475*44/12</f>
        <v>1.3758885791124194</v>
      </c>
      <c r="AB97" s="23">
        <f>EXP(-LN(2)/2)*AB96+(1-EXP(-LN(2)/2))/(LN(2)/2)*V97*Y97*VLOOKUP('Données projet'!$B$9,Paramètres!$A$1:$I$89,3,0)*0.475*44/12</f>
        <v>3.0700008725949172E-9</v>
      </c>
      <c r="AC97" s="24">
        <f t="shared" si="57"/>
        <v>2.3151454956720099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3.4106051316484809E-13</v>
      </c>
      <c r="AJ97" s="14">
        <f>AI97*VLOOKUP('Données projet'!$B$10,Paramètres!$A$1:$I$89,3,0)*VLOOKUP('Données projet'!$B$10,Paramètres!$A$1:$I$89,5,0)</f>
        <v>1.9508661353029313E-13</v>
      </c>
      <c r="AK97" s="14">
        <f t="shared" si="89"/>
        <v>2.711421636700695E-12</v>
      </c>
      <c r="AL97" s="22">
        <f t="shared" si="58"/>
        <v>5.0621685358189711E-12</v>
      </c>
      <c r="AM97" s="62">
        <f t="shared" si="59"/>
        <v>293.33333333333837</v>
      </c>
      <c r="AN97" s="62">
        <f ca="1">AVERAGE(OFFSET($AM$3,0,0,'Données projet'!$E$10+1,1))-AVERAGE(OFFSET($H$3,0,0,'Données projet'!$E$10+1,1))</f>
        <v>258.09881752732008</v>
      </c>
      <c r="AO97" s="62">
        <f t="shared" si="90"/>
        <v>214.72899476643335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3.1987327999629049E-10</v>
      </c>
      <c r="AX97" s="23">
        <f t="shared" si="60"/>
        <v>3.1987327999629049E-10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3.8</v>
      </c>
      <c r="BD97" s="13">
        <f>IF('Données projet'!$A$88&gt;35,BD96+BC97-BL96,IF(A97&lt;'Données projet'!$A$88,$BA$205^A97,IF(A97='Données projet'!$A$88,'Données projet'!$B$88,BD96+BC97-BL96)))</f>
        <v>208.19999999999985</v>
      </c>
      <c r="BE97" s="14">
        <f>BD97*VLOOKUP('Données projet'!$B$11,Paramètres!$A$1:$I$89,3,0)*VLOOKUP('Données projet'!$B$11,Paramètres!$A$1:$I$89,5,0)</f>
        <v>201.37103999999988</v>
      </c>
      <c r="BF97" s="14">
        <f t="shared" si="91"/>
        <v>50.045360910017756</v>
      </c>
      <c r="BG97" s="22">
        <f t="shared" si="61"/>
        <v>437.88356491828068</v>
      </c>
      <c r="BH97" s="62">
        <f t="shared" si="62"/>
        <v>731.216898251614</v>
      </c>
      <c r="BI97" s="62">
        <f ca="1">AVERAGE(OFFSET($BH$3,0,0,'Données projet'!$E$11+1,1))-AVERAGE(OFFSET($H$3,0,0,'Données projet'!$E$11+1,1))</f>
        <v>298.18906674058809</v>
      </c>
      <c r="BJ97" s="62">
        <f t="shared" si="92"/>
        <v>154.08406475869634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3.8</v>
      </c>
      <c r="BY97" s="13">
        <f>IF('Données projet'!$A$114&gt;35,BY96+BX97-CG96,IF(A97&lt;'Données projet'!$A$114,$BV$205^A97,IF(A97='Données projet'!$A$114,'Données projet'!$B$114,BY96+BX97-CG96)))</f>
        <v>208.19999999999985</v>
      </c>
      <c r="BZ97" s="14">
        <f>BY97*VLOOKUP('Données projet'!$B$12,Paramètres!$A$1:$I$89,3,0)*VLOOKUP('Données projet'!$B$12,Paramètres!$A$1:$I$89,5,0)</f>
        <v>139.66055999999992</v>
      </c>
      <c r="CA97" s="14">
        <f t="shared" si="93"/>
        <v>36.219233574817657</v>
      </c>
      <c r="CB97" s="22">
        <f t="shared" si="64"/>
        <v>306.3239738094739</v>
      </c>
      <c r="CC97" s="62">
        <f t="shared" si="65"/>
        <v>599.65730714280721</v>
      </c>
      <c r="CD97" s="62">
        <f ca="1">AVERAGE(OFFSET($CC$3,0,0,'Données projet'!$E$12+1,1))-AVERAGE(OFFSET($H$3,0,0,'Données projet'!$E$12+1,1))</f>
        <v>218.24409784339861</v>
      </c>
      <c r="CE97" s="62">
        <f t="shared" si="94"/>
        <v>118.89963447540509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257.80952690600492</v>
      </c>
      <c r="T98" s="62">
        <f t="shared" si="88"/>
        <v>269.95358755269427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0.92083865830620826</v>
      </c>
      <c r="AA98" s="23">
        <f>EXP(-LN(2)/25)*AA97+(1-EXP(-LN(2)/25))/(LN(2)/25)*Calculateur!V98*Calculateur!X98*VLOOKUP('Données projet'!$B$9,Paramètres!$A$1:$I$89,3,0)*0.475*44/12</f>
        <v>1.3382648335617544</v>
      </c>
      <c r="AB98" s="23">
        <f>EXP(-LN(2)/2)*AB97+(1-EXP(-LN(2)/2))/(LN(2)/2)*V98*Y98*VLOOKUP('Données projet'!$B$9,Paramètres!$A$1:$I$89,3,0)*0.475*44/12</f>
        <v>2.170818435260484E-9</v>
      </c>
      <c r="AC98" s="24">
        <f t="shared" si="57"/>
        <v>2.2591034940387815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3.4106051316484809E-13</v>
      </c>
      <c r="AJ98" s="14">
        <f>AI98*VLOOKUP('Données projet'!$B$10,Paramètres!$A$1:$I$89,3,0)*VLOOKUP('Données projet'!$B$10,Paramètres!$A$1:$I$89,5,0)</f>
        <v>1.9508661353029313E-13</v>
      </c>
      <c r="AK98" s="14">
        <f t="shared" si="89"/>
        <v>2.711421636700695E-12</v>
      </c>
      <c r="AL98" s="22">
        <f t="shared" si="58"/>
        <v>5.0621685358189711E-12</v>
      </c>
      <c r="AM98" s="62">
        <f t="shared" si="59"/>
        <v>293.33333333333837</v>
      </c>
      <c r="AN98" s="62">
        <f ca="1">AVERAGE(OFFSET($AM$3,0,0,'Données projet'!$E$10+1,1))-AVERAGE(OFFSET($H$3,0,0,'Données projet'!$E$10+1,1))</f>
        <v>258.09881752732008</v>
      </c>
      <c r="AO98" s="62">
        <f t="shared" si="90"/>
        <v>214.72899476643335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2.2618456540576025E-10</v>
      </c>
      <c r="AX98" s="23">
        <f t="shared" si="60"/>
        <v>2.2618456540576025E-10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212</v>
      </c>
      <c r="BB98" s="13">
        <f>VLOOKUP(A98,'Données projet'!$A$87:$I$107,9,0)</f>
        <v>3.8</v>
      </c>
      <c r="BC98" s="13">
        <f t="array" ref="BC98">INDEX(BB:BB,MIN(IF(ISNUMBER(BB98:BB294),ROW(BB98:BB294),"")))</f>
        <v>3.8</v>
      </c>
      <c r="BD98" s="13">
        <f>IF('Données projet'!$A$88&gt;35,BD97+BC98-BL97,IF(A98&lt;'Données projet'!$A$88,$BA$205^A98,IF(A98='Données projet'!$A$88,'Données projet'!$B$88,BD97+BC98-BL97)))</f>
        <v>211.99999999999986</v>
      </c>
      <c r="BE98" s="14">
        <f>BD98*VLOOKUP('Données projet'!$B$11,Paramètres!$A$1:$I$89,3,0)*VLOOKUP('Données projet'!$B$11,Paramètres!$A$1:$I$89,5,0)</f>
        <v>205.04639999999986</v>
      </c>
      <c r="BF98" s="14">
        <f t="shared" si="91"/>
        <v>50.851600160721709</v>
      </c>
      <c r="BG98" s="22">
        <f t="shared" si="61"/>
        <v>445.68901694659007</v>
      </c>
      <c r="BH98" s="62">
        <f t="shared" si="62"/>
        <v>739.02235027992333</v>
      </c>
      <c r="BI98" s="62">
        <f ca="1">AVERAGE(OFFSET($BH$3,0,0,'Données projet'!$E$11+1,1))-AVERAGE(OFFSET($H$3,0,0,'Données projet'!$E$11+1,1))</f>
        <v>298.18906674058809</v>
      </c>
      <c r="BJ98" s="62">
        <f t="shared" si="92"/>
        <v>154.08406475869634</v>
      </c>
      <c r="BK98" s="16">
        <f>IF(ISNA(VLOOKUP(A98,'Données projet'!$A$87:$I$107,3,0)),0,VLOOKUP(A98,'Données projet'!$A$87:$I$107,3,0))</f>
        <v>15</v>
      </c>
      <c r="BL98" s="16">
        <f>IF(ISNA(VLOOKUP(A98,'Données projet'!$A$87:$I$107,4,0)),0,VLOOKUP(A98,'Données projet'!$A$87:$I$107,4,0))</f>
        <v>14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>
        <f>VLOOKUP(A98,'Données projet'!$A$113:$I$133,2,0)</f>
        <v>212</v>
      </c>
      <c r="BW98" s="13">
        <f>VLOOKUP(A98,'Données projet'!$A$113:$I$133,9,0)</f>
        <v>3.8</v>
      </c>
      <c r="BX98" s="13">
        <f t="array" ref="BX98">INDEX(BW:BW,MIN(IF(ISNUMBER(BW98:BW294),ROW(BW98:BW294),"")))</f>
        <v>3.8</v>
      </c>
      <c r="BY98" s="13">
        <f>IF('Données projet'!$A$114&gt;35,BY97+BX98-CG97,IF(A98&lt;'Données projet'!$A$114,$BV$205^A98,IF(A98='Données projet'!$A$114,'Données projet'!$B$114,BY97+BX98-CG97)))</f>
        <v>211.99999999999986</v>
      </c>
      <c r="BZ98" s="14">
        <f>BY98*VLOOKUP('Données projet'!$B$12,Paramètres!$A$1:$I$89,3,0)*VLOOKUP('Données projet'!$B$12,Paramètres!$A$1:$I$89,5,0)</f>
        <v>142.20959999999991</v>
      </c>
      <c r="CA98" s="14">
        <f t="shared" si="93"/>
        <v>36.802731569585617</v>
      </c>
      <c r="CB98" s="22">
        <f t="shared" si="64"/>
        <v>311.77981081702814</v>
      </c>
      <c r="CC98" s="62">
        <f t="shared" si="65"/>
        <v>605.11314415036145</v>
      </c>
      <c r="CD98" s="62">
        <f ca="1">AVERAGE(OFFSET($CC$3,0,0,'Données projet'!$E$12+1,1))-AVERAGE(OFFSET($H$3,0,0,'Données projet'!$E$12+1,1))</f>
        <v>218.24409784339861</v>
      </c>
      <c r="CE98" s="62">
        <f t="shared" si="94"/>
        <v>118.89963447540509</v>
      </c>
      <c r="CF98" s="16">
        <f>IF(ISNA(VLOOKUP(A98,'Données projet'!$A$113:$I$133,3,0)),0,VLOOKUP(A98,'Données projet'!$A$113:$I$133,3,0))</f>
        <v>15</v>
      </c>
      <c r="CG98" s="16">
        <f>IF(ISNA(VLOOKUP(A98,'Données projet'!$A$113:$I$133,4,0)),0,VLOOKUP(A98,'Données projet'!$A$113:$I$133,4,0))</f>
        <v>14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257.80952690600492</v>
      </c>
      <c r="T99" s="62">
        <f t="shared" si="88"/>
        <v>269.95358755269427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0.90278157387294611</v>
      </c>
      <c r="AA99" s="23">
        <f>EXP(-LN(2)/25)*AA98+(1-EXP(-LN(2)/25))/(LN(2)/25)*Calculateur!V99*Calculateur!X99*VLOOKUP('Données projet'!$B$9,Paramètres!$A$1:$I$89,3,0)*0.475*44/12</f>
        <v>1.3016699113117194</v>
      </c>
      <c r="AB99" s="23">
        <f>EXP(-LN(2)/2)*AB98+(1-EXP(-LN(2)/2))/(LN(2)/2)*V99*Y99*VLOOKUP('Données projet'!$B$9,Paramètres!$A$1:$I$89,3,0)*0.475*44/12</f>
        <v>1.5350004362974586E-9</v>
      </c>
      <c r="AC99" s="24">
        <f t="shared" si="57"/>
        <v>2.2044514867196661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3.4106051316484809E-13</v>
      </c>
      <c r="AJ99" s="14">
        <f>AI99*VLOOKUP('Données projet'!$B$10,Paramètres!$A$1:$I$89,3,0)*VLOOKUP('Données projet'!$B$10,Paramètres!$A$1:$I$89,5,0)</f>
        <v>1.9508661353029313E-13</v>
      </c>
      <c r="AK99" s="14">
        <f t="shared" si="89"/>
        <v>2.711421636700695E-12</v>
      </c>
      <c r="AL99" s="22">
        <f t="shared" si="58"/>
        <v>5.0621685358189711E-12</v>
      </c>
      <c r="AM99" s="62">
        <f t="shared" si="59"/>
        <v>293.33333333333837</v>
      </c>
      <c r="AN99" s="62">
        <f ca="1">AVERAGE(OFFSET($AM$3,0,0,'Données projet'!$E$10+1,1))-AVERAGE(OFFSET($H$3,0,0,'Données projet'!$E$10+1,1))</f>
        <v>258.09881752732008</v>
      </c>
      <c r="AO99" s="62">
        <f t="shared" si="90"/>
        <v>214.72899476643335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1.5993663999814527E-10</v>
      </c>
      <c r="AX99" s="23">
        <f t="shared" si="60"/>
        <v>1.5993663999814527E-10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3.6</v>
      </c>
      <c r="BD99" s="13">
        <f>IF('Données projet'!$A$88&gt;35,BD98+BC99-BL98,IF(A99&lt;'Données projet'!$A$88,$BA$205^A99,IF(A99='Données projet'!$A$88,'Données projet'!$B$88,BD98+BC99-BL98)))</f>
        <v>201.59999999999985</v>
      </c>
      <c r="BE99" s="14">
        <f>BD99*VLOOKUP('Données projet'!$B$11,Paramètres!$A$1:$I$89,3,0)*VLOOKUP('Données projet'!$B$11,Paramètres!$A$1:$I$89,5,0)</f>
        <v>194.98751999999985</v>
      </c>
      <c r="BF99" s="14">
        <f t="shared" si="91"/>
        <v>48.640954330020342</v>
      </c>
      <c r="BG99" s="22">
        <f t="shared" si="61"/>
        <v>424.31959279145184</v>
      </c>
      <c r="BH99" s="62">
        <f t="shared" si="62"/>
        <v>717.65292612478515</v>
      </c>
      <c r="BI99" s="62">
        <f ca="1">AVERAGE(OFFSET($BH$3,0,0,'Données projet'!$E$11+1,1))-AVERAGE(OFFSET($H$3,0,0,'Données projet'!$E$11+1,1))</f>
        <v>298.18906674058809</v>
      </c>
      <c r="BJ99" s="62">
        <f t="shared" si="92"/>
        <v>154.08406475869634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3.6</v>
      </c>
      <c r="BY99" s="13">
        <f>IF('Données projet'!$A$114&gt;35,BY98+BX99-CG98,IF(A99&lt;'Données projet'!$A$114,$BV$205^A99,IF(A99='Données projet'!$A$114,'Données projet'!$B$114,BY98+BX99-CG98)))</f>
        <v>201.59999999999985</v>
      </c>
      <c r="BZ99" s="14">
        <f>BY99*VLOOKUP('Données projet'!$B$12,Paramètres!$A$1:$I$89,3,0)*VLOOKUP('Données projet'!$B$12,Paramètres!$A$1:$I$89,5,0)</f>
        <v>135.23327999999989</v>
      </c>
      <c r="CA99" s="14">
        <f t="shared" si="93"/>
        <v>35.202825080004409</v>
      </c>
      <c r="CB99" s="22">
        <f t="shared" si="64"/>
        <v>296.84288301434083</v>
      </c>
      <c r="CC99" s="62">
        <f t="shared" si="65"/>
        <v>590.1762163476742</v>
      </c>
      <c r="CD99" s="62">
        <f ca="1">AVERAGE(OFFSET($CC$3,0,0,'Données projet'!$E$12+1,1))-AVERAGE(OFFSET($H$3,0,0,'Données projet'!$E$12+1,1))</f>
        <v>218.24409784339861</v>
      </c>
      <c r="CE99" s="62">
        <f t="shared" si="94"/>
        <v>118.89963447540509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257.80952690600492</v>
      </c>
      <c r="T100" s="62">
        <f t="shared" si="88"/>
        <v>269.95358755269427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0.88507857785168631</v>
      </c>
      <c r="AA100" s="23">
        <f>EXP(-LN(2)/25)*AA99+(1-EXP(-LN(2)/25))/(LN(2)/25)*Calculateur!V100*Calculateur!X100*VLOOKUP('Données projet'!$B$9,Paramètres!$A$1:$I$89,3,0)*0.475*44/12</f>
        <v>1.2660756791350547</v>
      </c>
      <c r="AB100" s="23">
        <f>EXP(-LN(2)/2)*AB99+(1-EXP(-LN(2)/2))/(LN(2)/2)*V100*Y100*VLOOKUP('Données projet'!$B$9,Paramètres!$A$1:$I$89,3,0)*0.475*44/12</f>
        <v>1.085409217630242E-9</v>
      </c>
      <c r="AC100" s="24">
        <f t="shared" si="57"/>
        <v>2.1511542580721503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3.4106051316484809E-13</v>
      </c>
      <c r="AJ100" s="14">
        <f>AI100*VLOOKUP('Données projet'!$B$10,Paramètres!$A$1:$I$89,3,0)*VLOOKUP('Données projet'!$B$10,Paramètres!$A$1:$I$89,5,0)</f>
        <v>1.9508661353029313E-13</v>
      </c>
      <c r="AK100" s="14">
        <f t="shared" si="89"/>
        <v>2.711421636700695E-12</v>
      </c>
      <c r="AL100" s="22">
        <f t="shared" si="58"/>
        <v>5.0621685358189711E-12</v>
      </c>
      <c r="AM100" s="62">
        <f t="shared" si="59"/>
        <v>293.33333333333837</v>
      </c>
      <c r="AN100" s="62">
        <f ca="1">AVERAGE(OFFSET($AM$3,0,0,'Données projet'!$E$10+1,1))-AVERAGE(OFFSET($H$3,0,0,'Données projet'!$E$10+1,1))</f>
        <v>258.09881752732008</v>
      </c>
      <c r="AO100" s="62">
        <f t="shared" si="90"/>
        <v>214.72899476643335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1.1309228270288014E-10</v>
      </c>
      <c r="AX100" s="23">
        <f t="shared" si="60"/>
        <v>1.1309228270288014E-10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3.6</v>
      </c>
      <c r="BD100" s="13">
        <f>IF('Données projet'!$A$88&gt;35,BD99+BC100-BL99,IF(A100&lt;'Données projet'!$A$88,$BA$205^A100,IF(A100='Données projet'!$A$88,'Données projet'!$B$88,BD99+BC100-BL99)))</f>
        <v>205.19999999999985</v>
      </c>
      <c r="BE100" s="14">
        <f>BD100*VLOOKUP('Données projet'!$B$11,Paramètres!$A$1:$I$89,3,0)*VLOOKUP('Données projet'!$B$11,Paramètres!$A$1:$I$89,5,0)</f>
        <v>198.46943999999985</v>
      </c>
      <c r="BF100" s="14">
        <f t="shared" si="91"/>
        <v>49.407646717262132</v>
      </c>
      <c r="BG100" s="22">
        <f t="shared" si="61"/>
        <v>431.71925936589793</v>
      </c>
      <c r="BH100" s="62">
        <f t="shared" si="62"/>
        <v>725.05259269923124</v>
      </c>
      <c r="BI100" s="62">
        <f ca="1">AVERAGE(OFFSET($BH$3,0,0,'Données projet'!$E$11+1,1))-AVERAGE(OFFSET($H$3,0,0,'Données projet'!$E$11+1,1))</f>
        <v>298.18906674058809</v>
      </c>
      <c r="BJ100" s="62">
        <f t="shared" si="92"/>
        <v>154.08406475869634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3.6</v>
      </c>
      <c r="BY100" s="13">
        <f>IF('Données projet'!$A$114&gt;35,BY99+BX100-CG99,IF(A100&lt;'Données projet'!$A$114,$BV$205^A100,IF(A100='Données projet'!$A$114,'Données projet'!$B$114,BY99+BX100-CG99)))</f>
        <v>205.19999999999985</v>
      </c>
      <c r="BZ100" s="14">
        <f>BY100*VLOOKUP('Données projet'!$B$12,Paramètres!$A$1:$I$89,3,0)*VLOOKUP('Données projet'!$B$12,Paramètres!$A$1:$I$89,5,0)</f>
        <v>137.6481599999999</v>
      </c>
      <c r="CA100" s="14">
        <f t="shared" si="93"/>
        <v>35.757701898726438</v>
      </c>
      <c r="CB100" s="22">
        <f t="shared" si="64"/>
        <v>302.01520947361507</v>
      </c>
      <c r="CC100" s="62">
        <f t="shared" si="65"/>
        <v>595.34854280694844</v>
      </c>
      <c r="CD100" s="62">
        <f ca="1">AVERAGE(OFFSET($CC$3,0,0,'Données projet'!$E$12+1,1))-AVERAGE(OFFSET($H$3,0,0,'Données projet'!$E$12+1,1))</f>
        <v>218.24409784339861</v>
      </c>
      <c r="CE100" s="62">
        <f t="shared" si="94"/>
        <v>118.89963447540509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257.80952690600492</v>
      </c>
      <c r="T101" s="62">
        <f t="shared" si="88"/>
        <v>269.95358755269427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0.86772272678464202</v>
      </c>
      <c r="AA101" s="23">
        <f>EXP(-LN(2)/25)*AA100+(1-EXP(-LN(2)/25))/(LN(2)/25)*Calculateur!V101*Calculateur!X101*VLOOKUP('Données projet'!$B$9,Paramètres!$A$1:$I$89,3,0)*0.475*44/12</f>
        <v>1.2314547731090804</v>
      </c>
      <c r="AB101" s="23">
        <f>EXP(-LN(2)/2)*AB100+(1-EXP(-LN(2)/2))/(LN(2)/2)*V101*Y101*VLOOKUP('Données projet'!$B$9,Paramètres!$A$1:$I$89,3,0)*0.475*44/12</f>
        <v>7.6750021814872929E-10</v>
      </c>
      <c r="AC101" s="24">
        <f t="shared" si="57"/>
        <v>2.0991775006612228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3.4106051316484809E-13</v>
      </c>
      <c r="AJ101" s="14">
        <f>AI101*VLOOKUP('Données projet'!$B$10,Paramètres!$A$1:$I$89,3,0)*VLOOKUP('Données projet'!$B$10,Paramètres!$A$1:$I$89,5,0)</f>
        <v>1.9508661353029313E-13</v>
      </c>
      <c r="AK101" s="14">
        <f t="shared" si="89"/>
        <v>2.711421636700695E-12</v>
      </c>
      <c r="AL101" s="22">
        <f t="shared" si="58"/>
        <v>5.0621685358189711E-12</v>
      </c>
      <c r="AM101" s="62">
        <f t="shared" si="59"/>
        <v>293.33333333333837</v>
      </c>
      <c r="AN101" s="62">
        <f ca="1">AVERAGE(OFFSET($AM$3,0,0,'Données projet'!$E$10+1,1))-AVERAGE(OFFSET($H$3,0,0,'Données projet'!$E$10+1,1))</f>
        <v>258.09881752732008</v>
      </c>
      <c r="AO101" s="62">
        <f t="shared" si="90"/>
        <v>214.72899476643335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7.9968319999072649E-11</v>
      </c>
      <c r="AX101" s="23">
        <f t="shared" si="60"/>
        <v>7.9968319999072649E-11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3.6</v>
      </c>
      <c r="BD101" s="13">
        <f>IF('Données projet'!$A$88&gt;35,BD100+BC101-BL100,IF(A101&lt;'Données projet'!$A$88,$BA$205^A101,IF(A101='Données projet'!$A$88,'Données projet'!$B$88,BD100+BC101-BL100)))</f>
        <v>208.79999999999984</v>
      </c>
      <c r="BE101" s="14">
        <f>BD101*VLOOKUP('Données projet'!$B$11,Paramètres!$A$1:$I$89,3,0)*VLOOKUP('Données projet'!$B$11,Paramètres!$A$1:$I$89,5,0)</f>
        <v>201.95135999999985</v>
      </c>
      <c r="BF101" s="14">
        <f t="shared" si="91"/>
        <v>50.172774950657889</v>
      </c>
      <c r="BG101" s="22">
        <f t="shared" si="61"/>
        <v>439.11620170572888</v>
      </c>
      <c r="BH101" s="62">
        <f t="shared" si="62"/>
        <v>732.4495350390622</v>
      </c>
      <c r="BI101" s="62">
        <f ca="1">AVERAGE(OFFSET($BH$3,0,0,'Données projet'!$E$11+1,1))-AVERAGE(OFFSET($H$3,0,0,'Données projet'!$E$11+1,1))</f>
        <v>298.18906674058809</v>
      </c>
      <c r="BJ101" s="62">
        <f t="shared" si="92"/>
        <v>154.08406475869634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3.6</v>
      </c>
      <c r="BY101" s="13">
        <f>IF('Données projet'!$A$114&gt;35,BY100+BX101-CG100,IF(A101&lt;'Données projet'!$A$114,$BV$205^A101,IF(A101='Données projet'!$A$114,'Données projet'!$B$114,BY100+BX101-CG100)))</f>
        <v>208.79999999999984</v>
      </c>
      <c r="BZ101" s="14">
        <f>BY101*VLOOKUP('Données projet'!$B$12,Paramètres!$A$1:$I$89,3,0)*VLOOKUP('Données projet'!$B$12,Paramètres!$A$1:$I$89,5,0)</f>
        <v>140.06303999999992</v>
      </c>
      <c r="CA101" s="14">
        <f t="shared" si="93"/>
        <v>36.311446695369504</v>
      </c>
      <c r="CB101" s="22">
        <f t="shared" si="64"/>
        <v>307.18556432776842</v>
      </c>
      <c r="CC101" s="62">
        <f t="shared" si="65"/>
        <v>600.51889766110173</v>
      </c>
      <c r="CD101" s="62">
        <f ca="1">AVERAGE(OFFSET($CC$3,0,0,'Données projet'!$E$12+1,1))-AVERAGE(OFFSET($H$3,0,0,'Données projet'!$E$12+1,1))</f>
        <v>218.24409784339861</v>
      </c>
      <c r="CE101" s="62">
        <f t="shared" si="94"/>
        <v>118.89963447540509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257.80952690600492</v>
      </c>
      <c r="T102" s="62">
        <f t="shared" si="88"/>
        <v>269.95358755269427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0.85070721337099853</v>
      </c>
      <c r="AA102" s="23">
        <f>EXP(-LN(2)/25)*AA101+(1-EXP(-LN(2)/25))/(LN(2)/25)*Calculateur!V102*Calculateur!X102*VLOOKUP('Données projet'!$B$9,Paramètres!$A$1:$I$89,3,0)*0.475*44/12</f>
        <v>1.1977805775790205</v>
      </c>
      <c r="AB102" s="23">
        <f>EXP(-LN(2)/2)*AB101+(1-EXP(-LN(2)/2))/(LN(2)/2)*V102*Y102*VLOOKUP('Données projet'!$B$9,Paramètres!$A$1:$I$89,3,0)*0.475*44/12</f>
        <v>5.4270460881512101E-10</v>
      </c>
      <c r="AC102" s="24">
        <f t="shared" si="57"/>
        <v>2.0484877914927235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3.4106051316484809E-13</v>
      </c>
      <c r="AJ102" s="14">
        <f>AI102*VLOOKUP('Données projet'!$B$10,Paramètres!$A$1:$I$89,3,0)*VLOOKUP('Données projet'!$B$10,Paramètres!$A$1:$I$89,5,0)</f>
        <v>1.9508661353029313E-13</v>
      </c>
      <c r="AK102" s="14">
        <f t="shared" si="89"/>
        <v>2.711421636700695E-12</v>
      </c>
      <c r="AL102" s="22">
        <f t="shared" si="58"/>
        <v>5.0621685358189711E-12</v>
      </c>
      <c r="AM102" s="62">
        <f t="shared" si="59"/>
        <v>293.33333333333837</v>
      </c>
      <c r="AN102" s="62">
        <f ca="1">AVERAGE(OFFSET($AM$3,0,0,'Données projet'!$E$10+1,1))-AVERAGE(OFFSET($H$3,0,0,'Données projet'!$E$10+1,1))</f>
        <v>258.09881752732008</v>
      </c>
      <c r="AO102" s="62">
        <f t="shared" si="90"/>
        <v>214.72899476643335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5.6546141351440081E-11</v>
      </c>
      <c r="AX102" s="23">
        <f t="shared" si="60"/>
        <v>5.6546141351440081E-11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3.6</v>
      </c>
      <c r="BD102" s="13">
        <f>IF('Données projet'!$A$88&gt;35,BD101+BC102-BL101,IF(A102&lt;'Données projet'!$A$88,$BA$205^A102,IF(A102='Données projet'!$A$88,'Données projet'!$B$88,BD101+BC102-BL101)))</f>
        <v>212.39999999999984</v>
      </c>
      <c r="BE102" s="14">
        <f>BD102*VLOOKUP('Données projet'!$B$11,Paramètres!$A$1:$I$89,3,0)*VLOOKUP('Données projet'!$B$11,Paramètres!$A$1:$I$89,5,0)</f>
        <v>205.43327999999985</v>
      </c>
      <c r="BF102" s="14">
        <f t="shared" si="91"/>
        <v>50.93636911028527</v>
      </c>
      <c r="BG102" s="22">
        <f t="shared" si="61"/>
        <v>446.51047220041323</v>
      </c>
      <c r="BH102" s="62">
        <f t="shared" si="62"/>
        <v>739.84380553374649</v>
      </c>
      <c r="BI102" s="62">
        <f ca="1">AVERAGE(OFFSET($BH$3,0,0,'Données projet'!$E$11+1,1))-AVERAGE(OFFSET($H$3,0,0,'Données projet'!$E$11+1,1))</f>
        <v>298.18906674058809</v>
      </c>
      <c r="BJ102" s="62">
        <f t="shared" si="92"/>
        <v>154.08406475869634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3.6</v>
      </c>
      <c r="BY102" s="13">
        <f>IF('Données projet'!$A$114&gt;35,BY101+BX102-CG101,IF(A102&lt;'Données projet'!$A$114,$BV$205^A102,IF(A102='Données projet'!$A$114,'Données projet'!$B$114,BY101+BX102-CG101)))</f>
        <v>212.39999999999984</v>
      </c>
      <c r="BZ102" s="14">
        <f>BY102*VLOOKUP('Données projet'!$B$12,Paramètres!$A$1:$I$89,3,0)*VLOOKUP('Données projet'!$B$12,Paramètres!$A$1:$I$89,5,0)</f>
        <v>142.4779199999999</v>
      </c>
      <c r="CA102" s="14">
        <f t="shared" si="93"/>
        <v>36.864081239730965</v>
      </c>
      <c r="CB102" s="22">
        <f t="shared" si="64"/>
        <v>312.35398549253119</v>
      </c>
      <c r="CC102" s="62">
        <f t="shared" si="65"/>
        <v>605.68731882586451</v>
      </c>
      <c r="CD102" s="62">
        <f ca="1">AVERAGE(OFFSET($CC$3,0,0,'Données projet'!$E$12+1,1))-AVERAGE(OFFSET($H$3,0,0,'Données projet'!$E$12+1,1))</f>
        <v>218.24409784339861</v>
      </c>
      <c r="CE102" s="62">
        <f t="shared" si="94"/>
        <v>118.89963447540509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257.80952690600492</v>
      </c>
      <c r="T103" s="62">
        <f t="shared" si="88"/>
        <v>269.95358755269427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0.83402536379695824</v>
      </c>
      <c r="AA103" s="23">
        <f>EXP(-LN(2)/25)*AA102+(1-EXP(-LN(2)/25))/(LN(2)/25)*Calculateur!V103*Calculateur!X103*VLOOKUP('Données projet'!$B$9,Paramètres!$A$1:$I$89,3,0)*0.475*44/12</f>
        <v>1.1650272046965791</v>
      </c>
      <c r="AB103" s="23">
        <f>EXP(-LN(2)/2)*AB102+(1-EXP(-LN(2)/2))/(LN(2)/2)*V103*Y103*VLOOKUP('Données projet'!$B$9,Paramètres!$A$1:$I$89,3,0)*0.475*44/12</f>
        <v>3.8375010907436465E-10</v>
      </c>
      <c r="AC103" s="24">
        <f t="shared" si="57"/>
        <v>1.9990525688772876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3.4106051316484809E-13</v>
      </c>
      <c r="AJ103" s="14">
        <f>AI103*VLOOKUP('Données projet'!$B$10,Paramètres!$A$1:$I$89,3,0)*VLOOKUP('Données projet'!$B$10,Paramètres!$A$1:$I$89,5,0)</f>
        <v>1.9508661353029313E-13</v>
      </c>
      <c r="AK103" s="14">
        <f t="shared" si="89"/>
        <v>2.711421636700695E-12</v>
      </c>
      <c r="AL103" s="22">
        <f t="shared" si="58"/>
        <v>5.0621685358189711E-12</v>
      </c>
      <c r="AM103" s="62">
        <f t="shared" si="59"/>
        <v>293.33333333333837</v>
      </c>
      <c r="AN103" s="62">
        <f ca="1">AVERAGE(OFFSET($AM$3,0,0,'Données projet'!$E$10+1,1))-AVERAGE(OFFSET($H$3,0,0,'Données projet'!$E$10+1,1))</f>
        <v>258.09881752732008</v>
      </c>
      <c r="AO103" s="62">
        <f t="shared" si="90"/>
        <v>214.72899476643335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3.9984159999536331E-11</v>
      </c>
      <c r="AX103" s="23">
        <f t="shared" si="60"/>
        <v>3.9984159999536331E-11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216</v>
      </c>
      <c r="BB103" s="13">
        <f>VLOOKUP(A103,'Données projet'!$A$87:$I$107,9,0)</f>
        <v>3.6</v>
      </c>
      <c r="BC103" s="13">
        <f t="array" ref="BC103">INDEX(BB:BB,MIN(IF(ISNUMBER(BB103:BB299),ROW(BB103:BB299),"")))</f>
        <v>3.6</v>
      </c>
      <c r="BD103" s="13">
        <f>IF('Données projet'!$A$88&gt;35,BD102+BC103-BL102,IF(A103&lt;'Données projet'!$A$88,$BA$205^A103,IF(A103='Données projet'!$A$88,'Données projet'!$B$88,BD102+BC103-BL102)))</f>
        <v>215.99999999999983</v>
      </c>
      <c r="BE103" s="14">
        <f>BD103*VLOOKUP('Données projet'!$B$11,Paramètres!$A$1:$I$89,3,0)*VLOOKUP('Données projet'!$B$11,Paramètres!$A$1:$I$89,5,0)</f>
        <v>208.91519999999986</v>
      </c>
      <c r="BF103" s="14">
        <f t="shared" si="91"/>
        <v>51.698458198123326</v>
      </c>
      <c r="BG103" s="22">
        <f t="shared" si="61"/>
        <v>453.90212136173113</v>
      </c>
      <c r="BH103" s="62">
        <f t="shared" si="62"/>
        <v>747.23545469506439</v>
      </c>
      <c r="BI103" s="62">
        <f ca="1">AVERAGE(OFFSET($BH$3,0,0,'Données projet'!$E$11+1,1))-AVERAGE(OFFSET($H$3,0,0,'Données projet'!$E$11+1,1))</f>
        <v>298.18906674058809</v>
      </c>
      <c r="BJ103" s="62">
        <f t="shared" si="92"/>
        <v>154.08406475869634</v>
      </c>
      <c r="BK103" s="16">
        <f>IF(ISNA(VLOOKUP(A103,'Données projet'!$A$87:$I$107,3,0)),0,VLOOKUP(A103,'Données projet'!$A$87:$I$107,3,0))</f>
        <v>16</v>
      </c>
      <c r="BL103" s="16">
        <f>IF(ISNA(VLOOKUP(A103,'Données projet'!$A$87:$I$107,4,0)),0,VLOOKUP(A103,'Données projet'!$A$87:$I$107,4,0))</f>
        <v>13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>
        <f>VLOOKUP(A103,'Données projet'!$A$113:$I$133,2,0)</f>
        <v>216</v>
      </c>
      <c r="BW103" s="13">
        <f>VLOOKUP(A103,'Données projet'!$A$113:$I$133,9,0)</f>
        <v>3.6</v>
      </c>
      <c r="BX103" s="13">
        <f t="array" ref="BX103">INDEX(BW:BW,MIN(IF(ISNUMBER(BW103:BW299),ROW(BW103:BW299),"")))</f>
        <v>3.6</v>
      </c>
      <c r="BY103" s="13">
        <f>IF('Données projet'!$A$114&gt;35,BY102+BX103-CG102,IF(A103&lt;'Données projet'!$A$114,$BV$205^A103,IF(A103='Données projet'!$A$114,'Données projet'!$B$114,BY102+BX103-CG102)))</f>
        <v>215.99999999999983</v>
      </c>
      <c r="BZ103" s="14">
        <f>BY103*VLOOKUP('Données projet'!$B$12,Paramètres!$A$1:$I$89,3,0)*VLOOKUP('Données projet'!$B$12,Paramètres!$A$1:$I$89,5,0)</f>
        <v>144.89279999999988</v>
      </c>
      <c r="CA103" s="14">
        <f t="shared" si="93"/>
        <v>37.415626521357645</v>
      </c>
      <c r="CB103" s="22">
        <f t="shared" si="64"/>
        <v>317.52050952469767</v>
      </c>
      <c r="CC103" s="62">
        <f t="shared" si="65"/>
        <v>610.85384285803093</v>
      </c>
      <c r="CD103" s="62">
        <f ca="1">AVERAGE(OFFSET($CC$3,0,0,'Données projet'!$E$12+1,1))-AVERAGE(OFFSET($H$3,0,0,'Données projet'!$E$12+1,1))</f>
        <v>218.24409784339861</v>
      </c>
      <c r="CE103" s="62">
        <f t="shared" si="94"/>
        <v>118.89963447540509</v>
      </c>
      <c r="CF103" s="16">
        <f>IF(ISNA(VLOOKUP(A103,'Données projet'!$A$113:$I$133,3,0)),0,VLOOKUP(A103,'Données projet'!$A$113:$I$133,3,0))</f>
        <v>16</v>
      </c>
      <c r="CG103" s="16">
        <f>IF(ISNA(VLOOKUP(A103,'Données projet'!$A$113:$I$133,4,0)),0,VLOOKUP(A103,'Données projet'!$A$113:$I$133,4,0))</f>
        <v>13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257.80952690600492</v>
      </c>
      <c r="T104" s="62">
        <f t="shared" si="88"/>
        <v>269.95358755269427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0.81767063511814131</v>
      </c>
      <c r="AA104" s="23">
        <f>EXP(-LN(2)/25)*AA103+(1-EXP(-LN(2)/25))/(LN(2)/25)*Calculateur!V104*Calculateur!X104*VLOOKUP('Données projet'!$B$9,Paramètres!$A$1:$I$89,3,0)*0.475*44/12</f>
        <v>1.1331694745180332</v>
      </c>
      <c r="AB104" s="23">
        <f>EXP(-LN(2)/2)*AB103+(1-EXP(-LN(2)/2))/(LN(2)/2)*V104*Y104*VLOOKUP('Données projet'!$B$9,Paramètres!$A$1:$I$89,3,0)*0.475*44/12</f>
        <v>2.7135230440756051E-10</v>
      </c>
      <c r="AC104" s="24">
        <f t="shared" si="57"/>
        <v>1.9508401099075268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3.4106051316484809E-13</v>
      </c>
      <c r="AJ104" s="14">
        <f>AI104*VLOOKUP('Données projet'!$B$10,Paramètres!$A$1:$I$89,3,0)*VLOOKUP('Données projet'!$B$10,Paramètres!$A$1:$I$89,5,0)</f>
        <v>1.9508661353029313E-13</v>
      </c>
      <c r="AK104" s="14">
        <f t="shared" si="89"/>
        <v>2.711421636700695E-12</v>
      </c>
      <c r="AL104" s="22">
        <f t="shared" si="58"/>
        <v>5.0621685358189711E-12</v>
      </c>
      <c r="AM104" s="62">
        <f t="shared" si="59"/>
        <v>293.33333333333837</v>
      </c>
      <c r="AN104" s="62">
        <f ca="1">AVERAGE(OFFSET($AM$3,0,0,'Données projet'!$E$10+1,1))-AVERAGE(OFFSET($H$3,0,0,'Données projet'!$E$10+1,1))</f>
        <v>258.09881752732008</v>
      </c>
      <c r="AO104" s="62">
        <f t="shared" si="90"/>
        <v>214.72899476643335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2.8273070675720044E-11</v>
      </c>
      <c r="AX104" s="23">
        <f t="shared" si="60"/>
        <v>2.8273070675720044E-11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3.4</v>
      </c>
      <c r="BD104" s="13">
        <f>IF('Données projet'!$A$88&gt;35,BD103+BC104-BL103,IF(A104&lt;'Données projet'!$A$88,$BA$205^A104,IF(A104='Données projet'!$A$88,'Données projet'!$B$88,BD103+BC104-BL103)))</f>
        <v>206.39999999999984</v>
      </c>
      <c r="BE104" s="14">
        <f>BD104*VLOOKUP('Données projet'!$B$11,Paramètres!$A$1:$I$89,3,0)*VLOOKUP('Données projet'!$B$11,Paramètres!$A$1:$I$89,5,0)</f>
        <v>199.63007999999982</v>
      </c>
      <c r="BF104" s="14">
        <f t="shared" si="91"/>
        <v>49.662861748339331</v>
      </c>
      <c r="BG104" s="22">
        <f t="shared" si="61"/>
        <v>434.18520687835735</v>
      </c>
      <c r="BH104" s="62">
        <f t="shared" si="62"/>
        <v>727.51854021169061</v>
      </c>
      <c r="BI104" s="62">
        <f ca="1">AVERAGE(OFFSET($BH$3,0,0,'Données projet'!$E$11+1,1))-AVERAGE(OFFSET($H$3,0,0,'Données projet'!$E$11+1,1))</f>
        <v>298.18906674058809</v>
      </c>
      <c r="BJ104" s="62">
        <f t="shared" si="92"/>
        <v>154.08406475869634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3.4</v>
      </c>
      <c r="BY104" s="13">
        <f>IF('Données projet'!$A$114&gt;35,BY103+BX104-CG103,IF(A104&lt;'Données projet'!$A$114,$BV$205^A104,IF(A104='Données projet'!$A$114,'Données projet'!$B$114,BY103+BX104-CG103)))</f>
        <v>206.39999999999984</v>
      </c>
      <c r="BZ104" s="14">
        <f>BY104*VLOOKUP('Données projet'!$B$12,Paramètres!$A$1:$I$89,3,0)*VLOOKUP('Données projet'!$B$12,Paramètres!$A$1:$I$89,5,0)</f>
        <v>138.4531199999999</v>
      </c>
      <c r="CA104" s="14">
        <f t="shared" si="93"/>
        <v>35.942408186268445</v>
      </c>
      <c r="CB104" s="22">
        <f t="shared" si="64"/>
        <v>303.73887825775068</v>
      </c>
      <c r="CC104" s="62">
        <f t="shared" si="65"/>
        <v>597.07221159108394</v>
      </c>
      <c r="CD104" s="62">
        <f ca="1">AVERAGE(OFFSET($CC$3,0,0,'Données projet'!$E$12+1,1))-AVERAGE(OFFSET($H$3,0,0,'Données projet'!$E$12+1,1))</f>
        <v>218.24409784339861</v>
      </c>
      <c r="CE104" s="62">
        <f t="shared" si="94"/>
        <v>118.89963447540509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257.80952690600492</v>
      </c>
      <c r="T105" s="62">
        <f t="shared" si="88"/>
        <v>269.95358755269427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0.80163661269331654</v>
      </c>
      <c r="AA105" s="23">
        <f>EXP(-LN(2)/25)*AA104+(1-EXP(-LN(2)/25))/(LN(2)/25)*Calculateur!V105*Calculateur!X105*VLOOKUP('Données projet'!$B$9,Paramètres!$A$1:$I$89,3,0)*0.475*44/12</f>
        <v>1.1021828956465447</v>
      </c>
      <c r="AB105" s="23">
        <f>EXP(-LN(2)/2)*AB104+(1-EXP(-LN(2)/2))/(LN(2)/2)*V105*Y105*VLOOKUP('Données projet'!$B$9,Paramètres!$A$1:$I$89,3,0)*0.475*44/12</f>
        <v>1.9187505453718232E-10</v>
      </c>
      <c r="AC105" s="24">
        <f t="shared" si="57"/>
        <v>1.9038195085317362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3.4106051316484809E-13</v>
      </c>
      <c r="AJ105" s="14">
        <f>AI105*VLOOKUP('Données projet'!$B$10,Paramètres!$A$1:$I$89,3,0)*VLOOKUP('Données projet'!$B$10,Paramètres!$A$1:$I$89,5,0)</f>
        <v>1.9508661353029313E-13</v>
      </c>
      <c r="AK105" s="14">
        <f t="shared" si="89"/>
        <v>2.711421636700695E-12</v>
      </c>
      <c r="AL105" s="22">
        <f t="shared" si="58"/>
        <v>5.0621685358189711E-12</v>
      </c>
      <c r="AM105" s="62">
        <f t="shared" si="59"/>
        <v>293.33333333333837</v>
      </c>
      <c r="AN105" s="62">
        <f ca="1">AVERAGE(OFFSET($AM$3,0,0,'Données projet'!$E$10+1,1))-AVERAGE(OFFSET($H$3,0,0,'Données projet'!$E$10+1,1))</f>
        <v>258.09881752732008</v>
      </c>
      <c r="AO105" s="62">
        <f t="shared" si="90"/>
        <v>214.72899476643335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1.9992079999768169E-11</v>
      </c>
      <c r="AX105" s="23">
        <f t="shared" si="60"/>
        <v>1.9992079999768169E-11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3.4</v>
      </c>
      <c r="BD105" s="13">
        <f>IF('Données projet'!$A$88&gt;35,BD104+BC105-BL104,IF(A105&lt;'Données projet'!$A$88,$BA$205^A105,IF(A105='Données projet'!$A$88,'Données projet'!$B$88,BD104+BC105-BL104)))</f>
        <v>209.79999999999984</v>
      </c>
      <c r="BE105" s="14">
        <f>BD105*VLOOKUP('Données projet'!$B$11,Paramètres!$A$1:$I$89,3,0)*VLOOKUP('Données projet'!$B$11,Paramètres!$A$1:$I$89,5,0)</f>
        <v>202.91855999999987</v>
      </c>
      <c r="BF105" s="14">
        <f t="shared" si="91"/>
        <v>50.385037061869774</v>
      </c>
      <c r="BG105" s="22">
        <f t="shared" si="61"/>
        <v>441.17043154942297</v>
      </c>
      <c r="BH105" s="62">
        <f t="shared" si="62"/>
        <v>734.50376488275629</v>
      </c>
      <c r="BI105" s="62">
        <f ca="1">AVERAGE(OFFSET($BH$3,0,0,'Données projet'!$E$11+1,1))-AVERAGE(OFFSET($H$3,0,0,'Données projet'!$E$11+1,1))</f>
        <v>298.18906674058809</v>
      </c>
      <c r="BJ105" s="62">
        <f t="shared" si="92"/>
        <v>154.08406475869634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3.4</v>
      </c>
      <c r="BY105" s="13">
        <f>IF('Données projet'!$A$114&gt;35,BY104+BX105-CG104,IF(A105&lt;'Données projet'!$A$114,$BV$205^A105,IF(A105='Données projet'!$A$114,'Données projet'!$B$114,BY104+BX105-CG104)))</f>
        <v>209.79999999999984</v>
      </c>
      <c r="BZ105" s="14">
        <f>BY105*VLOOKUP('Données projet'!$B$12,Paramètres!$A$1:$I$89,3,0)*VLOOKUP('Données projet'!$B$12,Paramètres!$A$1:$I$89,5,0)</f>
        <v>140.7338399999999</v>
      </c>
      <c r="CA105" s="14">
        <f t="shared" si="93"/>
        <v>36.465066748163046</v>
      </c>
      <c r="CB105" s="22">
        <f t="shared" si="64"/>
        <v>308.62142925305045</v>
      </c>
      <c r="CC105" s="62">
        <f t="shared" si="65"/>
        <v>601.95476258638382</v>
      </c>
      <c r="CD105" s="62">
        <f ca="1">AVERAGE(OFFSET($CC$3,0,0,'Données projet'!$E$12+1,1))-AVERAGE(OFFSET($H$3,0,0,'Données projet'!$E$12+1,1))</f>
        <v>218.24409784339861</v>
      </c>
      <c r="CE105" s="62">
        <f t="shared" si="94"/>
        <v>118.89963447540509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257.80952690600492</v>
      </c>
      <c r="T106" s="62">
        <f t="shared" si="88"/>
        <v>269.95358755269427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0.78591700766845451</v>
      </c>
      <c r="AA106" s="23">
        <f>EXP(-LN(2)/25)*AA105+(1-EXP(-LN(2)/25))/(LN(2)/25)*Calculateur!V106*Calculateur!X106*VLOOKUP('Données projet'!$B$9,Paramètres!$A$1:$I$89,3,0)*0.475*44/12</f>
        <v>1.0720436464038106</v>
      </c>
      <c r="AB106" s="23">
        <f>EXP(-LN(2)/2)*AB105+(1-EXP(-LN(2)/2))/(LN(2)/2)*V106*Y106*VLOOKUP('Données projet'!$B$9,Paramètres!$A$1:$I$89,3,0)*0.475*44/12</f>
        <v>1.3567615220378025E-10</v>
      </c>
      <c r="AC106" s="24">
        <f t="shared" si="57"/>
        <v>1.8579606542079412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3.4106051316484809E-13</v>
      </c>
      <c r="AJ106" s="14">
        <f>AI106*VLOOKUP('Données projet'!$B$10,Paramètres!$A$1:$I$89,3,0)*VLOOKUP('Données projet'!$B$10,Paramètres!$A$1:$I$89,5,0)</f>
        <v>1.9508661353029313E-13</v>
      </c>
      <c r="AK106" s="14">
        <f t="shared" si="89"/>
        <v>2.711421636700695E-12</v>
      </c>
      <c r="AL106" s="22">
        <f t="shared" si="58"/>
        <v>5.0621685358189711E-12</v>
      </c>
      <c r="AM106" s="62">
        <f t="shared" si="59"/>
        <v>293.33333333333837</v>
      </c>
      <c r="AN106" s="62">
        <f ca="1">AVERAGE(OFFSET($AM$3,0,0,'Données projet'!$E$10+1,1))-AVERAGE(OFFSET($H$3,0,0,'Données projet'!$E$10+1,1))</f>
        <v>258.09881752732008</v>
      </c>
      <c r="AO106" s="62">
        <f t="shared" si="90"/>
        <v>214.72899476643335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1.4136535337860025E-11</v>
      </c>
      <c r="AX106" s="23">
        <f t="shared" si="60"/>
        <v>1.4136535337860025E-11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3.4</v>
      </c>
      <c r="BD106" s="13">
        <f>IF('Données projet'!$A$88&gt;35,BD105+BC106-BL105,IF(A106&lt;'Données projet'!$A$88,$BA$205^A106,IF(A106='Données projet'!$A$88,'Données projet'!$B$88,BD105+BC106-BL105)))</f>
        <v>213.19999999999985</v>
      </c>
      <c r="BE106" s="14">
        <f>BD106*VLOOKUP('Données projet'!$B$11,Paramètres!$A$1:$I$89,3,0)*VLOOKUP('Données projet'!$B$11,Paramètres!$A$1:$I$89,5,0)</f>
        <v>206.20703999999986</v>
      </c>
      <c r="BF106" s="14">
        <f t="shared" si="91"/>
        <v>51.105851308113039</v>
      </c>
      <c r="BG106" s="22">
        <f t="shared" si="61"/>
        <v>448.15328569496324</v>
      </c>
      <c r="BH106" s="62">
        <f t="shared" si="62"/>
        <v>741.48661902829656</v>
      </c>
      <c r="BI106" s="62">
        <f ca="1">AVERAGE(OFFSET($BH$3,0,0,'Données projet'!$E$11+1,1))-AVERAGE(OFFSET($H$3,0,0,'Données projet'!$E$11+1,1))</f>
        <v>298.18906674058809</v>
      </c>
      <c r="BJ106" s="62">
        <f t="shared" si="92"/>
        <v>154.08406475869634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3.4</v>
      </c>
      <c r="BY106" s="13">
        <f>IF('Données projet'!$A$114&gt;35,BY105+BX106-CG105,IF(A106&lt;'Données projet'!$A$114,$BV$205^A106,IF(A106='Données projet'!$A$114,'Données projet'!$B$114,BY105+BX106-CG105)))</f>
        <v>213.19999999999985</v>
      </c>
      <c r="BZ106" s="14">
        <f>BY106*VLOOKUP('Données projet'!$B$12,Paramètres!$A$1:$I$89,3,0)*VLOOKUP('Données projet'!$B$12,Paramètres!$A$1:$I$89,5,0)</f>
        <v>143.0145599999999</v>
      </c>
      <c r="CA106" s="14">
        <f t="shared" si="93"/>
        <v>36.986740267426548</v>
      </c>
      <c r="CB106" s="22">
        <f t="shared" si="64"/>
        <v>313.50226463243433</v>
      </c>
      <c r="CC106" s="62">
        <f t="shared" si="65"/>
        <v>606.83559796576765</v>
      </c>
      <c r="CD106" s="62">
        <f ca="1">AVERAGE(OFFSET($CC$3,0,0,'Données projet'!$E$12+1,1))-AVERAGE(OFFSET($H$3,0,0,'Données projet'!$E$12+1,1))</f>
        <v>218.24409784339861</v>
      </c>
      <c r="CE106" s="62">
        <f t="shared" si="94"/>
        <v>118.89963447540509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257.80952690600492</v>
      </c>
      <c r="T107" s="62">
        <f t="shared" si="88"/>
        <v>269.95358755269427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0.77050565451011777</v>
      </c>
      <c r="AA107" s="23">
        <f>EXP(-LN(2)/25)*AA106+(1-EXP(-LN(2)/25))/(LN(2)/25)*Calculateur!V107*Calculateur!X107*VLOOKUP('Données projet'!$B$9,Paramètres!$A$1:$I$89,3,0)*0.475*44/12</f>
        <v>1.0427285565165731</v>
      </c>
      <c r="AB107" s="23">
        <f>EXP(-LN(2)/2)*AB106+(1-EXP(-LN(2)/2))/(LN(2)/2)*V107*Y107*VLOOKUP('Données projet'!$B$9,Paramètres!$A$1:$I$89,3,0)*0.475*44/12</f>
        <v>9.5937527268591162E-11</v>
      </c>
      <c r="AC107" s="24">
        <f t="shared" si="57"/>
        <v>1.8132342111226283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3.4106051316484809E-13</v>
      </c>
      <c r="AJ107" s="14">
        <f>AI107*VLOOKUP('Données projet'!$B$10,Paramètres!$A$1:$I$89,3,0)*VLOOKUP('Données projet'!$B$10,Paramètres!$A$1:$I$89,5,0)</f>
        <v>1.9508661353029313E-13</v>
      </c>
      <c r="AK107" s="14">
        <f t="shared" si="89"/>
        <v>2.711421636700695E-12</v>
      </c>
      <c r="AL107" s="22">
        <f t="shared" si="58"/>
        <v>5.0621685358189711E-12</v>
      </c>
      <c r="AM107" s="62">
        <f t="shared" si="59"/>
        <v>293.33333333333837</v>
      </c>
      <c r="AN107" s="62">
        <f ca="1">AVERAGE(OFFSET($AM$3,0,0,'Données projet'!$E$10+1,1))-AVERAGE(OFFSET($H$3,0,0,'Données projet'!$E$10+1,1))</f>
        <v>258.09881752732008</v>
      </c>
      <c r="AO107" s="62">
        <f t="shared" si="90"/>
        <v>214.72899476643335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9.996039999884086E-12</v>
      </c>
      <c r="AX107" s="23">
        <f t="shared" si="60"/>
        <v>9.996039999884086E-12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3.4</v>
      </c>
      <c r="BD107" s="13">
        <f>IF('Données projet'!$A$88&gt;35,BD106+BC107-BL106,IF(A107&lt;'Données projet'!$A$88,$BA$205^A107,IF(A107='Données projet'!$A$88,'Données projet'!$B$88,BD106+BC107-BL106)))</f>
        <v>216.59999999999985</v>
      </c>
      <c r="BE107" s="14">
        <f>BD107*VLOOKUP('Données projet'!$B$11,Paramètres!$A$1:$I$89,3,0)*VLOOKUP('Données projet'!$B$11,Paramètres!$A$1:$I$89,5,0)</f>
        <v>209.49551999999989</v>
      </c>
      <c r="BF107" s="14">
        <f t="shared" si="91"/>
        <v>51.825328698764402</v>
      </c>
      <c r="BG107" s="22">
        <f t="shared" si="61"/>
        <v>455.13381148368109</v>
      </c>
      <c r="BH107" s="62">
        <f t="shared" si="62"/>
        <v>748.4671448170144</v>
      </c>
      <c r="BI107" s="62">
        <f ca="1">AVERAGE(OFFSET($BH$3,0,0,'Données projet'!$E$11+1,1))-AVERAGE(OFFSET($H$3,0,0,'Données projet'!$E$11+1,1))</f>
        <v>298.18906674058809</v>
      </c>
      <c r="BJ107" s="62">
        <f t="shared" si="92"/>
        <v>154.08406475869634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3.4</v>
      </c>
      <c r="BY107" s="13">
        <f>IF('Données projet'!$A$114&gt;35,BY106+BX107-CG106,IF(A107&lt;'Données projet'!$A$114,$BV$205^A107,IF(A107='Données projet'!$A$114,'Données projet'!$B$114,BY106+BX107-CG106)))</f>
        <v>216.59999999999985</v>
      </c>
      <c r="BZ107" s="14">
        <f>BY107*VLOOKUP('Données projet'!$B$12,Paramètres!$A$1:$I$89,3,0)*VLOOKUP('Données projet'!$B$12,Paramètres!$A$1:$I$89,5,0)</f>
        <v>145.29527999999991</v>
      </c>
      <c r="CA107" s="14">
        <f t="shared" si="93"/>
        <v>37.507446266742981</v>
      </c>
      <c r="CB107" s="22">
        <f t="shared" si="64"/>
        <v>318.38141491457719</v>
      </c>
      <c r="CC107" s="62">
        <f t="shared" si="65"/>
        <v>611.71474824791051</v>
      </c>
      <c r="CD107" s="62">
        <f ca="1">AVERAGE(OFFSET($CC$3,0,0,'Données projet'!$E$12+1,1))-AVERAGE(OFFSET($H$3,0,0,'Données projet'!$E$12+1,1))</f>
        <v>218.24409784339861</v>
      </c>
      <c r="CE107" s="62">
        <f t="shared" si="94"/>
        <v>118.89963447540509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257.80952690600492</v>
      </c>
      <c r="T108" s="62">
        <f t="shared" si="88"/>
        <v>269.95358755269427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0.75539650858721874</v>
      </c>
      <c r="AA108" s="23">
        <f>EXP(-LN(2)/25)*AA107+(1-EXP(-LN(2)/25))/(LN(2)/25)*Calculateur!V108*Calculateur!X108*VLOOKUP('Données projet'!$B$9,Paramètres!$A$1:$I$89,3,0)*0.475*44/12</f>
        <v>1.0142150893039159</v>
      </c>
      <c r="AB108" s="23">
        <f>EXP(-LN(2)/2)*AB107+(1-EXP(-LN(2)/2))/(LN(2)/2)*V108*Y108*VLOOKUP('Données projet'!$B$9,Paramètres!$A$1:$I$89,3,0)*0.475*44/12</f>
        <v>6.7838076101890127E-11</v>
      </c>
      <c r="AC108" s="24">
        <f t="shared" si="57"/>
        <v>1.7696115979589728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3.4106051316484809E-13</v>
      </c>
      <c r="AJ108" s="14">
        <f>AI108*VLOOKUP('Données projet'!$B$10,Paramètres!$A$1:$I$89,3,0)*VLOOKUP('Données projet'!$B$10,Paramètres!$A$1:$I$89,5,0)</f>
        <v>1.9508661353029313E-13</v>
      </c>
      <c r="AK108" s="14">
        <f t="shared" si="89"/>
        <v>2.711421636700695E-12</v>
      </c>
      <c r="AL108" s="22">
        <f t="shared" si="58"/>
        <v>5.0621685358189711E-12</v>
      </c>
      <c r="AM108" s="62">
        <f t="shared" si="59"/>
        <v>293.33333333333837</v>
      </c>
      <c r="AN108" s="62">
        <f ca="1">AVERAGE(OFFSET($AM$3,0,0,'Données projet'!$E$10+1,1))-AVERAGE(OFFSET($H$3,0,0,'Données projet'!$E$10+1,1))</f>
        <v>258.09881752732008</v>
      </c>
      <c r="AO108" s="62">
        <f t="shared" si="90"/>
        <v>214.72899476643335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7.0682676689300134E-12</v>
      </c>
      <c r="AX108" s="23">
        <f t="shared" si="60"/>
        <v>7.0682676689300134E-12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>
        <f>VLOOKUP(A108,'Données projet'!$A$87:$I$107,2,0)</f>
        <v>220</v>
      </c>
      <c r="BB108" s="13">
        <f>VLOOKUP(A108,'Données projet'!$A$87:$I$107,9,0)</f>
        <v>3.4</v>
      </c>
      <c r="BC108" s="13">
        <f t="array" ref="BC108">INDEX(BB:BB,MIN(IF(ISNUMBER(BB108:BB304),ROW(BB108:BB304),"")))</f>
        <v>3.4</v>
      </c>
      <c r="BD108" s="13">
        <f>IF('Données projet'!$A$88&gt;35,BD107+BC108-BL107,IF(A108&lt;'Données projet'!$A$88,$BA$205^A108,IF(A108='Données projet'!$A$88,'Données projet'!$B$88,BD107+BC108-BL107)))</f>
        <v>219.99999999999986</v>
      </c>
      <c r="BE108" s="14">
        <f>BD108*VLOOKUP('Données projet'!$B$11,Paramètres!$A$1:$I$89,3,0)*VLOOKUP('Données projet'!$B$11,Paramètres!$A$1:$I$89,5,0)</f>
        <v>212.78399999999988</v>
      </c>
      <c r="BF108" s="14">
        <f t="shared" si="91"/>
        <v>52.543492641808065</v>
      </c>
      <c r="BG108" s="22">
        <f t="shared" si="61"/>
        <v>462.11204968448214</v>
      </c>
      <c r="BH108" s="62">
        <f t="shared" si="62"/>
        <v>755.4453830178154</v>
      </c>
      <c r="BI108" s="62">
        <f ca="1">AVERAGE(OFFSET($BH$3,0,0,'Données projet'!$E$11+1,1))-AVERAGE(OFFSET($H$3,0,0,'Données projet'!$E$11+1,1))</f>
        <v>298.18906674058809</v>
      </c>
      <c r="BJ108" s="62">
        <f t="shared" si="92"/>
        <v>154.08406475869634</v>
      </c>
      <c r="BK108" s="16">
        <f>IF(ISNA(VLOOKUP(A108,'Données projet'!$A$87:$I$107,3,0)),0,VLOOKUP(A108,'Données projet'!$A$87:$I$107,3,0))</f>
        <v>17</v>
      </c>
      <c r="BL108" s="16">
        <f>IF(ISNA(VLOOKUP(A108,'Données projet'!$A$87:$I$107,4,0)),0,VLOOKUP(A108,'Données projet'!$A$87:$I$107,4,0))</f>
        <v>13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>
        <f>VLOOKUP(A108,'Données projet'!$A$113:$I$133,2,0)</f>
        <v>220</v>
      </c>
      <c r="BW108" s="13">
        <f>VLOOKUP(A108,'Données projet'!$A$113:$I$133,9,0)</f>
        <v>3.4</v>
      </c>
      <c r="BX108" s="13">
        <f t="array" ref="BX108">INDEX(BW:BW,MIN(IF(ISNUMBER(BW108:BW304),ROW(BW108:BW304),"")))</f>
        <v>3.4</v>
      </c>
      <c r="BY108" s="13">
        <f>IF('Données projet'!$A$114&gt;35,BY107+BX108-CG107,IF(A108&lt;'Données projet'!$A$114,$BV$205^A108,IF(A108='Données projet'!$A$114,'Données projet'!$B$114,BY107+BX108-CG107)))</f>
        <v>219.99999999999986</v>
      </c>
      <c r="BZ108" s="14">
        <f>BY108*VLOOKUP('Données projet'!$B$12,Paramètres!$A$1:$I$89,3,0)*VLOOKUP('Données projet'!$B$12,Paramètres!$A$1:$I$89,5,0)</f>
        <v>147.57599999999991</v>
      </c>
      <c r="CA108" s="14">
        <f t="shared" si="93"/>
        <v>38.027201687128048</v>
      </c>
      <c r="CB108" s="22">
        <f t="shared" si="64"/>
        <v>323.25890960508121</v>
      </c>
      <c r="CC108" s="62">
        <f t="shared" si="65"/>
        <v>616.59224293841453</v>
      </c>
      <c r="CD108" s="62">
        <f ca="1">AVERAGE(OFFSET($CC$3,0,0,'Données projet'!$E$12+1,1))-AVERAGE(OFFSET($H$3,0,0,'Données projet'!$E$12+1,1))</f>
        <v>218.24409784339861</v>
      </c>
      <c r="CE108" s="62">
        <f t="shared" si="94"/>
        <v>118.89963447540509</v>
      </c>
      <c r="CF108" s="16">
        <f>IF(ISNA(VLOOKUP(A108,'Données projet'!$A$113:$I$133,3,0)),0,VLOOKUP(A108,'Données projet'!$A$113:$I$133,3,0))</f>
        <v>17</v>
      </c>
      <c r="CG108" s="16">
        <f>IF(ISNA(VLOOKUP(A108,'Données projet'!$A$113:$I$133,4,0)),0,VLOOKUP(A108,'Données projet'!$A$113:$I$133,4,0))</f>
        <v>13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257.80952690600492</v>
      </c>
      <c r="T109" s="62">
        <f t="shared" si="88"/>
        <v>269.95358755269427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0.7405836438001987</v>
      </c>
      <c r="AA109" s="23">
        <f>EXP(-LN(2)/25)*AA108+(1-EXP(-LN(2)/25))/(LN(2)/25)*Calculateur!V109*Calculateur!X109*VLOOKUP('Données projet'!$B$9,Paramètres!$A$1:$I$89,3,0)*0.475*44/12</f>
        <v>0.98648132435164682</v>
      </c>
      <c r="AB109" s="23">
        <f>EXP(-LN(2)/2)*AB108+(1-EXP(-LN(2)/2))/(LN(2)/2)*V109*Y109*VLOOKUP('Données projet'!$B$9,Paramètres!$A$1:$I$89,3,0)*0.475*44/12</f>
        <v>4.7968763634295581E-11</v>
      </c>
      <c r="AC109" s="24">
        <f t="shared" si="57"/>
        <v>1.7270649681998143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3.4106051316484809E-13</v>
      </c>
      <c r="AJ109" s="14">
        <f>AI109*VLOOKUP('Données projet'!$B$10,Paramètres!$A$1:$I$89,3,0)*VLOOKUP('Données projet'!$B$10,Paramètres!$A$1:$I$89,5,0)</f>
        <v>1.9508661353029313E-13</v>
      </c>
      <c r="AK109" s="14">
        <f t="shared" si="89"/>
        <v>2.711421636700695E-12</v>
      </c>
      <c r="AL109" s="22">
        <f t="shared" si="58"/>
        <v>5.0621685358189711E-12</v>
      </c>
      <c r="AM109" s="62">
        <f t="shared" si="59"/>
        <v>293.33333333333837</v>
      </c>
      <c r="AN109" s="62">
        <f ca="1">AVERAGE(OFFSET($AM$3,0,0,'Données projet'!$E$10+1,1))-AVERAGE(OFFSET($H$3,0,0,'Données projet'!$E$10+1,1))</f>
        <v>258.09881752732008</v>
      </c>
      <c r="AO109" s="62">
        <f t="shared" si="90"/>
        <v>214.72899476643335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4.9980199999420438E-12</v>
      </c>
      <c r="AX109" s="23">
        <f t="shared" si="60"/>
        <v>4.9980199999420438E-12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3</v>
      </c>
      <c r="BD109" s="13">
        <f>IF('Données projet'!$A$88&gt;35,BD108+BC109-BL108,IF(A109&lt;'Données projet'!$A$88,$BA$205^A109,IF(A109='Données projet'!$A$88,'Données projet'!$B$88,BD108+BC109-BL108)))</f>
        <v>209.99999999999986</v>
      </c>
      <c r="BE109" s="14">
        <f>BD109*VLOOKUP('Données projet'!$B$11,Paramètres!$A$1:$I$89,3,0)*VLOOKUP('Données projet'!$B$11,Paramètres!$A$1:$I$89,5,0)</f>
        <v>203.11199999999985</v>
      </c>
      <c r="BF109" s="14">
        <f t="shared" si="91"/>
        <v>50.427475336015782</v>
      </c>
      <c r="BG109" s="22">
        <f t="shared" si="61"/>
        <v>441.58125287689387</v>
      </c>
      <c r="BH109" s="62">
        <f t="shared" si="62"/>
        <v>734.91458621022718</v>
      </c>
      <c r="BI109" s="62">
        <f ca="1">AVERAGE(OFFSET($BH$3,0,0,'Données projet'!$E$11+1,1))-AVERAGE(OFFSET($H$3,0,0,'Données projet'!$E$11+1,1))</f>
        <v>298.18906674058809</v>
      </c>
      <c r="BJ109" s="62">
        <f t="shared" si="92"/>
        <v>154.08406475869634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3</v>
      </c>
      <c r="BY109" s="13">
        <f>IF('Données projet'!$A$114&gt;35,BY108+BX109-CG108,IF(A109&lt;'Données projet'!$A$114,$BV$205^A109,IF(A109='Données projet'!$A$114,'Données projet'!$B$114,BY108+BX109-CG108)))</f>
        <v>209.99999999999986</v>
      </c>
      <c r="BZ109" s="14">
        <f>BY109*VLOOKUP('Données projet'!$B$12,Paramètres!$A$1:$I$89,3,0)*VLOOKUP('Données projet'!$B$12,Paramètres!$A$1:$I$89,5,0)</f>
        <v>140.86799999999991</v>
      </c>
      <c r="CA109" s="14">
        <f t="shared" si="93"/>
        <v>36.495780519346923</v>
      </c>
      <c r="CB109" s="22">
        <f t="shared" si="64"/>
        <v>308.90858440452911</v>
      </c>
      <c r="CC109" s="62">
        <f t="shared" si="65"/>
        <v>602.24191773786242</v>
      </c>
      <c r="CD109" s="62">
        <f ca="1">AVERAGE(OFFSET($CC$3,0,0,'Données projet'!$E$12+1,1))-AVERAGE(OFFSET($H$3,0,0,'Données projet'!$E$12+1,1))</f>
        <v>218.24409784339861</v>
      </c>
      <c r="CE109" s="62">
        <f t="shared" si="94"/>
        <v>118.89963447540509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257.80952690600492</v>
      </c>
      <c r="T110" s="62">
        <f t="shared" si="88"/>
        <v>269.95358755269427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0.72606125025669677</v>
      </c>
      <c r="AA110" s="23">
        <f>EXP(-LN(2)/25)*AA109+(1-EXP(-LN(2)/25))/(LN(2)/25)*Calculateur!V110*Calculateur!X110*VLOOKUP('Données projet'!$B$9,Paramètres!$A$1:$I$89,3,0)*0.475*44/12</f>
        <v>0.95950594066045281</v>
      </c>
      <c r="AB110" s="23">
        <f>EXP(-LN(2)/2)*AB109+(1-EXP(-LN(2)/2))/(LN(2)/2)*V110*Y110*VLOOKUP('Données projet'!$B$9,Paramètres!$A$1:$I$89,3,0)*0.475*44/12</f>
        <v>3.3919038050945063E-11</v>
      </c>
      <c r="AC110" s="24">
        <f t="shared" si="57"/>
        <v>1.6855671909510686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3.4106051316484809E-13</v>
      </c>
      <c r="AJ110" s="14">
        <f>AI110*VLOOKUP('Données projet'!$B$10,Paramètres!$A$1:$I$89,3,0)*VLOOKUP('Données projet'!$B$10,Paramètres!$A$1:$I$89,5,0)</f>
        <v>1.9508661353029313E-13</v>
      </c>
      <c r="AK110" s="14">
        <f t="shared" si="89"/>
        <v>2.711421636700695E-12</v>
      </c>
      <c r="AL110" s="22">
        <f t="shared" si="58"/>
        <v>5.0621685358189711E-12</v>
      </c>
      <c r="AM110" s="62">
        <f t="shared" si="59"/>
        <v>293.33333333333837</v>
      </c>
      <c r="AN110" s="62">
        <f ca="1">AVERAGE(OFFSET($AM$3,0,0,'Données projet'!$E$10+1,1))-AVERAGE(OFFSET($H$3,0,0,'Données projet'!$E$10+1,1))</f>
        <v>258.09881752732008</v>
      </c>
      <c r="AO110" s="62">
        <f t="shared" si="90"/>
        <v>214.72899476643335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3.5341338344650071E-12</v>
      </c>
      <c r="AX110" s="23">
        <f t="shared" si="60"/>
        <v>3.5341338344650071E-12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3</v>
      </c>
      <c r="BD110" s="13">
        <f>IF('Données projet'!$A$88&gt;35,BD109+BC110-BL109,IF(A110&lt;'Données projet'!$A$88,$BA$205^A110,IF(A110='Données projet'!$A$88,'Données projet'!$B$88,BD109+BC110-BL109)))</f>
        <v>212.99999999999986</v>
      </c>
      <c r="BE110" s="14">
        <f>BD110*VLOOKUP('Données projet'!$B$11,Paramètres!$A$1:$I$89,3,0)*VLOOKUP('Données projet'!$B$11,Paramètres!$A$1:$I$89,5,0)</f>
        <v>206.01359999999988</v>
      </c>
      <c r="BF110" s="14">
        <f t="shared" si="91"/>
        <v>51.063487709141434</v>
      </c>
      <c r="BG110" s="22">
        <f t="shared" si="61"/>
        <v>447.74259442675447</v>
      </c>
      <c r="BH110" s="62">
        <f t="shared" si="62"/>
        <v>741.07592776008778</v>
      </c>
      <c r="BI110" s="62">
        <f ca="1">AVERAGE(OFFSET($BH$3,0,0,'Données projet'!$E$11+1,1))-AVERAGE(OFFSET($H$3,0,0,'Données projet'!$E$11+1,1))</f>
        <v>298.18906674058809</v>
      </c>
      <c r="BJ110" s="62">
        <f t="shared" si="92"/>
        <v>154.08406475869634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3</v>
      </c>
      <c r="BY110" s="13">
        <f>IF('Données projet'!$A$114&gt;35,BY109+BX110-CG109,IF(A110&lt;'Données projet'!$A$114,$BV$205^A110,IF(A110='Données projet'!$A$114,'Données projet'!$B$114,BY109+BX110-CG109)))</f>
        <v>212.99999999999986</v>
      </c>
      <c r="BZ110" s="14">
        <f>BY110*VLOOKUP('Données projet'!$B$12,Paramètres!$A$1:$I$89,3,0)*VLOOKUP('Données projet'!$B$12,Paramètres!$A$1:$I$89,5,0)</f>
        <v>142.8803999999999</v>
      </c>
      <c r="CA110" s="14">
        <f t="shared" si="93"/>
        <v>36.956080540764113</v>
      </c>
      <c r="CB110" s="22">
        <f t="shared" si="64"/>
        <v>313.21520360849729</v>
      </c>
      <c r="CC110" s="62">
        <f t="shared" si="65"/>
        <v>606.54853694183066</v>
      </c>
      <c r="CD110" s="62">
        <f ca="1">AVERAGE(OFFSET($CC$3,0,0,'Données projet'!$E$12+1,1))-AVERAGE(OFFSET($H$3,0,0,'Données projet'!$E$12+1,1))</f>
        <v>218.24409784339861</v>
      </c>
      <c r="CE110" s="62">
        <f t="shared" si="94"/>
        <v>118.89963447540509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257.80952690600492</v>
      </c>
      <c r="T111" s="62">
        <f t="shared" si="88"/>
        <v>269.95358755269427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0.71182363199279741</v>
      </c>
      <c r="AA111" s="23">
        <f>EXP(-LN(2)/25)*AA110+(1-EXP(-LN(2)/25))/(LN(2)/25)*Calculateur!V111*Calculateur!X111*VLOOKUP('Données projet'!$B$9,Paramètres!$A$1:$I$89,3,0)*0.475*44/12</f>
        <v>0.93326820025486823</v>
      </c>
      <c r="AB111" s="23">
        <f>EXP(-LN(2)/2)*AB110+(1-EXP(-LN(2)/2))/(LN(2)/2)*V111*Y111*VLOOKUP('Données projet'!$B$9,Paramètres!$A$1:$I$89,3,0)*0.475*44/12</f>
        <v>2.398438181714779E-11</v>
      </c>
      <c r="AC111" s="24">
        <f t="shared" si="57"/>
        <v>1.6450918322716501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3.4106051316484809E-13</v>
      </c>
      <c r="AJ111" s="14">
        <f>AI111*VLOOKUP('Données projet'!$B$10,Paramètres!$A$1:$I$89,3,0)*VLOOKUP('Données projet'!$B$10,Paramètres!$A$1:$I$89,5,0)</f>
        <v>1.9508661353029313E-13</v>
      </c>
      <c r="AK111" s="14">
        <f t="shared" si="89"/>
        <v>2.711421636700695E-12</v>
      </c>
      <c r="AL111" s="22">
        <f t="shared" si="58"/>
        <v>5.0621685358189711E-12</v>
      </c>
      <c r="AM111" s="62">
        <f t="shared" si="59"/>
        <v>293.33333333333837</v>
      </c>
      <c r="AN111" s="62">
        <f ca="1">AVERAGE(OFFSET($AM$3,0,0,'Données projet'!$E$10+1,1))-AVERAGE(OFFSET($H$3,0,0,'Données projet'!$E$10+1,1))</f>
        <v>258.09881752732008</v>
      </c>
      <c r="AO111" s="62">
        <f t="shared" si="90"/>
        <v>214.72899476643335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2.4990099999710223E-12</v>
      </c>
      <c r="AX111" s="23">
        <f t="shared" si="60"/>
        <v>2.4990099999710223E-12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3</v>
      </c>
      <c r="BD111" s="13">
        <f>IF('Données projet'!$A$88&gt;35,BD110+BC111-BL110,IF(A111&lt;'Données projet'!$A$88,$BA$205^A111,IF(A111='Données projet'!$A$88,'Données projet'!$B$88,BD110+BC111-BL110)))</f>
        <v>215.99999999999986</v>
      </c>
      <c r="BE111" s="14">
        <f>BD111*VLOOKUP('Données projet'!$B$11,Paramètres!$A$1:$I$89,3,0)*VLOOKUP('Données projet'!$B$11,Paramètres!$A$1:$I$89,5,0)</f>
        <v>208.91519999999986</v>
      </c>
      <c r="BF111" s="14">
        <f t="shared" si="91"/>
        <v>51.698458198123326</v>
      </c>
      <c r="BG111" s="22">
        <f t="shared" si="61"/>
        <v>453.90212136173113</v>
      </c>
      <c r="BH111" s="62">
        <f t="shared" si="62"/>
        <v>747.23545469506439</v>
      </c>
      <c r="BI111" s="62">
        <f ca="1">AVERAGE(OFFSET($BH$3,0,0,'Données projet'!$E$11+1,1))-AVERAGE(OFFSET($H$3,0,0,'Données projet'!$E$11+1,1))</f>
        <v>298.18906674058809</v>
      </c>
      <c r="BJ111" s="62">
        <f t="shared" si="92"/>
        <v>154.08406475869634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3</v>
      </c>
      <c r="BY111" s="13">
        <f>IF('Données projet'!$A$114&gt;35,BY110+BX111-CG110,IF(A111&lt;'Données projet'!$A$114,$BV$205^A111,IF(A111='Données projet'!$A$114,'Données projet'!$B$114,BY110+BX111-CG110)))</f>
        <v>215.99999999999986</v>
      </c>
      <c r="BZ111" s="14">
        <f>BY111*VLOOKUP('Données projet'!$B$12,Paramètres!$A$1:$I$89,3,0)*VLOOKUP('Données projet'!$B$12,Paramètres!$A$1:$I$89,5,0)</f>
        <v>144.89279999999991</v>
      </c>
      <c r="CA111" s="14">
        <f t="shared" si="93"/>
        <v>37.415626521357645</v>
      </c>
      <c r="CB111" s="22">
        <f t="shared" si="64"/>
        <v>317.52050952469773</v>
      </c>
      <c r="CC111" s="62">
        <f t="shared" si="65"/>
        <v>610.85384285803104</v>
      </c>
      <c r="CD111" s="62">
        <f ca="1">AVERAGE(OFFSET($CC$3,0,0,'Données projet'!$E$12+1,1))-AVERAGE(OFFSET($H$3,0,0,'Données projet'!$E$12+1,1))</f>
        <v>218.24409784339861</v>
      </c>
      <c r="CE111" s="62">
        <f t="shared" si="94"/>
        <v>118.89963447540509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257.80952690600492</v>
      </c>
      <c r="T112" s="62">
        <f t="shared" si="88"/>
        <v>269.95358755269427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0.69786520473896352</v>
      </c>
      <c r="AA112" s="23">
        <f>EXP(-LN(2)/25)*AA111+(1-EXP(-LN(2)/25))/(LN(2)/25)*Calculateur!V112*Calculateur!X112*VLOOKUP('Données projet'!$B$9,Paramètres!$A$1:$I$89,3,0)*0.475*44/12</f>
        <v>0.90774793224045724</v>
      </c>
      <c r="AB112" s="23">
        <f>EXP(-LN(2)/2)*AB111+(1-EXP(-LN(2)/2))/(LN(2)/2)*V112*Y112*VLOOKUP('Données projet'!$B$9,Paramètres!$A$1:$I$89,3,0)*0.475*44/12</f>
        <v>1.6959519025472532E-11</v>
      </c>
      <c r="AC112" s="24">
        <f t="shared" si="57"/>
        <v>1.6056131369963802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3.4106051316484809E-13</v>
      </c>
      <c r="AJ112" s="14">
        <f>AI112*VLOOKUP('Données projet'!$B$10,Paramètres!$A$1:$I$89,3,0)*VLOOKUP('Données projet'!$B$10,Paramètres!$A$1:$I$89,5,0)</f>
        <v>1.9508661353029313E-13</v>
      </c>
      <c r="AK112" s="14">
        <f t="shared" si="89"/>
        <v>2.711421636700695E-12</v>
      </c>
      <c r="AL112" s="22">
        <f t="shared" si="58"/>
        <v>5.0621685358189711E-12</v>
      </c>
      <c r="AM112" s="62">
        <f t="shared" si="59"/>
        <v>293.33333333333837</v>
      </c>
      <c r="AN112" s="62">
        <f ca="1">AVERAGE(OFFSET($AM$3,0,0,'Données projet'!$E$10+1,1))-AVERAGE(OFFSET($H$3,0,0,'Données projet'!$E$10+1,1))</f>
        <v>258.09881752732008</v>
      </c>
      <c r="AO112" s="62">
        <f t="shared" si="90"/>
        <v>214.72899476643335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1.7670669172325039E-12</v>
      </c>
      <c r="AX112" s="23">
        <f t="shared" si="60"/>
        <v>1.7670669172325039E-12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3</v>
      </c>
      <c r="BD112" s="13">
        <f>IF('Données projet'!$A$88&gt;35,BD111+BC112-BL111,IF(A112&lt;'Données projet'!$A$88,$BA$205^A112,IF(A112='Données projet'!$A$88,'Données projet'!$B$88,BD111+BC112-BL111)))</f>
        <v>218.99999999999986</v>
      </c>
      <c r="BE112" s="14">
        <f>BD112*VLOOKUP('Données projet'!$B$11,Paramètres!$A$1:$I$89,3,0)*VLOOKUP('Données projet'!$B$11,Paramètres!$A$1:$I$89,5,0)</f>
        <v>211.81679999999989</v>
      </c>
      <c r="BF112" s="14">
        <f t="shared" si="91"/>
        <v>52.332402945946782</v>
      </c>
      <c r="BG112" s="22">
        <f t="shared" si="61"/>
        <v>460.05986179752381</v>
      </c>
      <c r="BH112" s="62">
        <f t="shared" si="62"/>
        <v>753.39319513085707</v>
      </c>
      <c r="BI112" s="62">
        <f ca="1">AVERAGE(OFFSET($BH$3,0,0,'Données projet'!$E$11+1,1))-AVERAGE(OFFSET($H$3,0,0,'Données projet'!$E$11+1,1))</f>
        <v>298.18906674058809</v>
      </c>
      <c r="BJ112" s="62">
        <f t="shared" si="92"/>
        <v>154.08406475869634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3</v>
      </c>
      <c r="BY112" s="13">
        <f>IF('Données projet'!$A$114&gt;35,BY111+BX112-CG111,IF(A112&lt;'Données projet'!$A$114,$BV$205^A112,IF(A112='Données projet'!$A$114,'Données projet'!$B$114,BY111+BX112-CG111)))</f>
        <v>218.99999999999986</v>
      </c>
      <c r="BZ112" s="14">
        <f>BY112*VLOOKUP('Données projet'!$B$12,Paramètres!$A$1:$I$89,3,0)*VLOOKUP('Données projet'!$B$12,Paramètres!$A$1:$I$89,5,0)</f>
        <v>146.90519999999989</v>
      </c>
      <c r="CA112" s="14">
        <f t="shared" si="93"/>
        <v>37.874430144259527</v>
      </c>
      <c r="CB112" s="22">
        <f t="shared" si="64"/>
        <v>321.82452250125181</v>
      </c>
      <c r="CC112" s="62">
        <f t="shared" si="65"/>
        <v>615.15785583458512</v>
      </c>
      <c r="CD112" s="62">
        <f ca="1">AVERAGE(OFFSET($CC$3,0,0,'Données projet'!$E$12+1,1))-AVERAGE(OFFSET($H$3,0,0,'Données projet'!$E$12+1,1))</f>
        <v>218.24409784339861</v>
      </c>
      <c r="CE112" s="62">
        <f t="shared" si="94"/>
        <v>118.89963447540509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257.80952690600492</v>
      </c>
      <c r="T113" s="62">
        <f t="shared" si="88"/>
        <v>269.95358755269427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0.68418049372977729</v>
      </c>
      <c r="AA113" s="23">
        <f>EXP(-LN(2)/25)*AA112+(1-EXP(-LN(2)/25))/(LN(2)/25)*Calculateur!V113*Calculateur!X113*VLOOKUP('Données projet'!$B$9,Paramètres!$A$1:$I$89,3,0)*0.475*44/12</f>
        <v>0.8829255172969529</v>
      </c>
      <c r="AB113" s="23">
        <f>EXP(-LN(2)/2)*AB112+(1-EXP(-LN(2)/2))/(LN(2)/2)*V113*Y113*VLOOKUP('Données projet'!$B$9,Paramètres!$A$1:$I$89,3,0)*0.475*44/12</f>
        <v>1.1992190908573895E-11</v>
      </c>
      <c r="AC113" s="24">
        <f t="shared" si="57"/>
        <v>1.5671060110387223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3.4106051316484809E-13</v>
      </c>
      <c r="AJ113" s="14">
        <f>AI113*VLOOKUP('Données projet'!$B$10,Paramètres!$A$1:$I$89,3,0)*VLOOKUP('Données projet'!$B$10,Paramètres!$A$1:$I$89,5,0)</f>
        <v>1.9508661353029313E-13</v>
      </c>
      <c r="AK113" s="14">
        <f t="shared" si="89"/>
        <v>2.711421636700695E-12</v>
      </c>
      <c r="AL113" s="22">
        <f t="shared" si="58"/>
        <v>5.0621685358189711E-12</v>
      </c>
      <c r="AM113" s="62">
        <f t="shared" si="59"/>
        <v>293.33333333333837</v>
      </c>
      <c r="AN113" s="62">
        <f ca="1">AVERAGE(OFFSET($AM$3,0,0,'Données projet'!$E$10+1,1))-AVERAGE(OFFSET($H$3,0,0,'Données projet'!$E$10+1,1))</f>
        <v>258.09881752732008</v>
      </c>
      <c r="AO113" s="62">
        <f t="shared" si="90"/>
        <v>214.72899476643335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1.2495049999855113E-12</v>
      </c>
      <c r="AX113" s="23">
        <f t="shared" si="60"/>
        <v>1.2495049999855113E-12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222</v>
      </c>
      <c r="BB113" s="13">
        <f>VLOOKUP(A113,'Données projet'!$A$87:$I$107,9,0)</f>
        <v>3</v>
      </c>
      <c r="BC113" s="13">
        <f t="array" ref="BC113">INDEX(BB:BB,MIN(IF(ISNUMBER(BB113:BB309),ROW(BB113:BB309),"")))</f>
        <v>3</v>
      </c>
      <c r="BD113" s="13">
        <f>IF('Données projet'!$A$88&gt;35,BD112+BC113-BL112,IF(A113&lt;'Données projet'!$A$88,$BA$205^A113,IF(A113='Données projet'!$A$88,'Données projet'!$B$88,BD112+BC113-BL112)))</f>
        <v>221.99999999999986</v>
      </c>
      <c r="BE113" s="14">
        <f>BD113*VLOOKUP('Données projet'!$B$11,Paramètres!$A$1:$I$89,3,0)*VLOOKUP('Données projet'!$B$11,Paramètres!$A$1:$I$89,5,0)</f>
        <v>214.71839999999986</v>
      </c>
      <c r="BF113" s="14">
        <f t="shared" si="91"/>
        <v>52.965337627912696</v>
      </c>
      <c r="BG113" s="22">
        <f t="shared" si="61"/>
        <v>466.21584303528101</v>
      </c>
      <c r="BH113" s="62">
        <f t="shared" si="62"/>
        <v>759.54917636861433</v>
      </c>
      <c r="BI113" s="62">
        <f ca="1">AVERAGE(OFFSET($BH$3,0,0,'Données projet'!$E$11+1,1))-AVERAGE(OFFSET($H$3,0,0,'Données projet'!$E$11+1,1))</f>
        <v>298.18906674058809</v>
      </c>
      <c r="BJ113" s="62">
        <f t="shared" si="92"/>
        <v>154.08406475869634</v>
      </c>
      <c r="BK113" s="16">
        <f>IF(ISNA(VLOOKUP(A113,'Données projet'!$A$87:$I$107,3,0)),0,VLOOKUP(A113,'Données projet'!$A$87:$I$107,3,0))</f>
        <v>18</v>
      </c>
      <c r="BL113" s="16">
        <f>IF(ISNA(VLOOKUP(A113,'Données projet'!$A$87:$I$107,4,0)),0,VLOOKUP(A113,'Données projet'!$A$87:$I$107,4,0))</f>
        <v>13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>
        <f>VLOOKUP(A113,'Données projet'!$A$113:$I$133,2,0)</f>
        <v>222</v>
      </c>
      <c r="BW113" s="13">
        <f>VLOOKUP(A113,'Données projet'!$A$113:$I$133,9,0)</f>
        <v>3</v>
      </c>
      <c r="BX113" s="13">
        <f t="array" ref="BX113">INDEX(BW:BW,MIN(IF(ISNUMBER(BW113:BW309),ROW(BW113:BW309),"")))</f>
        <v>3</v>
      </c>
      <c r="BY113" s="13">
        <f>IF('Données projet'!$A$114&gt;35,BY112+BX113-CG112,IF(A113&lt;'Données projet'!$A$114,$BV$205^A113,IF(A113='Données projet'!$A$114,'Données projet'!$B$114,BY112+BX113-CG112)))</f>
        <v>221.99999999999986</v>
      </c>
      <c r="BZ113" s="14">
        <f>BY113*VLOOKUP('Données projet'!$B$12,Paramètres!$A$1:$I$89,3,0)*VLOOKUP('Données projet'!$B$12,Paramètres!$A$1:$I$89,5,0)</f>
        <v>148.91759999999991</v>
      </c>
      <c r="CA113" s="14">
        <f t="shared" si="93"/>
        <v>38.332502754125301</v>
      </c>
      <c r="CB113" s="22">
        <f t="shared" si="64"/>
        <v>326.12726229676804</v>
      </c>
      <c r="CC113" s="62">
        <f t="shared" si="65"/>
        <v>619.46059563010135</v>
      </c>
      <c r="CD113" s="62">
        <f ca="1">AVERAGE(OFFSET($CC$3,0,0,'Données projet'!$E$12+1,1))-AVERAGE(OFFSET($H$3,0,0,'Données projet'!$E$12+1,1))</f>
        <v>218.24409784339861</v>
      </c>
      <c r="CE113" s="62">
        <f t="shared" si="94"/>
        <v>118.89963447540509</v>
      </c>
      <c r="CF113" s="16">
        <f>IF(ISNA(VLOOKUP(A113,'Données projet'!$A$113:$I$133,3,0)),0,VLOOKUP(A113,'Données projet'!$A$113:$I$133,3,0))</f>
        <v>18</v>
      </c>
      <c r="CG113" s="16">
        <f>IF(ISNA(VLOOKUP(A113,'Données projet'!$A$113:$I$133,4,0)),0,VLOOKUP(A113,'Données projet'!$A$113:$I$133,4,0))</f>
        <v>13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257.80952690600492</v>
      </c>
      <c r="T114" s="62">
        <f t="shared" si="88"/>
        <v>269.95358755269427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0.67076413155663173</v>
      </c>
      <c r="AA114" s="23">
        <f>EXP(-LN(2)/25)*AA113+(1-EXP(-LN(2)/25))/(LN(2)/25)*Calculateur!V114*Calculateur!X114*VLOOKUP('Données projet'!$B$9,Paramètres!$A$1:$I$89,3,0)*0.475*44/12</f>
        <v>0.8587818725954327</v>
      </c>
      <c r="AB114" s="23">
        <f>EXP(-LN(2)/2)*AB113+(1-EXP(-LN(2)/2))/(LN(2)/2)*V114*Y114*VLOOKUP('Données projet'!$B$9,Paramètres!$A$1:$I$89,3,0)*0.475*44/12</f>
        <v>8.4797595127362658E-12</v>
      </c>
      <c r="AC114" s="24">
        <f t="shared" si="57"/>
        <v>1.529546004160544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3.4106051316484809E-13</v>
      </c>
      <c r="AJ114" s="14">
        <f>AI114*VLOOKUP('Données projet'!$B$10,Paramètres!$A$1:$I$89,3,0)*VLOOKUP('Données projet'!$B$10,Paramètres!$A$1:$I$89,5,0)</f>
        <v>1.9508661353029313E-13</v>
      </c>
      <c r="AK114" s="14">
        <f t="shared" si="89"/>
        <v>2.711421636700695E-12</v>
      </c>
      <c r="AL114" s="22">
        <f t="shared" si="58"/>
        <v>5.0621685358189711E-12</v>
      </c>
      <c r="AM114" s="62">
        <f t="shared" si="59"/>
        <v>293.33333333333837</v>
      </c>
      <c r="AN114" s="62">
        <f ca="1">AVERAGE(OFFSET($AM$3,0,0,'Données projet'!$E$10+1,1))-AVERAGE(OFFSET($H$3,0,0,'Données projet'!$E$10+1,1))</f>
        <v>258.09881752732008</v>
      </c>
      <c r="AO114" s="62">
        <f t="shared" si="90"/>
        <v>214.72899476643335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8.8353345861625207E-13</v>
      </c>
      <c r="AX114" s="23">
        <f t="shared" si="60"/>
        <v>8.8353345861625207E-13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2.8</v>
      </c>
      <c r="BD114" s="13">
        <f>IF('Données projet'!$A$88&gt;35,BD113+BC114-BL113,IF(A114&lt;'Données projet'!$A$88,$BA$205^A114,IF(A114='Données projet'!$A$88,'Données projet'!$B$88,BD113+BC114-BL113)))</f>
        <v>211.79999999999987</v>
      </c>
      <c r="BE114" s="14">
        <f>BD114*VLOOKUP('Données projet'!$B$11,Paramètres!$A$1:$I$89,3,0)*VLOOKUP('Données projet'!$B$11,Paramètres!$A$1:$I$89,5,0)</f>
        <v>204.85295999999988</v>
      </c>
      <c r="BF114" s="14">
        <f t="shared" si="91"/>
        <v>50.809208706178609</v>
      </c>
      <c r="BG114" s="22">
        <f t="shared" si="61"/>
        <v>445.27827716326078</v>
      </c>
      <c r="BH114" s="62">
        <f t="shared" si="62"/>
        <v>738.61161049659404</v>
      </c>
      <c r="BI114" s="62">
        <f ca="1">AVERAGE(OFFSET($BH$3,0,0,'Données projet'!$E$11+1,1))-AVERAGE(OFFSET($H$3,0,0,'Données projet'!$E$11+1,1))</f>
        <v>298.18906674058809</v>
      </c>
      <c r="BJ114" s="62">
        <f t="shared" si="92"/>
        <v>154.08406475869634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2.8</v>
      </c>
      <c r="BY114" s="13">
        <f>IF('Données projet'!$A$114&gt;35,BY113+BX114-CG113,IF(A114&lt;'Données projet'!$A$114,$BV$205^A114,IF(A114='Données projet'!$A$114,'Données projet'!$B$114,BY113+BX114-CG113)))</f>
        <v>211.79999999999987</v>
      </c>
      <c r="BZ114" s="14">
        <f>BY114*VLOOKUP('Données projet'!$B$12,Paramètres!$A$1:$I$89,3,0)*VLOOKUP('Données projet'!$B$12,Paramètres!$A$1:$I$89,5,0)</f>
        <v>142.0754399999999</v>
      </c>
      <c r="CA114" s="14">
        <f t="shared" si="93"/>
        <v>36.772051683063594</v>
      </c>
      <c r="CB114" s="22">
        <f t="shared" si="64"/>
        <v>311.49271468133554</v>
      </c>
      <c r="CC114" s="62">
        <f t="shared" si="65"/>
        <v>604.82604801466891</v>
      </c>
      <c r="CD114" s="62">
        <f ca="1">AVERAGE(OFFSET($CC$3,0,0,'Données projet'!$E$12+1,1))-AVERAGE(OFFSET($H$3,0,0,'Données projet'!$E$12+1,1))</f>
        <v>218.24409784339861</v>
      </c>
      <c r="CE114" s="62">
        <f t="shared" si="94"/>
        <v>118.89963447540509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257.80952690600492</v>
      </c>
      <c r="T115" s="62">
        <f t="shared" si="88"/>
        <v>269.95358755269427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0.65761085606252867</v>
      </c>
      <c r="AA115" s="23">
        <f>EXP(-LN(2)/25)*AA114+(1-EXP(-LN(2)/25))/(LN(2)/25)*Calculateur!V115*Calculateur!X115*VLOOKUP('Données projet'!$B$9,Paramètres!$A$1:$I$89,3,0)*0.475*44/12</f>
        <v>0.83529843712793472</v>
      </c>
      <c r="AB115" s="23">
        <f>EXP(-LN(2)/2)*AB114+(1-EXP(-LN(2)/2))/(LN(2)/2)*V115*Y115*VLOOKUP('Données projet'!$B$9,Paramètres!$A$1:$I$89,3,0)*0.475*44/12</f>
        <v>5.9960954542869476E-12</v>
      </c>
      <c r="AC115" s="24">
        <f t="shared" si="57"/>
        <v>1.4929092931964596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3.4106051316484809E-13</v>
      </c>
      <c r="AJ115" s="14">
        <f>AI115*VLOOKUP('Données projet'!$B$10,Paramètres!$A$1:$I$89,3,0)*VLOOKUP('Données projet'!$B$10,Paramètres!$A$1:$I$89,5,0)</f>
        <v>1.9508661353029313E-13</v>
      </c>
      <c r="AK115" s="14">
        <f t="shared" si="89"/>
        <v>2.711421636700695E-12</v>
      </c>
      <c r="AL115" s="22">
        <f t="shared" si="58"/>
        <v>5.0621685358189711E-12</v>
      </c>
      <c r="AM115" s="62">
        <f t="shared" si="59"/>
        <v>293.33333333333837</v>
      </c>
      <c r="AN115" s="62">
        <f ca="1">AVERAGE(OFFSET($AM$3,0,0,'Données projet'!$E$10+1,1))-AVERAGE(OFFSET($H$3,0,0,'Données projet'!$E$10+1,1))</f>
        <v>258.09881752732008</v>
      </c>
      <c r="AO115" s="62">
        <f t="shared" si="90"/>
        <v>214.72899476643335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6.2475249999275578E-13</v>
      </c>
      <c r="AX115" s="23">
        <f t="shared" si="60"/>
        <v>6.2475249999275578E-13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2.8</v>
      </c>
      <c r="BD115" s="13">
        <f>IF('Données projet'!$A$88&gt;35,BD114+BC115-BL114,IF(A115&lt;'Données projet'!$A$88,$BA$205^A115,IF(A115='Données projet'!$A$88,'Données projet'!$B$88,BD114+BC115-BL114)))</f>
        <v>214.59999999999988</v>
      </c>
      <c r="BE115" s="14">
        <f>BD115*VLOOKUP('Données projet'!$B$11,Paramètres!$A$1:$I$89,3,0)*VLOOKUP('Données projet'!$B$11,Paramètres!$A$1:$I$89,5,0)</f>
        <v>207.5611199999999</v>
      </c>
      <c r="BF115" s="14">
        <f t="shared" si="91"/>
        <v>51.40226725537709</v>
      </c>
      <c r="BG115" s="22">
        <f t="shared" si="61"/>
        <v>451.02789946978152</v>
      </c>
      <c r="BH115" s="62">
        <f t="shared" si="62"/>
        <v>744.36123280311483</v>
      </c>
      <c r="BI115" s="62">
        <f ca="1">AVERAGE(OFFSET($BH$3,0,0,'Données projet'!$E$11+1,1))-AVERAGE(OFFSET($H$3,0,0,'Données projet'!$E$11+1,1))</f>
        <v>298.18906674058809</v>
      </c>
      <c r="BJ115" s="62">
        <f t="shared" si="92"/>
        <v>154.08406475869634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2.8</v>
      </c>
      <c r="BY115" s="13">
        <f>IF('Données projet'!$A$114&gt;35,BY114+BX115-CG114,IF(A115&lt;'Données projet'!$A$114,$BV$205^A115,IF(A115='Données projet'!$A$114,'Données projet'!$B$114,BY114+BX115-CG114)))</f>
        <v>214.59999999999988</v>
      </c>
      <c r="BZ115" s="14">
        <f>BY115*VLOOKUP('Données projet'!$B$12,Paramètres!$A$1:$I$89,3,0)*VLOOKUP('Données projet'!$B$12,Paramètres!$A$1:$I$89,5,0)</f>
        <v>143.95367999999993</v>
      </c>
      <c r="CA115" s="14">
        <f t="shared" si="93"/>
        <v>37.20126481543732</v>
      </c>
      <c r="CB115" s="22">
        <f t="shared" si="64"/>
        <v>315.51152888688654</v>
      </c>
      <c r="CC115" s="62">
        <f t="shared" si="65"/>
        <v>608.84486222021985</v>
      </c>
      <c r="CD115" s="62">
        <f ca="1">AVERAGE(OFFSET($CC$3,0,0,'Données projet'!$E$12+1,1))-AVERAGE(OFFSET($H$3,0,0,'Données projet'!$E$12+1,1))</f>
        <v>218.24409784339861</v>
      </c>
      <c r="CE115" s="62">
        <f t="shared" si="94"/>
        <v>118.89963447540509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257.80952690600492</v>
      </c>
      <c r="T116" s="62">
        <f t="shared" si="88"/>
        <v>269.95358755269427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0.64471550827815904</v>
      </c>
      <c r="AA116" s="23">
        <f>EXP(-LN(2)/25)*AA115+(1-EXP(-LN(2)/25))/(LN(2)/25)*Calculateur!V116*Calculateur!X116*VLOOKUP('Données projet'!$B$9,Paramètres!$A$1:$I$89,3,0)*0.475*44/12</f>
        <v>0.81245715743823566</v>
      </c>
      <c r="AB116" s="23">
        <f>EXP(-LN(2)/2)*AB115+(1-EXP(-LN(2)/2))/(LN(2)/2)*V116*Y116*VLOOKUP('Données projet'!$B$9,Paramètres!$A$1:$I$89,3,0)*0.475*44/12</f>
        <v>4.2398797563681329E-12</v>
      </c>
      <c r="AC116" s="24">
        <f t="shared" si="57"/>
        <v>1.4571726657206348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3.4106051316484809E-13</v>
      </c>
      <c r="AJ116" s="14">
        <f>AI116*VLOOKUP('Données projet'!$B$10,Paramètres!$A$1:$I$89,3,0)*VLOOKUP('Données projet'!$B$10,Paramètres!$A$1:$I$89,5,0)</f>
        <v>1.9508661353029313E-13</v>
      </c>
      <c r="AK116" s="14">
        <f t="shared" si="89"/>
        <v>2.711421636700695E-12</v>
      </c>
      <c r="AL116" s="22">
        <f t="shared" si="58"/>
        <v>5.0621685358189711E-12</v>
      </c>
      <c r="AM116" s="62">
        <f t="shared" si="59"/>
        <v>293.33333333333837</v>
      </c>
      <c r="AN116" s="62">
        <f ca="1">AVERAGE(OFFSET($AM$3,0,0,'Données projet'!$E$10+1,1))-AVERAGE(OFFSET($H$3,0,0,'Données projet'!$E$10+1,1))</f>
        <v>258.09881752732008</v>
      </c>
      <c r="AO116" s="62">
        <f t="shared" si="90"/>
        <v>214.72899476643335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4.4176672930812614E-13</v>
      </c>
      <c r="AX116" s="23">
        <f t="shared" si="60"/>
        <v>4.4176672930812614E-13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2.8</v>
      </c>
      <c r="BD116" s="13">
        <f>IF('Données projet'!$A$88&gt;35,BD115+BC116-BL115,IF(A116&lt;'Données projet'!$A$88,$BA$205^A116,IF(A116='Données projet'!$A$88,'Données projet'!$B$88,BD115+BC116-BL115)))</f>
        <v>217.39999999999989</v>
      </c>
      <c r="BE116" s="14">
        <f>BD116*VLOOKUP('Données projet'!$B$11,Paramètres!$A$1:$I$89,3,0)*VLOOKUP('Données projet'!$B$11,Paramètres!$A$1:$I$89,5,0)</f>
        <v>210.2692799999999</v>
      </c>
      <c r="BF116" s="14">
        <f t="shared" si="91"/>
        <v>51.994425763876635</v>
      </c>
      <c r="BG116" s="22">
        <f t="shared" si="61"/>
        <v>456.77595420541826</v>
      </c>
      <c r="BH116" s="62">
        <f t="shared" si="62"/>
        <v>750.10928753875157</v>
      </c>
      <c r="BI116" s="62">
        <f ca="1">AVERAGE(OFFSET($BH$3,0,0,'Données projet'!$E$11+1,1))-AVERAGE(OFFSET($H$3,0,0,'Données projet'!$E$11+1,1))</f>
        <v>298.18906674058809</v>
      </c>
      <c r="BJ116" s="62">
        <f t="shared" si="92"/>
        <v>154.08406475869634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2.8</v>
      </c>
      <c r="BY116" s="13">
        <f>IF('Données projet'!$A$114&gt;35,BY115+BX116-CG115,IF(A116&lt;'Données projet'!$A$114,$BV$205^A116,IF(A116='Données projet'!$A$114,'Données projet'!$B$114,BY115+BX116-CG115)))</f>
        <v>217.39999999999989</v>
      </c>
      <c r="BZ116" s="14">
        <f>BY116*VLOOKUP('Données projet'!$B$12,Paramètres!$A$1:$I$89,3,0)*VLOOKUP('Données projet'!$B$12,Paramètres!$A$1:$I$89,5,0)</f>
        <v>145.83191999999994</v>
      </c>
      <c r="CA116" s="14">
        <f t="shared" si="93"/>
        <v>37.629826563073067</v>
      </c>
      <c r="CB116" s="22">
        <f t="shared" si="64"/>
        <v>319.52920859735212</v>
      </c>
      <c r="CC116" s="62">
        <f t="shared" si="65"/>
        <v>612.86254193068544</v>
      </c>
      <c r="CD116" s="62">
        <f ca="1">AVERAGE(OFFSET($CC$3,0,0,'Données projet'!$E$12+1,1))-AVERAGE(OFFSET($H$3,0,0,'Données projet'!$E$12+1,1))</f>
        <v>218.24409784339861</v>
      </c>
      <c r="CE116" s="62">
        <f t="shared" si="94"/>
        <v>118.89963447540509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257.80952690600492</v>
      </c>
      <c r="T117" s="62">
        <f t="shared" si="88"/>
        <v>269.95358755269427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0.63207303039845542</v>
      </c>
      <c r="AA117" s="23">
        <f>EXP(-LN(2)/25)*AA116+(1-EXP(-LN(2)/25))/(LN(2)/25)*Calculateur!V117*Calculateur!X117*VLOOKUP('Données projet'!$B$9,Paramètres!$A$1:$I$89,3,0)*0.475*44/12</f>
        <v>0.79024047374282214</v>
      </c>
      <c r="AB117" s="23">
        <f>EXP(-LN(2)/2)*AB116+(1-EXP(-LN(2)/2))/(LN(2)/2)*V117*Y117*VLOOKUP('Données projet'!$B$9,Paramètres!$A$1:$I$89,3,0)*0.475*44/12</f>
        <v>2.9980477271434738E-12</v>
      </c>
      <c r="AC117" s="24">
        <f t="shared" si="57"/>
        <v>1.4223135041442756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3.4106051316484809E-13</v>
      </c>
      <c r="AJ117" s="14">
        <f>AI117*VLOOKUP('Données projet'!$B$10,Paramètres!$A$1:$I$89,3,0)*VLOOKUP('Données projet'!$B$10,Paramètres!$A$1:$I$89,5,0)</f>
        <v>1.9508661353029313E-13</v>
      </c>
      <c r="AK117" s="14">
        <f t="shared" si="89"/>
        <v>2.711421636700695E-12</v>
      </c>
      <c r="AL117" s="22">
        <f t="shared" si="58"/>
        <v>5.0621685358189711E-12</v>
      </c>
      <c r="AM117" s="62">
        <f t="shared" si="59"/>
        <v>293.33333333333837</v>
      </c>
      <c r="AN117" s="62">
        <f ca="1">AVERAGE(OFFSET($AM$3,0,0,'Données projet'!$E$10+1,1))-AVERAGE(OFFSET($H$3,0,0,'Données projet'!$E$10+1,1))</f>
        <v>258.09881752732008</v>
      </c>
      <c r="AO117" s="62">
        <f t="shared" si="90"/>
        <v>214.72899476643335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3.1237624999637794E-13</v>
      </c>
      <c r="AX117" s="23">
        <f t="shared" si="60"/>
        <v>3.1237624999637794E-13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2.8</v>
      </c>
      <c r="BD117" s="13">
        <f>IF('Données projet'!$A$88&gt;35,BD116+BC117-BL116,IF(A117&lt;'Données projet'!$A$88,$BA$205^A117,IF(A117='Données projet'!$A$88,'Données projet'!$B$88,BD116+BC117-BL116)))</f>
        <v>220.1999999999999</v>
      </c>
      <c r="BE117" s="14">
        <f>BD117*VLOOKUP('Données projet'!$B$11,Paramètres!$A$1:$I$89,3,0)*VLOOKUP('Données projet'!$B$11,Paramètres!$A$1:$I$89,5,0)</f>
        <v>212.97743999999992</v>
      </c>
      <c r="BF117" s="14">
        <f t="shared" si="91"/>
        <v>52.585697164076983</v>
      </c>
      <c r="BG117" s="22">
        <f t="shared" si="61"/>
        <v>462.52246389410061</v>
      </c>
      <c r="BH117" s="62">
        <f t="shared" si="62"/>
        <v>755.85579722743387</v>
      </c>
      <c r="BI117" s="62">
        <f ca="1">AVERAGE(OFFSET($BH$3,0,0,'Données projet'!$E$11+1,1))-AVERAGE(OFFSET($H$3,0,0,'Données projet'!$E$11+1,1))</f>
        <v>298.18906674058809</v>
      </c>
      <c r="BJ117" s="62">
        <f t="shared" si="92"/>
        <v>154.08406475869634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2.8</v>
      </c>
      <c r="BY117" s="13">
        <f>IF('Données projet'!$A$114&gt;35,BY116+BX117-CG116,IF(A117&lt;'Données projet'!$A$114,$BV$205^A117,IF(A117='Données projet'!$A$114,'Données projet'!$B$114,BY116+BX117-CG116)))</f>
        <v>220.1999999999999</v>
      </c>
      <c r="BZ117" s="14">
        <f>BY117*VLOOKUP('Données projet'!$B$12,Paramètres!$A$1:$I$89,3,0)*VLOOKUP('Données projet'!$B$12,Paramètres!$A$1:$I$89,5,0)</f>
        <v>147.71015999999992</v>
      </c>
      <c r="CA117" s="14">
        <f t="shared" si="93"/>
        <v>38.057746285511904</v>
      </c>
      <c r="CB117" s="22">
        <f t="shared" si="64"/>
        <v>323.54577011393309</v>
      </c>
      <c r="CC117" s="62">
        <f t="shared" si="65"/>
        <v>616.8791034472664</v>
      </c>
      <c r="CD117" s="62">
        <f ca="1">AVERAGE(OFFSET($CC$3,0,0,'Données projet'!$E$12+1,1))-AVERAGE(OFFSET($H$3,0,0,'Données projet'!$E$12+1,1))</f>
        <v>218.24409784339861</v>
      </c>
      <c r="CE117" s="62">
        <f t="shared" si="94"/>
        <v>118.89963447540509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257.80952690600492</v>
      </c>
      <c r="T118" s="62">
        <f t="shared" si="88"/>
        <v>269.95358755269427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0.61967846379882263</v>
      </c>
      <c r="AA118" s="23">
        <f>EXP(-LN(2)/25)*AA117+(1-EXP(-LN(2)/25))/(LN(2)/25)*Calculateur!V118*Calculateur!X118*VLOOKUP('Données projet'!$B$9,Paramètres!$A$1:$I$89,3,0)*0.475*44/12</f>
        <v>0.76863130643138422</v>
      </c>
      <c r="AB118" s="23">
        <f>EXP(-LN(2)/2)*AB117+(1-EXP(-LN(2)/2))/(LN(2)/2)*V118*Y118*VLOOKUP('Données projet'!$B$9,Paramètres!$A$1:$I$89,3,0)*0.475*44/12</f>
        <v>2.1199398781840665E-12</v>
      </c>
      <c r="AC118" s="24">
        <f t="shared" si="57"/>
        <v>1.3883097702323266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3.4106051316484809E-13</v>
      </c>
      <c r="AJ118" s="14">
        <f>AI118*VLOOKUP('Données projet'!$B$10,Paramètres!$A$1:$I$89,3,0)*VLOOKUP('Données projet'!$B$10,Paramètres!$A$1:$I$89,5,0)</f>
        <v>1.9508661353029313E-13</v>
      </c>
      <c r="AK118" s="14">
        <f t="shared" si="89"/>
        <v>2.711421636700695E-12</v>
      </c>
      <c r="AL118" s="22">
        <f t="shared" si="58"/>
        <v>5.0621685358189711E-12</v>
      </c>
      <c r="AM118" s="62">
        <f t="shared" si="59"/>
        <v>293.33333333333837</v>
      </c>
      <c r="AN118" s="62">
        <f ca="1">AVERAGE(OFFSET($AM$3,0,0,'Données projet'!$E$10+1,1))-AVERAGE(OFFSET($H$3,0,0,'Données projet'!$E$10+1,1))</f>
        <v>258.09881752732008</v>
      </c>
      <c r="AO118" s="62">
        <f t="shared" si="90"/>
        <v>214.72899476643335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2.2088336465406309E-13</v>
      </c>
      <c r="AX118" s="23">
        <f t="shared" si="60"/>
        <v>2.2088336465406309E-13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>
        <f>VLOOKUP(A118,'Données projet'!$A$87:$I$107,2,0)</f>
        <v>223</v>
      </c>
      <c r="BB118" s="13">
        <f>VLOOKUP(A118,'Données projet'!$A$87:$I$107,9,0)</f>
        <v>2.8</v>
      </c>
      <c r="BC118" s="13">
        <f t="array" ref="BC118">INDEX(BB:BB,MIN(IF(ISNUMBER(BB118:BB314),ROW(BB118:BB314),"")))</f>
        <v>2.8</v>
      </c>
      <c r="BD118" s="13">
        <f>IF('Données projet'!$A$88&gt;35,BD117+BC118-BL117,IF(A118&lt;'Données projet'!$A$88,$BA$205^A118,IF(A118='Données projet'!$A$88,'Données projet'!$B$88,BD117+BC118-BL117)))</f>
        <v>222.99999999999991</v>
      </c>
      <c r="BE118" s="14">
        <f>BD118*VLOOKUP('Données projet'!$B$11,Paramètres!$A$1:$I$89,3,0)*VLOOKUP('Données projet'!$B$11,Paramètres!$A$1:$I$89,5,0)</f>
        <v>215.68559999999991</v>
      </c>
      <c r="BF118" s="14">
        <f t="shared" si="91"/>
        <v>53.176094040576679</v>
      </c>
      <c r="BG118" s="22">
        <f t="shared" si="61"/>
        <v>468.26745045400418</v>
      </c>
      <c r="BH118" s="62">
        <f t="shared" si="62"/>
        <v>761.60078378733749</v>
      </c>
      <c r="BI118" s="62">
        <f ca="1">AVERAGE(OFFSET($BH$3,0,0,'Données projet'!$E$11+1,1))-AVERAGE(OFFSET($H$3,0,0,'Données projet'!$E$11+1,1))</f>
        <v>298.18906674058809</v>
      </c>
      <c r="BJ118" s="62">
        <f t="shared" si="92"/>
        <v>154.08406475869634</v>
      </c>
      <c r="BK118" s="16">
        <f>IF(ISNA(VLOOKUP(A118,'Données projet'!$A$87:$I$107,3,0)),0,VLOOKUP(A118,'Données projet'!$A$87:$I$107,3,0))</f>
        <v>19</v>
      </c>
      <c r="BL118" s="16">
        <f>IF(ISNA(VLOOKUP(A118,'Données projet'!$A$87:$I$107,4,0)),0,VLOOKUP(A118,'Données projet'!$A$87:$I$107,4,0))</f>
        <v>13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>
        <f>VLOOKUP(A118,'Données projet'!$A$113:$I$133,2,0)</f>
        <v>223</v>
      </c>
      <c r="BW118" s="13">
        <f>VLOOKUP(A118,'Données projet'!$A$113:$I$133,9,0)</f>
        <v>2.8</v>
      </c>
      <c r="BX118" s="13">
        <f t="array" ref="BX118">INDEX(BW:BW,MIN(IF(ISNUMBER(BW118:BW314),ROW(BW118:BW314),"")))</f>
        <v>2.8</v>
      </c>
      <c r="BY118" s="13">
        <f>IF('Données projet'!$A$114&gt;35,BY117+BX118-CG117,IF(A118&lt;'Données projet'!$A$114,$BV$205^A118,IF(A118='Données projet'!$A$114,'Données projet'!$B$114,BY117+BX118-CG117)))</f>
        <v>222.99999999999991</v>
      </c>
      <c r="BZ118" s="14">
        <f>BY118*VLOOKUP('Données projet'!$B$12,Paramètres!$A$1:$I$89,3,0)*VLOOKUP('Données projet'!$B$12,Paramètres!$A$1:$I$89,5,0)</f>
        <v>149.58839999999995</v>
      </c>
      <c r="CA118" s="14">
        <f t="shared" si="93"/>
        <v>38.485033090581311</v>
      </c>
      <c r="CB118" s="22">
        <f t="shared" si="64"/>
        <v>327.56122929942904</v>
      </c>
      <c r="CC118" s="62">
        <f t="shared" si="65"/>
        <v>620.89456263276236</v>
      </c>
      <c r="CD118" s="62">
        <f ca="1">AVERAGE(OFFSET($CC$3,0,0,'Données projet'!$E$12+1,1))-AVERAGE(OFFSET($H$3,0,0,'Données projet'!$E$12+1,1))</f>
        <v>218.24409784339861</v>
      </c>
      <c r="CE118" s="62">
        <f t="shared" si="94"/>
        <v>118.89963447540509</v>
      </c>
      <c r="CF118" s="16">
        <f>IF(ISNA(VLOOKUP(A118,'Données projet'!$A$113:$I$133,3,0)),0,VLOOKUP(A118,'Données projet'!$A$113:$I$133,3,0))</f>
        <v>19</v>
      </c>
      <c r="CG118" s="16">
        <f>IF(ISNA(VLOOKUP(A118,'Données projet'!$A$113:$I$133,4,0)),0,VLOOKUP(A118,'Données projet'!$A$113:$I$133,4,0))</f>
        <v>13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257.80952690600492</v>
      </c>
      <c r="T119" s="62">
        <f t="shared" si="88"/>
        <v>269.95358755269427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0.60752694709026955</v>
      </c>
      <c r="AA119" s="23">
        <f>EXP(-LN(2)/25)*AA118+(1-EXP(-LN(2)/25))/(LN(2)/25)*Calculateur!V119*Calculateur!X119*VLOOKUP('Données projet'!$B$9,Paramètres!$A$1:$I$89,3,0)*0.475*44/12</f>
        <v>0.74761304293645436</v>
      </c>
      <c r="AB119" s="23">
        <f>EXP(-LN(2)/2)*AB118+(1-EXP(-LN(2)/2))/(LN(2)/2)*V119*Y119*VLOOKUP('Données projet'!$B$9,Paramètres!$A$1:$I$89,3,0)*0.475*44/12</f>
        <v>1.4990238635717369E-12</v>
      </c>
      <c r="AC119" s="24">
        <f t="shared" si="57"/>
        <v>1.3551399900282231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3.4106051316484809E-13</v>
      </c>
      <c r="AJ119" s="14">
        <f>AI119*VLOOKUP('Données projet'!$B$10,Paramètres!$A$1:$I$89,3,0)*VLOOKUP('Données projet'!$B$10,Paramètres!$A$1:$I$89,5,0)</f>
        <v>1.9508661353029313E-13</v>
      </c>
      <c r="AK119" s="14">
        <f t="shared" si="89"/>
        <v>2.711421636700695E-12</v>
      </c>
      <c r="AL119" s="22">
        <f t="shared" si="58"/>
        <v>5.0621685358189711E-12</v>
      </c>
      <c r="AM119" s="62">
        <f t="shared" si="59"/>
        <v>293.33333333333837</v>
      </c>
      <c r="AN119" s="62">
        <f ca="1">AVERAGE(OFFSET($AM$3,0,0,'Données projet'!$E$10+1,1))-AVERAGE(OFFSET($H$3,0,0,'Données projet'!$E$10+1,1))</f>
        <v>258.09881752732008</v>
      </c>
      <c r="AO119" s="62">
        <f t="shared" si="90"/>
        <v>214.72899476643335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1.5618812499818899E-13</v>
      </c>
      <c r="AX119" s="23">
        <f t="shared" si="60"/>
        <v>1.5618812499818899E-13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2.4</v>
      </c>
      <c r="BD119" s="13">
        <f>IF('Données projet'!$A$88&gt;35,BD118+BC119-BL118,IF(A119&lt;'Données projet'!$A$88,$BA$205^A119,IF(A119='Données projet'!$A$88,'Données projet'!$B$88,BD118+BC119-BL118)))</f>
        <v>212.39999999999992</v>
      </c>
      <c r="BE119" s="14">
        <f>BD119*VLOOKUP('Données projet'!$B$11,Paramètres!$A$1:$I$89,3,0)*VLOOKUP('Données projet'!$B$11,Paramètres!$A$1:$I$89,5,0)</f>
        <v>205.43327999999994</v>
      </c>
      <c r="BF119" s="14">
        <f t="shared" si="91"/>
        <v>50.93636911028532</v>
      </c>
      <c r="BG119" s="22">
        <f t="shared" si="61"/>
        <v>446.51047220041346</v>
      </c>
      <c r="BH119" s="62">
        <f t="shared" si="62"/>
        <v>739.84380553374672</v>
      </c>
      <c r="BI119" s="62">
        <f ca="1">AVERAGE(OFFSET($BH$3,0,0,'Données projet'!$E$11+1,1))-AVERAGE(OFFSET($H$3,0,0,'Données projet'!$E$11+1,1))</f>
        <v>298.18906674058809</v>
      </c>
      <c r="BJ119" s="62">
        <f t="shared" si="92"/>
        <v>154.08406475869634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2.4</v>
      </c>
      <c r="BY119" s="13">
        <f>IF('Données projet'!$A$114&gt;35,BY118+BX119-CG118,IF(A119&lt;'Données projet'!$A$114,$BV$205^A119,IF(A119='Données projet'!$A$114,'Données projet'!$B$114,BY118+BX119-CG118)))</f>
        <v>212.39999999999992</v>
      </c>
      <c r="BZ119" s="14">
        <f>BY119*VLOOKUP('Données projet'!$B$12,Paramètres!$A$1:$I$89,3,0)*VLOOKUP('Données projet'!$B$12,Paramètres!$A$1:$I$89,5,0)</f>
        <v>142.47791999999995</v>
      </c>
      <c r="CA119" s="14">
        <f t="shared" si="93"/>
        <v>36.864081239730965</v>
      </c>
      <c r="CB119" s="22">
        <f t="shared" si="64"/>
        <v>312.35398549253131</v>
      </c>
      <c r="CC119" s="62">
        <f t="shared" si="65"/>
        <v>605.68731882586462</v>
      </c>
      <c r="CD119" s="62">
        <f ca="1">AVERAGE(OFFSET($CC$3,0,0,'Données projet'!$E$12+1,1))-AVERAGE(OFFSET($H$3,0,0,'Données projet'!$E$12+1,1))</f>
        <v>218.24409784339861</v>
      </c>
      <c r="CE119" s="62">
        <f t="shared" si="94"/>
        <v>118.89963447540509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257.80952690600492</v>
      </c>
      <c r="T120" s="62">
        <f t="shared" si="88"/>
        <v>269.95358755269427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0.59561371421267784</v>
      </c>
      <c r="AA120" s="23">
        <f>EXP(-LN(2)/25)*AA119+(1-EXP(-LN(2)/25))/(LN(2)/25)*Calculateur!V120*Calculateur!X120*VLOOKUP('Données projet'!$B$9,Paramètres!$A$1:$I$89,3,0)*0.475*44/12</f>
        <v>0.72716952496209575</v>
      </c>
      <c r="AB120" s="23">
        <f>EXP(-LN(2)/2)*AB119+(1-EXP(-LN(2)/2))/(LN(2)/2)*V120*Y120*VLOOKUP('Données projet'!$B$9,Paramètres!$A$1:$I$89,3,0)*0.475*44/12</f>
        <v>1.0599699390920332E-12</v>
      </c>
      <c r="AC120" s="24">
        <f t="shared" si="57"/>
        <v>1.3227832391758336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3.4106051316484809E-13</v>
      </c>
      <c r="AJ120" s="14">
        <f>AI120*VLOOKUP('Données projet'!$B$10,Paramètres!$A$1:$I$89,3,0)*VLOOKUP('Données projet'!$B$10,Paramètres!$A$1:$I$89,5,0)</f>
        <v>1.9508661353029313E-13</v>
      </c>
      <c r="AK120" s="14">
        <f t="shared" si="89"/>
        <v>2.711421636700695E-12</v>
      </c>
      <c r="AL120" s="22">
        <f t="shared" si="58"/>
        <v>5.0621685358189711E-12</v>
      </c>
      <c r="AM120" s="62">
        <f t="shared" si="59"/>
        <v>293.33333333333837</v>
      </c>
      <c r="AN120" s="62">
        <f ca="1">AVERAGE(OFFSET($AM$3,0,0,'Données projet'!$E$10+1,1))-AVERAGE(OFFSET($H$3,0,0,'Données projet'!$E$10+1,1))</f>
        <v>258.09881752732008</v>
      </c>
      <c r="AO120" s="62">
        <f t="shared" si="90"/>
        <v>214.72899476643335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1.1044168232703157E-13</v>
      </c>
      <c r="AX120" s="23">
        <f t="shared" si="60"/>
        <v>1.1044168232703157E-13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2.4</v>
      </c>
      <c r="BD120" s="13">
        <f>IF('Données projet'!$A$88&gt;35,BD119+BC120-BL119,IF(A120&lt;'Données projet'!$A$88,$BA$205^A120,IF(A120='Données projet'!$A$88,'Données projet'!$B$88,BD119+BC120-BL119)))</f>
        <v>214.79999999999993</v>
      </c>
      <c r="BE120" s="14">
        <f>BD120*VLOOKUP('Données projet'!$B$11,Paramètres!$A$1:$I$89,3,0)*VLOOKUP('Données projet'!$B$11,Paramètres!$A$1:$I$89,5,0)</f>
        <v>207.75455999999994</v>
      </c>
      <c r="BF120" s="14">
        <f t="shared" si="91"/>
        <v>51.444593984782131</v>
      </c>
      <c r="BG120" s="22">
        <f t="shared" si="61"/>
        <v>451.43852652349545</v>
      </c>
      <c r="BH120" s="62">
        <f t="shared" si="62"/>
        <v>744.77185985682877</v>
      </c>
      <c r="BI120" s="62">
        <f ca="1">AVERAGE(OFFSET($BH$3,0,0,'Données projet'!$E$11+1,1))-AVERAGE(OFFSET($H$3,0,0,'Données projet'!$E$11+1,1))</f>
        <v>298.18906674058809</v>
      </c>
      <c r="BJ120" s="62">
        <f t="shared" si="92"/>
        <v>154.08406475869634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2.4</v>
      </c>
      <c r="BY120" s="13">
        <f>IF('Données projet'!$A$114&gt;35,BY119+BX120-CG119,IF(A120&lt;'Données projet'!$A$114,$BV$205^A120,IF(A120='Données projet'!$A$114,'Données projet'!$B$114,BY119+BX120-CG119)))</f>
        <v>214.79999999999993</v>
      </c>
      <c r="BZ120" s="14">
        <f>BY120*VLOOKUP('Données projet'!$B$12,Paramètres!$A$1:$I$89,3,0)*VLOOKUP('Données projet'!$B$12,Paramètres!$A$1:$I$89,5,0)</f>
        <v>144.08783999999994</v>
      </c>
      <c r="CA120" s="14">
        <f t="shared" si="93"/>
        <v>37.231897858558654</v>
      </c>
      <c r="CB120" s="22">
        <f t="shared" si="64"/>
        <v>315.79854343698958</v>
      </c>
      <c r="CC120" s="62">
        <f t="shared" si="65"/>
        <v>609.13187677032283</v>
      </c>
      <c r="CD120" s="62">
        <f ca="1">AVERAGE(OFFSET($CC$3,0,0,'Données projet'!$E$12+1,1))-AVERAGE(OFFSET($H$3,0,0,'Données projet'!$E$12+1,1))</f>
        <v>218.24409784339861</v>
      </c>
      <c r="CE120" s="62">
        <f t="shared" si="94"/>
        <v>118.89963447540509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257.80952690600492</v>
      </c>
      <c r="T121" s="62">
        <f t="shared" si="88"/>
        <v>269.95358755269427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0.58393409256546114</v>
      </c>
      <c r="AA121" s="23">
        <f>EXP(-LN(2)/25)*AA120+(1-EXP(-LN(2)/25))/(LN(2)/25)*Calculateur!V121*Calculateur!X121*VLOOKUP('Données projet'!$B$9,Paramètres!$A$1:$I$89,3,0)*0.475*44/12</f>
        <v>0.70728503606182391</v>
      </c>
      <c r="AB121" s="23">
        <f>EXP(-LN(2)/2)*AB120+(1-EXP(-LN(2)/2))/(LN(2)/2)*V121*Y121*VLOOKUP('Données projet'!$B$9,Paramètres!$A$1:$I$89,3,0)*0.475*44/12</f>
        <v>7.4951193178586845E-13</v>
      </c>
      <c r="AC121" s="24">
        <f t="shared" si="57"/>
        <v>1.2912191286280348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3.4106051316484809E-13</v>
      </c>
      <c r="AJ121" s="14">
        <f>AI121*VLOOKUP('Données projet'!$B$10,Paramètres!$A$1:$I$89,3,0)*VLOOKUP('Données projet'!$B$10,Paramètres!$A$1:$I$89,5,0)</f>
        <v>1.9508661353029313E-13</v>
      </c>
      <c r="AK121" s="14">
        <f t="shared" si="89"/>
        <v>2.711421636700695E-12</v>
      </c>
      <c r="AL121" s="22">
        <f t="shared" si="58"/>
        <v>5.0621685358189711E-12</v>
      </c>
      <c r="AM121" s="62">
        <f t="shared" si="59"/>
        <v>293.33333333333837</v>
      </c>
      <c r="AN121" s="62">
        <f ca="1">AVERAGE(OFFSET($AM$3,0,0,'Données projet'!$E$10+1,1))-AVERAGE(OFFSET($H$3,0,0,'Données projet'!$E$10+1,1))</f>
        <v>258.09881752732008</v>
      </c>
      <c r="AO121" s="62">
        <f t="shared" si="90"/>
        <v>214.72899476643335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7.809406249909451E-14</v>
      </c>
      <c r="AX121" s="23">
        <f t="shared" si="60"/>
        <v>7.809406249909451E-14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2.4</v>
      </c>
      <c r="BD121" s="13">
        <f>IF('Données projet'!$A$88&gt;35,BD120+BC121-BL120,IF(A121&lt;'Données projet'!$A$88,$BA$205^A121,IF(A121='Données projet'!$A$88,'Données projet'!$B$88,BD120+BC121-BL120)))</f>
        <v>217.19999999999993</v>
      </c>
      <c r="BE121" s="14">
        <f>BD121*VLOOKUP('Données projet'!$B$11,Paramètres!$A$1:$I$89,3,0)*VLOOKUP('Données projet'!$B$11,Paramètres!$A$1:$I$89,5,0)</f>
        <v>210.07583999999994</v>
      </c>
      <c r="BF121" s="14">
        <f t="shared" si="91"/>
        <v>51.952158298115599</v>
      </c>
      <c r="BG121" s="22">
        <f t="shared" si="61"/>
        <v>456.3654303692179</v>
      </c>
      <c r="BH121" s="62">
        <f t="shared" si="62"/>
        <v>749.69876370255122</v>
      </c>
      <c r="BI121" s="62">
        <f ca="1">AVERAGE(OFFSET($BH$3,0,0,'Données projet'!$E$11+1,1))-AVERAGE(OFFSET($H$3,0,0,'Données projet'!$E$11+1,1))</f>
        <v>298.18906674058809</v>
      </c>
      <c r="BJ121" s="62">
        <f t="shared" si="92"/>
        <v>154.08406475869634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2.4</v>
      </c>
      <c r="BY121" s="13">
        <f>IF('Données projet'!$A$114&gt;35,BY120+BX121-CG120,IF(A121&lt;'Données projet'!$A$114,$BV$205^A121,IF(A121='Données projet'!$A$114,'Données projet'!$B$114,BY120+BX121-CG120)))</f>
        <v>217.19999999999993</v>
      </c>
      <c r="BZ121" s="14">
        <f>BY121*VLOOKUP('Données projet'!$B$12,Paramètres!$A$1:$I$89,3,0)*VLOOKUP('Données projet'!$B$12,Paramètres!$A$1:$I$89,5,0)</f>
        <v>145.69775999999996</v>
      </c>
      <c r="CA121" s="14">
        <f t="shared" si="93"/>
        <v>37.599236410715747</v>
      </c>
      <c r="CB121" s="22">
        <f t="shared" si="64"/>
        <v>319.24226874866315</v>
      </c>
      <c r="CC121" s="62">
        <f t="shared" si="65"/>
        <v>612.57560208199652</v>
      </c>
      <c r="CD121" s="62">
        <f ca="1">AVERAGE(OFFSET($CC$3,0,0,'Données projet'!$E$12+1,1))-AVERAGE(OFFSET($H$3,0,0,'Données projet'!$E$12+1,1))</f>
        <v>218.24409784339861</v>
      </c>
      <c r="CE121" s="62">
        <f t="shared" si="94"/>
        <v>118.89963447540509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257.80952690600492</v>
      </c>
      <c r="T122" s="62">
        <f t="shared" si="88"/>
        <v>269.95358755269427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0.57248350117488056</v>
      </c>
      <c r="AA122" s="23">
        <f>EXP(-LN(2)/25)*AA121+(1-EXP(-LN(2)/25))/(LN(2)/25)*Calculateur!V122*Calculateur!X122*VLOOKUP('Données projet'!$B$9,Paramètres!$A$1:$I$89,3,0)*0.475*44/12</f>
        <v>0.68794428955620979</v>
      </c>
      <c r="AB122" s="23">
        <f>EXP(-LN(2)/2)*AB121+(1-EXP(-LN(2)/2))/(LN(2)/2)*V122*Y122*VLOOKUP('Données projet'!$B$9,Paramètres!$A$1:$I$89,3,0)*0.475*44/12</f>
        <v>5.2998496954601661E-13</v>
      </c>
      <c r="AC122" s="24">
        <f t="shared" si="57"/>
        <v>1.2604277907316204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3.4106051316484809E-13</v>
      </c>
      <c r="AJ122" s="14">
        <f>AI122*VLOOKUP('Données projet'!$B$10,Paramètres!$A$1:$I$89,3,0)*VLOOKUP('Données projet'!$B$10,Paramètres!$A$1:$I$89,5,0)</f>
        <v>1.9508661353029313E-13</v>
      </c>
      <c r="AK122" s="14">
        <f t="shared" si="89"/>
        <v>2.711421636700695E-12</v>
      </c>
      <c r="AL122" s="22">
        <f t="shared" si="58"/>
        <v>5.0621685358189711E-12</v>
      </c>
      <c r="AM122" s="62">
        <f t="shared" si="59"/>
        <v>293.33333333333837</v>
      </c>
      <c r="AN122" s="62">
        <f ca="1">AVERAGE(OFFSET($AM$3,0,0,'Données projet'!$E$10+1,1))-AVERAGE(OFFSET($H$3,0,0,'Données projet'!$E$10+1,1))</f>
        <v>258.09881752732008</v>
      </c>
      <c r="AO122" s="62">
        <f t="shared" si="90"/>
        <v>214.72899476643335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5.5220841163515792E-14</v>
      </c>
      <c r="AX122" s="23">
        <f t="shared" si="60"/>
        <v>5.5220841163515792E-14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2.4</v>
      </c>
      <c r="BD122" s="13">
        <f>IF('Données projet'!$A$88&gt;35,BD121+BC122-BL121,IF(A122&lt;'Données projet'!$A$88,$BA$205^A122,IF(A122='Données projet'!$A$88,'Données projet'!$B$88,BD121+BC122-BL121)))</f>
        <v>219.59999999999994</v>
      </c>
      <c r="BE122" s="14">
        <f>BD122*VLOOKUP('Données projet'!$B$11,Paramètres!$A$1:$I$89,3,0)*VLOOKUP('Données projet'!$B$11,Paramètres!$A$1:$I$89,5,0)</f>
        <v>212.39711999999994</v>
      </c>
      <c r="BF122" s="14">
        <f t="shared" si="91"/>
        <v>52.459070194004759</v>
      </c>
      <c r="BG122" s="22">
        <f t="shared" si="61"/>
        <v>461.29119792122486</v>
      </c>
      <c r="BH122" s="62">
        <f t="shared" si="62"/>
        <v>754.62453125455818</v>
      </c>
      <c r="BI122" s="62">
        <f ca="1">AVERAGE(OFFSET($BH$3,0,0,'Données projet'!$E$11+1,1))-AVERAGE(OFFSET($H$3,0,0,'Données projet'!$E$11+1,1))</f>
        <v>298.18906674058809</v>
      </c>
      <c r="BJ122" s="62">
        <f t="shared" si="92"/>
        <v>154.08406475869634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2.4</v>
      </c>
      <c r="BY122" s="13">
        <f>IF('Données projet'!$A$114&gt;35,BY121+BX122-CG121,IF(A122&lt;'Données projet'!$A$114,$BV$205^A122,IF(A122='Données projet'!$A$114,'Données projet'!$B$114,BY121+BX122-CG121)))</f>
        <v>219.59999999999994</v>
      </c>
      <c r="BZ122" s="14">
        <f>BY122*VLOOKUP('Données projet'!$B$12,Paramètres!$A$1:$I$89,3,0)*VLOOKUP('Données projet'!$B$12,Paramètres!$A$1:$I$89,5,0)</f>
        <v>147.30767999999995</v>
      </c>
      <c r="CA122" s="14">
        <f t="shared" si="93"/>
        <v>37.966102790040587</v>
      </c>
      <c r="CB122" s="22">
        <f t="shared" si="64"/>
        <v>322.68517169265391</v>
      </c>
      <c r="CC122" s="62">
        <f t="shared" si="65"/>
        <v>616.01850502598722</v>
      </c>
      <c r="CD122" s="62">
        <f ca="1">AVERAGE(OFFSET($CC$3,0,0,'Données projet'!$E$12+1,1))-AVERAGE(OFFSET($H$3,0,0,'Données projet'!$E$12+1,1))</f>
        <v>218.24409784339861</v>
      </c>
      <c r="CE122" s="62">
        <f t="shared" si="94"/>
        <v>118.89963447540509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257.80952690600492</v>
      </c>
      <c r="T123" s="62">
        <f t="shared" si="88"/>
        <v>269.95358755269427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0.56125744889729812</v>
      </c>
      <c r="AA123" s="23">
        <f>EXP(-LN(2)/25)*AA122+(1-EXP(-LN(2)/25))/(LN(2)/25)*Calculateur!V123*Calculateur!X123*VLOOKUP('Données projet'!$B$9,Paramètres!$A$1:$I$89,3,0)*0.475*44/12</f>
        <v>0.66913241678087731</v>
      </c>
      <c r="AB123" s="23">
        <f>EXP(-LN(2)/2)*AB122+(1-EXP(-LN(2)/2))/(LN(2)/2)*V123*Y123*VLOOKUP('Données projet'!$B$9,Paramètres!$A$1:$I$89,3,0)*0.475*44/12</f>
        <v>3.7475596589293423E-13</v>
      </c>
      <c r="AC123" s="24">
        <f t="shared" si="57"/>
        <v>1.2303898656785504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3.4106051316484809E-13</v>
      </c>
      <c r="AJ123" s="14">
        <f>AI123*VLOOKUP('Données projet'!$B$10,Paramètres!$A$1:$I$89,3,0)*VLOOKUP('Données projet'!$B$10,Paramètres!$A$1:$I$89,5,0)</f>
        <v>1.9508661353029313E-13</v>
      </c>
      <c r="AK123" s="14">
        <f t="shared" si="89"/>
        <v>2.711421636700695E-12</v>
      </c>
      <c r="AL123" s="22">
        <f t="shared" si="58"/>
        <v>5.0621685358189711E-12</v>
      </c>
      <c r="AM123" s="62">
        <f t="shared" si="59"/>
        <v>293.33333333333837</v>
      </c>
      <c r="AN123" s="62">
        <f ca="1">AVERAGE(OFFSET($AM$3,0,0,'Données projet'!$E$10+1,1))-AVERAGE(OFFSET($H$3,0,0,'Données projet'!$E$10+1,1))</f>
        <v>258.09881752732008</v>
      </c>
      <c r="AO123" s="62">
        <f t="shared" si="90"/>
        <v>214.72899476643335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3.9047031249547261E-14</v>
      </c>
      <c r="AX123" s="23">
        <f t="shared" si="60"/>
        <v>3.9047031249547261E-14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>
        <f>VLOOKUP(A123,'Données projet'!$A$87:$I$107,2,0)</f>
        <v>222</v>
      </c>
      <c r="BB123" s="13">
        <f>VLOOKUP(A123,'Données projet'!$A$87:$I$107,9,0)</f>
        <v>2.4</v>
      </c>
      <c r="BC123" s="13">
        <f t="array" ref="BC123">INDEX(BB:BB,MIN(IF(ISNUMBER(BB123:BB319),ROW(BB123:BB319),"")))</f>
        <v>2.4</v>
      </c>
      <c r="BD123" s="13">
        <f>IF('Données projet'!$A$88&gt;35,BD122+BC123-BL122,IF(A123&lt;'Données projet'!$A$88,$BA$205^A123,IF(A123='Données projet'!$A$88,'Données projet'!$B$88,BD122+BC123-BL122)))</f>
        <v>221.99999999999994</v>
      </c>
      <c r="BE123" s="14">
        <f>BD123*VLOOKUP('Données projet'!$B$11,Paramètres!$A$1:$I$89,3,0)*VLOOKUP('Données projet'!$B$11,Paramètres!$A$1:$I$89,5,0)</f>
        <v>214.71839999999995</v>
      </c>
      <c r="BF123" s="14">
        <f t="shared" si="91"/>
        <v>52.965337627912746</v>
      </c>
      <c r="BG123" s="22">
        <f t="shared" si="61"/>
        <v>466.2158430352813</v>
      </c>
      <c r="BH123" s="62">
        <f t="shared" si="62"/>
        <v>759.54917636861455</v>
      </c>
      <c r="BI123" s="62">
        <f ca="1">AVERAGE(OFFSET($BH$3,0,0,'Données projet'!$E$11+1,1))-AVERAGE(OFFSET($H$3,0,0,'Données projet'!$E$11+1,1))</f>
        <v>298.18906674058809</v>
      </c>
      <c r="BJ123" s="62">
        <f t="shared" si="92"/>
        <v>154.08406475869634</v>
      </c>
      <c r="BK123" s="16">
        <f>IF(ISNA(VLOOKUP(A123,'Données projet'!$A$87:$I$107,3,0)),0,VLOOKUP(A123,'Données projet'!$A$87:$I$107,3,0))</f>
        <v>20</v>
      </c>
      <c r="BL123" s="16">
        <f>IF(ISNA(VLOOKUP(A123,'Données projet'!$A$87:$I$107,4,0)),0,VLOOKUP(A123,'Données projet'!$A$87:$I$107,4,0))</f>
        <v>222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>
        <f>VLOOKUP(A123,'Données projet'!$A$113:$I$133,2,0)</f>
        <v>222</v>
      </c>
      <c r="BW123" s="13">
        <f>VLOOKUP(A123,'Données projet'!$A$113:$I$133,9,0)</f>
        <v>2.4</v>
      </c>
      <c r="BX123" s="13">
        <f t="array" ref="BX123">INDEX(BW:BW,MIN(IF(ISNUMBER(BW123:BW319),ROW(BW123:BW319),"")))</f>
        <v>2.4</v>
      </c>
      <c r="BY123" s="13">
        <f>IF('Données projet'!$A$114&gt;35,BY122+BX123-CG122,IF(A123&lt;'Données projet'!$A$114,$BV$205^A123,IF(A123='Données projet'!$A$114,'Données projet'!$B$114,BY122+BX123-CG122)))</f>
        <v>221.99999999999994</v>
      </c>
      <c r="BZ123" s="14">
        <f>BY123*VLOOKUP('Données projet'!$B$12,Paramètres!$A$1:$I$89,3,0)*VLOOKUP('Données projet'!$B$12,Paramètres!$A$1:$I$89,5,0)</f>
        <v>148.91759999999996</v>
      </c>
      <c r="CA123" s="14">
        <f t="shared" si="93"/>
        <v>38.332502754125301</v>
      </c>
      <c r="CB123" s="22">
        <f t="shared" si="64"/>
        <v>326.12726229676815</v>
      </c>
      <c r="CC123" s="62">
        <f t="shared" si="65"/>
        <v>619.46059563010147</v>
      </c>
      <c r="CD123" s="62">
        <f ca="1">AVERAGE(OFFSET($CC$3,0,0,'Données projet'!$E$12+1,1))-AVERAGE(OFFSET($H$3,0,0,'Données projet'!$E$12+1,1))</f>
        <v>218.24409784339861</v>
      </c>
      <c r="CE123" s="62">
        <f t="shared" si="94"/>
        <v>118.89963447540509</v>
      </c>
      <c r="CF123" s="16">
        <f>IF(ISNA(VLOOKUP(A123,'Données projet'!$A$113:$I$133,3,0)),0,VLOOKUP(A123,'Données projet'!$A$113:$I$133,3,0))</f>
        <v>20</v>
      </c>
      <c r="CG123" s="16">
        <f>IF(ISNA(VLOOKUP(A123,'Données projet'!$A$113:$I$133,4,0)),0,VLOOKUP(A123,'Données projet'!$A$113:$I$133,4,0))</f>
        <v>222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257.80952690600492</v>
      </c>
      <c r="T124" s="62">
        <f t="shared" si="88"/>
        <v>269.95358755269427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0.55025153265766336</v>
      </c>
      <c r="AA124" s="23">
        <f>EXP(-LN(2)/25)*AA123+(1-EXP(-LN(2)/25))/(LN(2)/25)*Calculateur!V124*Calculateur!X124*VLOOKUP('Données projet'!$B$9,Paramètres!$A$1:$I$89,3,0)*0.475*44/12</f>
        <v>0.6508349556558598</v>
      </c>
      <c r="AB124" s="23">
        <f>EXP(-LN(2)/2)*AB123+(1-EXP(-LN(2)/2))/(LN(2)/2)*V124*Y124*VLOOKUP('Données projet'!$B$9,Paramètres!$A$1:$I$89,3,0)*0.475*44/12</f>
        <v>2.6499248477300831E-13</v>
      </c>
      <c r="AC124" s="24">
        <f t="shared" si="57"/>
        <v>1.2010864883137879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3.4106051316484809E-13</v>
      </c>
      <c r="AJ124" s="14">
        <f>AI124*VLOOKUP('Données projet'!$B$10,Paramètres!$A$1:$I$89,3,0)*VLOOKUP('Données projet'!$B$10,Paramètres!$A$1:$I$89,5,0)</f>
        <v>1.9508661353029313E-13</v>
      </c>
      <c r="AK124" s="14">
        <f t="shared" si="89"/>
        <v>2.711421636700695E-12</v>
      </c>
      <c r="AL124" s="22">
        <f t="shared" si="58"/>
        <v>5.0621685358189711E-12</v>
      </c>
      <c r="AM124" s="62">
        <f t="shared" si="59"/>
        <v>293.33333333333837</v>
      </c>
      <c r="AN124" s="62">
        <f ca="1">AVERAGE(OFFSET($AM$3,0,0,'Données projet'!$E$10+1,1))-AVERAGE(OFFSET($H$3,0,0,'Données projet'!$E$10+1,1))</f>
        <v>258.09881752732008</v>
      </c>
      <c r="AO124" s="62">
        <f t="shared" si="90"/>
        <v>214.72899476643335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2.7610420581757899E-14</v>
      </c>
      <c r="AX124" s="23">
        <f t="shared" si="60"/>
        <v>2.7610420581757899E-14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-5.6843418860808015E-14</v>
      </c>
      <c r="BE124" s="14">
        <f>BD124*VLOOKUP('Données projet'!$B$11,Paramètres!$A$1:$I$89,3,0)*VLOOKUP('Données projet'!$B$11,Paramètres!$A$1:$I$89,5,0)</f>
        <v>-5.4978954722173515E-14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298.18906674058809</v>
      </c>
      <c r="BJ124" s="62">
        <f t="shared" si="92"/>
        <v>154.08406475869634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-5.6843418860808015E-14</v>
      </c>
      <c r="BZ124" s="14">
        <f>BY124*VLOOKUP('Données projet'!$B$12,Paramètres!$A$1:$I$89,3,0)*VLOOKUP('Données projet'!$B$12,Paramètres!$A$1:$I$89,5,0)</f>
        <v>-3.813056537183002E-14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218.24409784339861</v>
      </c>
      <c r="CE124" s="62">
        <f t="shared" si="94"/>
        <v>118.89963447540509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257.80952690600492</v>
      </c>
      <c r="T125" s="62">
        <f t="shared" si="88"/>
        <v>269.95358755269427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0.53946143572254179</v>
      </c>
      <c r="AA125" s="23">
        <f>EXP(-LN(2)/25)*AA124+(1-EXP(-LN(2)/25))/(LN(2)/25)*Calculateur!V125*Calculateur!X125*VLOOKUP('Données projet'!$B$9,Paramètres!$A$1:$I$89,3,0)*0.475*44/12</f>
        <v>0.63303783956752746</v>
      </c>
      <c r="AB125" s="23">
        <f>EXP(-LN(2)/2)*AB124+(1-EXP(-LN(2)/2))/(LN(2)/2)*V125*Y125*VLOOKUP('Données projet'!$B$9,Paramètres!$A$1:$I$89,3,0)*0.475*44/12</f>
        <v>1.8737798294646711E-13</v>
      </c>
      <c r="AC125" s="24">
        <f t="shared" si="57"/>
        <v>1.1724992752902565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3.4106051316484809E-13</v>
      </c>
      <c r="AJ125" s="14">
        <f>AI125*VLOOKUP('Données projet'!$B$10,Paramètres!$A$1:$I$89,3,0)*VLOOKUP('Données projet'!$B$10,Paramètres!$A$1:$I$89,5,0)</f>
        <v>1.9508661353029313E-13</v>
      </c>
      <c r="AK125" s="14">
        <f t="shared" si="89"/>
        <v>2.711421636700695E-12</v>
      </c>
      <c r="AL125" s="22">
        <f t="shared" si="58"/>
        <v>5.0621685358189711E-12</v>
      </c>
      <c r="AM125" s="62">
        <f t="shared" si="59"/>
        <v>293.33333333333837</v>
      </c>
      <c r="AN125" s="62">
        <f ca="1">AVERAGE(OFFSET($AM$3,0,0,'Données projet'!$E$10+1,1))-AVERAGE(OFFSET($H$3,0,0,'Données projet'!$E$10+1,1))</f>
        <v>258.09881752732008</v>
      </c>
      <c r="AO125" s="62">
        <f t="shared" si="90"/>
        <v>214.72899476643335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1.9523515624773634E-14</v>
      </c>
      <c r="AX125" s="23">
        <f t="shared" si="60"/>
        <v>1.9523515624773634E-14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-5.6843418860808015E-14</v>
      </c>
      <c r="BE125" s="14">
        <f>BD125*VLOOKUP('Données projet'!$B$11,Paramètres!$A$1:$I$89,3,0)*VLOOKUP('Données projet'!$B$11,Paramètres!$A$1:$I$89,5,0)</f>
        <v>-5.4978954722173515E-14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298.18906674058809</v>
      </c>
      <c r="BJ125" s="62">
        <f t="shared" si="92"/>
        <v>154.08406475869634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-5.6843418860808015E-14</v>
      </c>
      <c r="BZ125" s="14">
        <f>BY125*VLOOKUP('Données projet'!$B$12,Paramètres!$A$1:$I$89,3,0)*VLOOKUP('Données projet'!$B$12,Paramètres!$A$1:$I$89,5,0)</f>
        <v>-3.813056537183002E-14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218.24409784339861</v>
      </c>
      <c r="CE125" s="62">
        <f t="shared" si="94"/>
        <v>118.89963447540509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257.80952690600492</v>
      </c>
      <c r="T126" s="62">
        <f t="shared" si="88"/>
        <v>269.95358755269427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0.52888292600700859</v>
      </c>
      <c r="AA126" s="23">
        <f>EXP(-LN(2)/25)*AA125+(1-EXP(-LN(2)/25))/(LN(2)/25)*Calculateur!V126*Calculateur!X126*VLOOKUP('Données projet'!$B$9,Paramètres!$A$1:$I$89,3,0)*0.475*44/12</f>
        <v>0.61572738655454029</v>
      </c>
      <c r="AB126" s="23">
        <f>EXP(-LN(2)/2)*AB125+(1-EXP(-LN(2)/2))/(LN(2)/2)*V126*Y126*VLOOKUP('Données projet'!$B$9,Paramètres!$A$1:$I$89,3,0)*0.475*44/12</f>
        <v>1.3249624238650415E-13</v>
      </c>
      <c r="AC126" s="24">
        <f t="shared" si="57"/>
        <v>1.1446103125616813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3.4106051316484809E-13</v>
      </c>
      <c r="AJ126" s="14">
        <f>AI126*VLOOKUP('Données projet'!$B$10,Paramètres!$A$1:$I$89,3,0)*VLOOKUP('Données projet'!$B$10,Paramètres!$A$1:$I$89,5,0)</f>
        <v>1.9508661353029313E-13</v>
      </c>
      <c r="AK126" s="14">
        <f t="shared" si="89"/>
        <v>2.711421636700695E-12</v>
      </c>
      <c r="AL126" s="22">
        <f t="shared" si="58"/>
        <v>5.0621685358189711E-12</v>
      </c>
      <c r="AM126" s="62">
        <f t="shared" si="59"/>
        <v>293.33333333333837</v>
      </c>
      <c r="AN126" s="62">
        <f ca="1">AVERAGE(OFFSET($AM$3,0,0,'Données projet'!$E$10+1,1))-AVERAGE(OFFSET($H$3,0,0,'Données projet'!$E$10+1,1))</f>
        <v>258.09881752732008</v>
      </c>
      <c r="AO126" s="62">
        <f t="shared" si="90"/>
        <v>214.72899476643335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1.3805210290878953E-14</v>
      </c>
      <c r="AX126" s="23">
        <f t="shared" si="60"/>
        <v>1.3805210290878953E-14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-5.6843418860808015E-14</v>
      </c>
      <c r="BE126" s="14">
        <f>BD126*VLOOKUP('Données projet'!$B$11,Paramètres!$A$1:$I$89,3,0)*VLOOKUP('Données projet'!$B$11,Paramètres!$A$1:$I$89,5,0)</f>
        <v>-5.4978954722173515E-14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298.18906674058809</v>
      </c>
      <c r="BJ126" s="62">
        <f t="shared" si="92"/>
        <v>154.08406475869634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-5.6843418860808015E-14</v>
      </c>
      <c r="BZ126" s="14">
        <f>BY126*VLOOKUP('Données projet'!$B$12,Paramètres!$A$1:$I$89,3,0)*VLOOKUP('Données projet'!$B$12,Paramètres!$A$1:$I$89,5,0)</f>
        <v>-3.813056537183002E-14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218.24409784339861</v>
      </c>
      <c r="CE126" s="62">
        <f t="shared" si="94"/>
        <v>118.89963447540509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257.80952690600492</v>
      </c>
      <c r="T127" s="62">
        <f t="shared" si="88"/>
        <v>269.95358755269427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0.51851185441474323</v>
      </c>
      <c r="AA127" s="23">
        <f>EXP(-LN(2)/25)*AA126+(1-EXP(-LN(2)/25))/(LN(2)/25)*Calculateur!V127*Calculateur!X127*VLOOKUP('Données projet'!$B$9,Paramètres!$A$1:$I$89,3,0)*0.475*44/12</f>
        <v>0.59889028878951034</v>
      </c>
      <c r="AB127" s="23">
        <f>EXP(-LN(2)/2)*AB126+(1-EXP(-LN(2)/2))/(LN(2)/2)*V127*Y127*VLOOKUP('Données projet'!$B$9,Paramètres!$A$1:$I$89,3,0)*0.475*44/12</f>
        <v>9.3688991473233556E-14</v>
      </c>
      <c r="AC127" s="24">
        <f t="shared" si="57"/>
        <v>1.1174021432043473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3.4106051316484809E-13</v>
      </c>
      <c r="AJ127" s="14">
        <f>AI127*VLOOKUP('Données projet'!$B$10,Paramètres!$A$1:$I$89,3,0)*VLOOKUP('Données projet'!$B$10,Paramètres!$A$1:$I$89,5,0)</f>
        <v>1.9508661353029313E-13</v>
      </c>
      <c r="AK127" s="14">
        <f t="shared" si="89"/>
        <v>2.711421636700695E-12</v>
      </c>
      <c r="AL127" s="22">
        <f t="shared" si="58"/>
        <v>5.0621685358189711E-12</v>
      </c>
      <c r="AM127" s="62">
        <f t="shared" si="59"/>
        <v>293.33333333333837</v>
      </c>
      <c r="AN127" s="62">
        <f ca="1">AVERAGE(OFFSET($AM$3,0,0,'Données projet'!$E$10+1,1))-AVERAGE(OFFSET($H$3,0,0,'Données projet'!$E$10+1,1))</f>
        <v>258.09881752732008</v>
      </c>
      <c r="AO127" s="62">
        <f t="shared" si="90"/>
        <v>214.72899476643335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9.7617578123868185E-15</v>
      </c>
      <c r="AX127" s="23">
        <f t="shared" si="60"/>
        <v>9.7617578123868185E-15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-5.6843418860808015E-14</v>
      </c>
      <c r="BE127" s="14">
        <f>BD127*VLOOKUP('Données projet'!$B$11,Paramètres!$A$1:$I$89,3,0)*VLOOKUP('Données projet'!$B$11,Paramètres!$A$1:$I$89,5,0)</f>
        <v>-5.4978954722173515E-14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298.18906674058809</v>
      </c>
      <c r="BJ127" s="62">
        <f t="shared" si="92"/>
        <v>154.08406475869634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-5.6843418860808015E-14</v>
      </c>
      <c r="BZ127" s="14">
        <f>BY127*VLOOKUP('Données projet'!$B$12,Paramètres!$A$1:$I$89,3,0)*VLOOKUP('Données projet'!$B$12,Paramètres!$A$1:$I$89,5,0)</f>
        <v>-3.813056537183002E-14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218.24409784339861</v>
      </c>
      <c r="CE127" s="62">
        <f t="shared" si="94"/>
        <v>118.89963447540509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257.80952690600492</v>
      </c>
      <c r="T128" s="62">
        <f t="shared" si="88"/>
        <v>269.95358755269427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0.50834415321067317</v>
      </c>
      <c r="AA128" s="23">
        <f>EXP(-LN(2)/25)*AA127+(1-EXP(-LN(2)/25))/(LN(2)/25)*Calculateur!V128*Calculateur!X128*VLOOKUP('Données projet'!$B$9,Paramètres!$A$1:$I$89,3,0)*0.475*44/12</f>
        <v>0.58251360234828964</v>
      </c>
      <c r="AB128" s="23">
        <f>EXP(-LN(2)/2)*AB127+(1-EXP(-LN(2)/2))/(LN(2)/2)*V128*Y128*VLOOKUP('Données projet'!$B$9,Paramètres!$A$1:$I$89,3,0)*0.475*44/12</f>
        <v>6.6248121193252077E-14</v>
      </c>
      <c r="AC128" s="24">
        <f t="shared" si="57"/>
        <v>1.0908577555590289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3.4106051316484809E-13</v>
      </c>
      <c r="AJ128" s="14">
        <f>AI128*VLOOKUP('Données projet'!$B$10,Paramètres!$A$1:$I$89,3,0)*VLOOKUP('Données projet'!$B$10,Paramètres!$A$1:$I$89,5,0)</f>
        <v>1.9508661353029313E-13</v>
      </c>
      <c r="AK128" s="14">
        <f t="shared" si="89"/>
        <v>2.711421636700695E-12</v>
      </c>
      <c r="AL128" s="22">
        <f t="shared" si="58"/>
        <v>5.0621685358189711E-12</v>
      </c>
      <c r="AM128" s="62">
        <f t="shared" si="59"/>
        <v>293.33333333333837</v>
      </c>
      <c r="AN128" s="62">
        <f ca="1">AVERAGE(OFFSET($AM$3,0,0,'Données projet'!$E$10+1,1))-AVERAGE(OFFSET($H$3,0,0,'Données projet'!$E$10+1,1))</f>
        <v>258.09881752732008</v>
      </c>
      <c r="AO128" s="62">
        <f t="shared" si="90"/>
        <v>214.72899476643335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6.9026051454394772E-15</v>
      </c>
      <c r="AX128" s="23">
        <f t="shared" si="60"/>
        <v>6.9026051454394772E-15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-5.6843418860808015E-14</v>
      </c>
      <c r="BE128" s="14">
        <f>BD128*VLOOKUP('Données projet'!$B$11,Paramètres!$A$1:$I$89,3,0)*VLOOKUP('Données projet'!$B$11,Paramètres!$A$1:$I$89,5,0)</f>
        <v>-5.4978954722173515E-14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298.18906674058809</v>
      </c>
      <c r="BJ128" s="62">
        <f t="shared" si="92"/>
        <v>154.08406475869634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-5.6843418860808015E-14</v>
      </c>
      <c r="BZ128" s="14">
        <f>BY128*VLOOKUP('Données projet'!$B$12,Paramètres!$A$1:$I$89,3,0)*VLOOKUP('Données projet'!$B$12,Paramètres!$A$1:$I$89,5,0)</f>
        <v>-3.813056537183002E-14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218.24409784339861</v>
      </c>
      <c r="CE128" s="62">
        <f t="shared" si="94"/>
        <v>118.89963447540509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257.80952690600492</v>
      </c>
      <c r="T129" s="62">
        <f t="shared" si="88"/>
        <v>269.95358755269427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0.49837583442552952</v>
      </c>
      <c r="AA129" s="23">
        <f>EXP(-LN(2)/25)*AA128+(1-EXP(-LN(2)/25))/(LN(2)/25)*Calculateur!V129*Calculateur!X129*VLOOKUP('Données projet'!$B$9,Paramètres!$A$1:$I$89,3,0)*0.475*44/12</f>
        <v>0.5665847372590167</v>
      </c>
      <c r="AB129" s="23">
        <f>EXP(-LN(2)/2)*AB128+(1-EXP(-LN(2)/2))/(LN(2)/2)*V129*Y129*VLOOKUP('Données projet'!$B$9,Paramètres!$A$1:$I$89,3,0)*0.475*44/12</f>
        <v>4.6844495736616778E-14</v>
      </c>
      <c r="AC129" s="24">
        <f t="shared" si="57"/>
        <v>1.0649605716845931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3.4106051316484809E-13</v>
      </c>
      <c r="AJ129" s="14">
        <f>AI129*VLOOKUP('Données projet'!$B$10,Paramètres!$A$1:$I$89,3,0)*VLOOKUP('Données projet'!$B$10,Paramètres!$A$1:$I$89,5,0)</f>
        <v>1.9508661353029313E-13</v>
      </c>
      <c r="AK129" s="14">
        <f t="shared" si="89"/>
        <v>2.711421636700695E-12</v>
      </c>
      <c r="AL129" s="22">
        <f t="shared" si="58"/>
        <v>5.0621685358189711E-12</v>
      </c>
      <c r="AM129" s="62">
        <f t="shared" si="59"/>
        <v>293.33333333333837</v>
      </c>
      <c r="AN129" s="62">
        <f ca="1">AVERAGE(OFFSET($AM$3,0,0,'Données projet'!$E$10+1,1))-AVERAGE(OFFSET($H$3,0,0,'Données projet'!$E$10+1,1))</f>
        <v>258.09881752732008</v>
      </c>
      <c r="AO129" s="62">
        <f t="shared" si="90"/>
        <v>214.72899476643335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4.88087890619341E-15</v>
      </c>
      <c r="AX129" s="23">
        <f t="shared" si="60"/>
        <v>4.88087890619341E-15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-5.6843418860808015E-14</v>
      </c>
      <c r="BE129" s="14">
        <f>BD129*VLOOKUP('Données projet'!$B$11,Paramètres!$A$1:$I$89,3,0)*VLOOKUP('Données projet'!$B$11,Paramètres!$A$1:$I$89,5,0)</f>
        <v>-5.4978954722173515E-14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298.18906674058809</v>
      </c>
      <c r="BJ129" s="62">
        <f t="shared" si="92"/>
        <v>154.08406475869634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-5.6843418860808015E-14</v>
      </c>
      <c r="BZ129" s="14">
        <f>BY129*VLOOKUP('Données projet'!$B$12,Paramètres!$A$1:$I$89,3,0)*VLOOKUP('Données projet'!$B$12,Paramètres!$A$1:$I$89,5,0)</f>
        <v>-3.813056537183002E-14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218.24409784339861</v>
      </c>
      <c r="CE129" s="62">
        <f t="shared" si="94"/>
        <v>118.89963447540509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257.80952690600492</v>
      </c>
      <c r="T130" s="62">
        <f t="shared" si="88"/>
        <v>269.95358755269427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0.48860298829168841</v>
      </c>
      <c r="AA130" s="23">
        <f>EXP(-LN(2)/25)*AA129+(1-EXP(-LN(2)/25))/(LN(2)/25)*Calculateur!V130*Calculateur!X130*VLOOKUP('Données projet'!$B$9,Paramètres!$A$1:$I$89,3,0)*0.475*44/12</f>
        <v>0.55109144782327246</v>
      </c>
      <c r="AB130" s="23">
        <f>EXP(-LN(2)/2)*AB129+(1-EXP(-LN(2)/2))/(LN(2)/2)*V130*Y130*VLOOKUP('Données projet'!$B$9,Paramètres!$A$1:$I$89,3,0)*0.475*44/12</f>
        <v>3.3124060596626038E-14</v>
      </c>
      <c r="AC130" s="24">
        <f t="shared" si="57"/>
        <v>1.039694436114994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3.4106051316484809E-13</v>
      </c>
      <c r="AJ130" s="14">
        <f>AI130*VLOOKUP('Données projet'!$B$10,Paramètres!$A$1:$I$89,3,0)*VLOOKUP('Données projet'!$B$10,Paramètres!$A$1:$I$89,5,0)</f>
        <v>1.9508661353029313E-13</v>
      </c>
      <c r="AK130" s="14">
        <f t="shared" si="89"/>
        <v>2.711421636700695E-12</v>
      </c>
      <c r="AL130" s="22">
        <f t="shared" si="58"/>
        <v>5.0621685358189711E-12</v>
      </c>
      <c r="AM130" s="62">
        <f t="shared" si="59"/>
        <v>293.33333333333837</v>
      </c>
      <c r="AN130" s="62">
        <f ca="1">AVERAGE(OFFSET($AM$3,0,0,'Données projet'!$E$10+1,1))-AVERAGE(OFFSET($H$3,0,0,'Données projet'!$E$10+1,1))</f>
        <v>258.09881752732008</v>
      </c>
      <c r="AO130" s="62">
        <f t="shared" si="90"/>
        <v>214.72899476643335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3.4513025727197394E-15</v>
      </c>
      <c r="AX130" s="23">
        <f t="shared" si="60"/>
        <v>3.4513025727197394E-15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-5.6843418860808015E-14</v>
      </c>
      <c r="BE130" s="14">
        <f>BD130*VLOOKUP('Données projet'!$B$11,Paramètres!$A$1:$I$89,3,0)*VLOOKUP('Données projet'!$B$11,Paramètres!$A$1:$I$89,5,0)</f>
        <v>-5.4978954722173515E-14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298.18906674058809</v>
      </c>
      <c r="BJ130" s="62">
        <f t="shared" si="92"/>
        <v>154.08406475869634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-5.6843418860808015E-14</v>
      </c>
      <c r="BZ130" s="14">
        <f>BY130*VLOOKUP('Données projet'!$B$12,Paramètres!$A$1:$I$89,3,0)*VLOOKUP('Données projet'!$B$12,Paramètres!$A$1:$I$89,5,0)</f>
        <v>-3.813056537183002E-14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218.24409784339861</v>
      </c>
      <c r="CE130" s="62">
        <f t="shared" si="94"/>
        <v>118.89963447540509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257.80952690600492</v>
      </c>
      <c r="T131" s="62">
        <f t="shared" si="88"/>
        <v>269.95358755269427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0.4790217817096844</v>
      </c>
      <c r="AA131" s="23">
        <f>EXP(-LN(2)/25)*AA130+(1-EXP(-LN(2)/25))/(LN(2)/25)*Calculateur!V131*Calculateur!X131*VLOOKUP('Données projet'!$B$9,Paramètres!$A$1:$I$89,3,0)*0.475*44/12</f>
        <v>0.53602182320190539</v>
      </c>
      <c r="AB131" s="23">
        <f>EXP(-LN(2)/2)*AB130+(1-EXP(-LN(2)/2))/(LN(2)/2)*V131*Y131*VLOOKUP('Données projet'!$B$9,Paramètres!$A$1:$I$89,3,0)*0.475*44/12</f>
        <v>2.3422247868308389E-14</v>
      </c>
      <c r="AC131" s="24">
        <f t="shared" si="57"/>
        <v>1.0150436049116132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3.4106051316484809E-13</v>
      </c>
      <c r="AJ131" s="14">
        <f>AI131*VLOOKUP('Données projet'!$B$10,Paramètres!$A$1:$I$89,3,0)*VLOOKUP('Données projet'!$B$10,Paramètres!$A$1:$I$89,5,0)</f>
        <v>1.9508661353029313E-13</v>
      </c>
      <c r="AK131" s="14">
        <f t="shared" si="89"/>
        <v>2.711421636700695E-12</v>
      </c>
      <c r="AL131" s="22">
        <f t="shared" si="58"/>
        <v>5.0621685358189711E-12</v>
      </c>
      <c r="AM131" s="62">
        <f t="shared" si="59"/>
        <v>293.33333333333837</v>
      </c>
      <c r="AN131" s="62">
        <f ca="1">AVERAGE(OFFSET($AM$3,0,0,'Données projet'!$E$10+1,1))-AVERAGE(OFFSET($H$3,0,0,'Données projet'!$E$10+1,1))</f>
        <v>258.09881752732008</v>
      </c>
      <c r="AO131" s="62">
        <f t="shared" si="90"/>
        <v>214.72899476643335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2.4404394530967054E-15</v>
      </c>
      <c r="AX131" s="23">
        <f t="shared" si="60"/>
        <v>2.4404394530967054E-15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-5.6843418860808015E-14</v>
      </c>
      <c r="BE131" s="14">
        <f>BD131*VLOOKUP('Données projet'!$B$11,Paramètres!$A$1:$I$89,3,0)*VLOOKUP('Données projet'!$B$11,Paramètres!$A$1:$I$89,5,0)</f>
        <v>-5.4978954722173515E-14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298.18906674058809</v>
      </c>
      <c r="BJ131" s="62">
        <f t="shared" si="92"/>
        <v>154.08406475869634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-5.6843418860808015E-14</v>
      </c>
      <c r="BZ131" s="14">
        <f>BY131*VLOOKUP('Données projet'!$B$12,Paramètres!$A$1:$I$89,3,0)*VLOOKUP('Données projet'!$B$12,Paramètres!$A$1:$I$89,5,0)</f>
        <v>-3.813056537183002E-14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218.24409784339861</v>
      </c>
      <c r="CE131" s="62">
        <f t="shared" si="94"/>
        <v>118.89963447540509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257.80952690600492</v>
      </c>
      <c r="T132" s="62">
        <f t="shared" si="88"/>
        <v>269.95358755269427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0.46962845674479453</v>
      </c>
      <c r="AA132" s="23">
        <f>EXP(-LN(2)/25)*AA131+(1-EXP(-LN(2)/25))/(LN(2)/25)*Calculateur!V132*Calculateur!X132*VLOOKUP('Données projet'!$B$9,Paramètres!$A$1:$I$89,3,0)*0.475*44/12</f>
        <v>0.52136427825828668</v>
      </c>
      <c r="AB132" s="23">
        <f>EXP(-LN(2)/2)*AB131+(1-EXP(-LN(2)/2))/(LN(2)/2)*V132*Y132*VLOOKUP('Données projet'!$B$9,Paramètres!$A$1:$I$89,3,0)*0.475*44/12</f>
        <v>1.6562030298313019E-14</v>
      </c>
      <c r="AC132" s="24">
        <f t="shared" ref="AC132:AC153" si="111">SUM(Z132:AB132)</f>
        <v>0.9909927350030977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3.4106051316484809E-13</v>
      </c>
      <c r="AJ132" s="14">
        <f>AI132*VLOOKUP('Données projet'!$B$10,Paramètres!$A$1:$I$89,3,0)*VLOOKUP('Données projet'!$B$10,Paramètres!$A$1:$I$89,5,0)</f>
        <v>1.9508661353029313E-13</v>
      </c>
      <c r="AK132" s="14">
        <f t="shared" si="89"/>
        <v>2.711421636700695E-12</v>
      </c>
      <c r="AL132" s="22">
        <f t="shared" ref="AL132:AL153" si="112">(AJ132+AK132)*0.475*44/12</f>
        <v>5.0621685358189711E-12</v>
      </c>
      <c r="AM132" s="62">
        <f t="shared" ref="AM132:AM195" si="113">AL132+(AD132+AE132)*44/12</f>
        <v>293.33333333333837</v>
      </c>
      <c r="AN132" s="62">
        <f ca="1">AVERAGE(OFFSET($AM$3,0,0,'Données projet'!$E$10+1,1))-AVERAGE(OFFSET($H$3,0,0,'Données projet'!$E$10+1,1))</f>
        <v>258.09881752732008</v>
      </c>
      <c r="AO132" s="62">
        <f t="shared" si="90"/>
        <v>214.72899476643335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1.7256512863598699E-15</v>
      </c>
      <c r="AX132" s="23">
        <f t="shared" ref="AX132:AX153" si="114">SUM(AU132:AW132)</f>
        <v>1.7256512863598699E-15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-5.6843418860808015E-14</v>
      </c>
      <c r="BE132" s="14">
        <f>BD132*VLOOKUP('Données projet'!$B$11,Paramètres!$A$1:$I$89,3,0)*VLOOKUP('Données projet'!$B$11,Paramètres!$A$1:$I$89,5,0)</f>
        <v>-5.4978954722173515E-14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298.18906674058809</v>
      </c>
      <c r="BJ132" s="62">
        <f t="shared" si="92"/>
        <v>154.08406475869634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-5.6843418860808015E-14</v>
      </c>
      <c r="BZ132" s="14">
        <f>BY132*VLOOKUP('Données projet'!$B$12,Paramètres!$A$1:$I$89,3,0)*VLOOKUP('Données projet'!$B$12,Paramètres!$A$1:$I$89,5,0)</f>
        <v>-3.813056537183002E-14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218.24409784339861</v>
      </c>
      <c r="CE132" s="62">
        <f t="shared" si="94"/>
        <v>118.89963447540509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257.80952690600492</v>
      </c>
      <c r="T133" s="62">
        <f t="shared" ref="T133:T196" si="142">$T$3</f>
        <v>269.95358755269427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0.46041932915310363</v>
      </c>
      <c r="AA133" s="23">
        <f>EXP(-LN(2)/25)*AA132+(1-EXP(-LN(2)/25))/(LN(2)/25)*Calculateur!V133*Calculateur!X133*VLOOKUP('Données projet'!$B$9,Paramètres!$A$1:$I$89,3,0)*0.475*44/12</f>
        <v>0.50710754465195806</v>
      </c>
      <c r="AB133" s="23">
        <f>EXP(-LN(2)/2)*AB132+(1-EXP(-LN(2)/2))/(LN(2)/2)*V133*Y133*VLOOKUP('Données projet'!$B$9,Paramètres!$A$1:$I$89,3,0)*0.475*44/12</f>
        <v>1.1711123934154195E-14</v>
      </c>
      <c r="AC133" s="24">
        <f t="shared" si="111"/>
        <v>0.96752687380507341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3.4106051316484809E-13</v>
      </c>
      <c r="AJ133" s="14">
        <f>AI133*VLOOKUP('Données projet'!$B$10,Paramètres!$A$1:$I$89,3,0)*VLOOKUP('Données projet'!$B$10,Paramètres!$A$1:$I$89,5,0)</f>
        <v>1.9508661353029313E-13</v>
      </c>
      <c r="AK133" s="14">
        <f t="shared" ref="AK133:AK153" si="143">EXP(-1.0587+0.8836*LN(AJ133)+0.284)</f>
        <v>2.711421636700695E-12</v>
      </c>
      <c r="AL133" s="22">
        <f t="shared" si="112"/>
        <v>5.0621685358189711E-12</v>
      </c>
      <c r="AM133" s="62">
        <f t="shared" si="113"/>
        <v>293.33333333333837</v>
      </c>
      <c r="AN133" s="62">
        <f ca="1">AVERAGE(OFFSET($AM$3,0,0,'Données projet'!$E$10+1,1))-AVERAGE(OFFSET($H$3,0,0,'Données projet'!$E$10+1,1))</f>
        <v>258.09881752732008</v>
      </c>
      <c r="AO133" s="62">
        <f t="shared" ref="AO133:AO196" si="144">$AO$3</f>
        <v>214.72899476643335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1.2202197265483529E-15</v>
      </c>
      <c r="AX133" s="23">
        <f t="shared" si="114"/>
        <v>1.2202197265483529E-15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-5.6843418860808015E-14</v>
      </c>
      <c r="BE133" s="14">
        <f>BD133*VLOOKUP('Données projet'!$B$11,Paramètres!$A$1:$I$89,3,0)*VLOOKUP('Données projet'!$B$11,Paramètres!$A$1:$I$89,5,0)</f>
        <v>-5.4978954722173515E-14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298.18906674058809</v>
      </c>
      <c r="BJ133" s="62">
        <f t="shared" ref="BJ133:BJ196" si="146">$BJ$3</f>
        <v>154.08406475869634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-5.6843418860808015E-14</v>
      </c>
      <c r="BZ133" s="14">
        <f>BY133*VLOOKUP('Données projet'!$B$12,Paramètres!$A$1:$I$89,3,0)*VLOOKUP('Données projet'!$B$12,Paramètres!$A$1:$I$89,5,0)</f>
        <v>-3.813056537183002E-14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218.24409784339861</v>
      </c>
      <c r="CE133" s="62">
        <f t="shared" ref="CE133:CE196" si="148">$CE$3</f>
        <v>118.89963447540509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257.80952690600492</v>
      </c>
      <c r="T134" s="62">
        <f t="shared" si="142"/>
        <v>269.95358755269427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0.45139078693647261</v>
      </c>
      <c r="AA134" s="23">
        <f>EXP(-LN(2)/25)*AA133+(1-EXP(-LN(2)/25))/(LN(2)/25)*Calculateur!V134*Calculateur!X134*VLOOKUP('Données projet'!$B$9,Paramètres!$A$1:$I$89,3,0)*0.475*44/12</f>
        <v>0.49324066217582352</v>
      </c>
      <c r="AB134" s="23">
        <f>EXP(-LN(2)/2)*AB133+(1-EXP(-LN(2)/2))/(LN(2)/2)*V134*Y134*VLOOKUP('Données projet'!$B$9,Paramètres!$A$1:$I$89,3,0)*0.475*44/12</f>
        <v>8.2810151491565096E-15</v>
      </c>
      <c r="AC134" s="24">
        <f t="shared" si="111"/>
        <v>0.94463144911230446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3.4106051316484809E-13</v>
      </c>
      <c r="AJ134" s="14">
        <f>AI134*VLOOKUP('Données projet'!$B$10,Paramètres!$A$1:$I$89,3,0)*VLOOKUP('Données projet'!$B$10,Paramètres!$A$1:$I$89,5,0)</f>
        <v>1.9508661353029313E-13</v>
      </c>
      <c r="AK134" s="14">
        <f t="shared" si="143"/>
        <v>2.711421636700695E-12</v>
      </c>
      <c r="AL134" s="22">
        <f t="shared" si="112"/>
        <v>5.0621685358189711E-12</v>
      </c>
      <c r="AM134" s="62">
        <f t="shared" si="113"/>
        <v>293.33333333333837</v>
      </c>
      <c r="AN134" s="62">
        <f ca="1">AVERAGE(OFFSET($AM$3,0,0,'Données projet'!$E$10+1,1))-AVERAGE(OFFSET($H$3,0,0,'Données projet'!$E$10+1,1))</f>
        <v>258.09881752732008</v>
      </c>
      <c r="AO134" s="62">
        <f t="shared" si="144"/>
        <v>214.72899476643335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8.6282564317993505E-16</v>
      </c>
      <c r="AX134" s="23">
        <f t="shared" si="114"/>
        <v>8.6282564317993505E-16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-5.6843418860808015E-14</v>
      </c>
      <c r="BE134" s="14">
        <f>BD134*VLOOKUP('Données projet'!$B$11,Paramètres!$A$1:$I$89,3,0)*VLOOKUP('Données projet'!$B$11,Paramètres!$A$1:$I$89,5,0)</f>
        <v>-5.4978954722173515E-14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298.18906674058809</v>
      </c>
      <c r="BJ134" s="62">
        <f t="shared" si="146"/>
        <v>154.08406475869634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-5.6843418860808015E-14</v>
      </c>
      <c r="BZ134" s="14">
        <f>BY134*VLOOKUP('Données projet'!$B$12,Paramètres!$A$1:$I$89,3,0)*VLOOKUP('Données projet'!$B$12,Paramètres!$A$1:$I$89,5,0)</f>
        <v>-3.813056537183002E-14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218.24409784339861</v>
      </c>
      <c r="CE134" s="62">
        <f t="shared" si="148"/>
        <v>118.89963447540509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257.80952690600492</v>
      </c>
      <c r="T135" s="62">
        <f t="shared" si="142"/>
        <v>269.95358755269427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0.44253928892584271</v>
      </c>
      <c r="AA135" s="23">
        <f>EXP(-LN(2)/25)*AA134+(1-EXP(-LN(2)/25))/(LN(2)/25)*Calculateur!V135*Calculateur!X135*VLOOKUP('Données projet'!$B$9,Paramètres!$A$1:$I$89,3,0)*0.475*44/12</f>
        <v>0.47975297033022651</v>
      </c>
      <c r="AB135" s="23">
        <f>EXP(-LN(2)/2)*AB134+(1-EXP(-LN(2)/2))/(LN(2)/2)*V135*Y135*VLOOKUP('Données projet'!$B$9,Paramètres!$A$1:$I$89,3,0)*0.475*44/12</f>
        <v>5.8555619670770973E-15</v>
      </c>
      <c r="AC135" s="24">
        <f t="shared" si="111"/>
        <v>0.92229225925607505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3.4106051316484809E-13</v>
      </c>
      <c r="AJ135" s="14">
        <f>AI135*VLOOKUP('Données projet'!$B$10,Paramètres!$A$1:$I$89,3,0)*VLOOKUP('Données projet'!$B$10,Paramètres!$A$1:$I$89,5,0)</f>
        <v>1.9508661353029313E-13</v>
      </c>
      <c r="AK135" s="14">
        <f t="shared" si="143"/>
        <v>2.711421636700695E-12</v>
      </c>
      <c r="AL135" s="22">
        <f t="shared" si="112"/>
        <v>5.0621685358189711E-12</v>
      </c>
      <c r="AM135" s="62">
        <f t="shared" si="113"/>
        <v>293.33333333333837</v>
      </c>
      <c r="AN135" s="62">
        <f ca="1">AVERAGE(OFFSET($AM$3,0,0,'Données projet'!$E$10+1,1))-AVERAGE(OFFSET($H$3,0,0,'Données projet'!$E$10+1,1))</f>
        <v>258.09881752732008</v>
      </c>
      <c r="AO135" s="62">
        <f t="shared" si="144"/>
        <v>214.72899476643335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6.1010986327417655E-16</v>
      </c>
      <c r="AX135" s="23">
        <f t="shared" si="114"/>
        <v>6.1010986327417655E-16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-5.6843418860808015E-14</v>
      </c>
      <c r="BE135" s="14">
        <f>BD135*VLOOKUP('Données projet'!$B$11,Paramètres!$A$1:$I$89,3,0)*VLOOKUP('Données projet'!$B$11,Paramètres!$A$1:$I$89,5,0)</f>
        <v>-5.4978954722173515E-14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298.18906674058809</v>
      </c>
      <c r="BJ135" s="62">
        <f t="shared" si="146"/>
        <v>154.08406475869634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-5.6843418860808015E-14</v>
      </c>
      <c r="BZ135" s="14">
        <f>BY135*VLOOKUP('Données projet'!$B$12,Paramètres!$A$1:$I$89,3,0)*VLOOKUP('Données projet'!$B$12,Paramètres!$A$1:$I$89,5,0)</f>
        <v>-3.813056537183002E-14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218.24409784339861</v>
      </c>
      <c r="CE135" s="62">
        <f t="shared" si="148"/>
        <v>118.89963447540509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257.80952690600492</v>
      </c>
      <c r="T136" s="62">
        <f t="shared" si="142"/>
        <v>269.95358755269427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0.43386136339232056</v>
      </c>
      <c r="AA136" s="23">
        <f>EXP(-LN(2)/25)*AA135+(1-EXP(-LN(2)/25))/(LN(2)/25)*Calculateur!V136*Calculateur!X136*VLOOKUP('Données projet'!$B$9,Paramètres!$A$1:$I$89,3,0)*0.475*44/12</f>
        <v>0.46663410012743423</v>
      </c>
      <c r="AB136" s="23">
        <f>EXP(-LN(2)/2)*AB135+(1-EXP(-LN(2)/2))/(LN(2)/2)*V136*Y136*VLOOKUP('Données projet'!$B$9,Paramètres!$A$1:$I$89,3,0)*0.475*44/12</f>
        <v>4.1405075745782548E-15</v>
      </c>
      <c r="AC136" s="24">
        <f t="shared" si="111"/>
        <v>0.90049546351975895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3.4106051316484809E-13</v>
      </c>
      <c r="AJ136" s="14">
        <f>AI136*VLOOKUP('Données projet'!$B$10,Paramètres!$A$1:$I$89,3,0)*VLOOKUP('Données projet'!$B$10,Paramètres!$A$1:$I$89,5,0)</f>
        <v>1.9508661353029313E-13</v>
      </c>
      <c r="AK136" s="14">
        <f t="shared" si="143"/>
        <v>2.711421636700695E-12</v>
      </c>
      <c r="AL136" s="22">
        <f t="shared" si="112"/>
        <v>5.0621685358189711E-12</v>
      </c>
      <c r="AM136" s="62">
        <f t="shared" si="113"/>
        <v>293.33333333333837</v>
      </c>
      <c r="AN136" s="62">
        <f ca="1">AVERAGE(OFFSET($AM$3,0,0,'Données projet'!$E$10+1,1))-AVERAGE(OFFSET($H$3,0,0,'Données projet'!$E$10+1,1))</f>
        <v>258.09881752732008</v>
      </c>
      <c r="AO136" s="62">
        <f t="shared" si="144"/>
        <v>214.72899476643335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4.3141282158996762E-16</v>
      </c>
      <c r="AX136" s="23">
        <f t="shared" si="114"/>
        <v>4.3141282158996762E-16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-5.6843418860808015E-14</v>
      </c>
      <c r="BE136" s="14">
        <f>BD136*VLOOKUP('Données projet'!$B$11,Paramètres!$A$1:$I$89,3,0)*VLOOKUP('Données projet'!$B$11,Paramètres!$A$1:$I$89,5,0)</f>
        <v>-5.4978954722173515E-14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298.18906674058809</v>
      </c>
      <c r="BJ136" s="62">
        <f t="shared" si="146"/>
        <v>154.08406475869634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-5.6843418860808015E-14</v>
      </c>
      <c r="BZ136" s="14">
        <f>BY136*VLOOKUP('Données projet'!$B$12,Paramètres!$A$1:$I$89,3,0)*VLOOKUP('Données projet'!$B$12,Paramètres!$A$1:$I$89,5,0)</f>
        <v>-3.813056537183002E-14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218.24409784339861</v>
      </c>
      <c r="CE136" s="62">
        <f t="shared" si="148"/>
        <v>118.89963447540509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257.80952690600492</v>
      </c>
      <c r="T137" s="62">
        <f t="shared" si="142"/>
        <v>269.95358755269427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0.42535360668549888</v>
      </c>
      <c r="AA137" s="23">
        <f>EXP(-LN(2)/25)*AA136+(1-EXP(-LN(2)/25))/(LN(2)/25)*Calculateur!V137*Calculateur!X137*VLOOKUP('Données projet'!$B$9,Paramètres!$A$1:$I$89,3,0)*0.475*44/12</f>
        <v>0.45387396612022873</v>
      </c>
      <c r="AB137" s="23">
        <f>EXP(-LN(2)/2)*AB136+(1-EXP(-LN(2)/2))/(LN(2)/2)*V137*Y137*VLOOKUP('Données projet'!$B$9,Paramètres!$A$1:$I$89,3,0)*0.475*44/12</f>
        <v>2.9277809835385486E-15</v>
      </c>
      <c r="AC137" s="24">
        <f t="shared" si="111"/>
        <v>0.8792275728057305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3.4106051316484809E-13</v>
      </c>
      <c r="AJ137" s="14">
        <f>AI137*VLOOKUP('Données projet'!$B$10,Paramètres!$A$1:$I$89,3,0)*VLOOKUP('Données projet'!$B$10,Paramètres!$A$1:$I$89,5,0)</f>
        <v>1.9508661353029313E-13</v>
      </c>
      <c r="AK137" s="14">
        <f t="shared" si="143"/>
        <v>2.711421636700695E-12</v>
      </c>
      <c r="AL137" s="22">
        <f t="shared" si="112"/>
        <v>5.0621685358189711E-12</v>
      </c>
      <c r="AM137" s="62">
        <f t="shared" si="113"/>
        <v>293.33333333333837</v>
      </c>
      <c r="AN137" s="62">
        <f ca="1">AVERAGE(OFFSET($AM$3,0,0,'Données projet'!$E$10+1,1))-AVERAGE(OFFSET($H$3,0,0,'Données projet'!$E$10+1,1))</f>
        <v>258.09881752732008</v>
      </c>
      <c r="AO137" s="62">
        <f t="shared" si="144"/>
        <v>214.72899476643335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3.0505493163708832E-16</v>
      </c>
      <c r="AX137" s="23">
        <f t="shared" si="114"/>
        <v>3.0505493163708832E-16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-5.6843418860808015E-14</v>
      </c>
      <c r="BE137" s="14">
        <f>BD137*VLOOKUP('Données projet'!$B$11,Paramètres!$A$1:$I$89,3,0)*VLOOKUP('Données projet'!$B$11,Paramètres!$A$1:$I$89,5,0)</f>
        <v>-5.4978954722173515E-14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298.18906674058809</v>
      </c>
      <c r="BJ137" s="62">
        <f t="shared" si="146"/>
        <v>154.08406475869634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-5.6843418860808015E-14</v>
      </c>
      <c r="BZ137" s="14">
        <f>BY137*VLOOKUP('Données projet'!$B$12,Paramètres!$A$1:$I$89,3,0)*VLOOKUP('Données projet'!$B$12,Paramètres!$A$1:$I$89,5,0)</f>
        <v>-3.813056537183002E-14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218.24409784339861</v>
      </c>
      <c r="CE137" s="62">
        <f t="shared" si="148"/>
        <v>118.89963447540509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257.80952690600492</v>
      </c>
      <c r="T138" s="62">
        <f t="shared" si="142"/>
        <v>269.95358755269427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0.41701268189847873</v>
      </c>
      <c r="AA138" s="23">
        <f>EXP(-LN(2)/25)*AA137+(1-EXP(-LN(2)/25))/(LN(2)/25)*Calculateur!V138*Calculateur!X138*VLOOKUP('Données projet'!$B$9,Paramètres!$A$1:$I$89,3,0)*0.475*44/12</f>
        <v>0.44146275864847656</v>
      </c>
      <c r="AB138" s="23">
        <f>EXP(-LN(2)/2)*AB137+(1-EXP(-LN(2)/2))/(LN(2)/2)*V138*Y138*VLOOKUP('Données projet'!$B$9,Paramètres!$A$1:$I$89,3,0)*0.475*44/12</f>
        <v>2.0702537872891274E-15</v>
      </c>
      <c r="AC138" s="24">
        <f t="shared" si="111"/>
        <v>0.85847544054695735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3.4106051316484809E-13</v>
      </c>
      <c r="AJ138" s="14">
        <f>AI138*VLOOKUP('Données projet'!$B$10,Paramètres!$A$1:$I$89,3,0)*VLOOKUP('Données projet'!$B$10,Paramètres!$A$1:$I$89,5,0)</f>
        <v>1.9508661353029313E-13</v>
      </c>
      <c r="AK138" s="14">
        <f t="shared" si="143"/>
        <v>2.711421636700695E-12</v>
      </c>
      <c r="AL138" s="22">
        <f t="shared" si="112"/>
        <v>5.0621685358189711E-12</v>
      </c>
      <c r="AM138" s="62">
        <f t="shared" si="113"/>
        <v>293.33333333333837</v>
      </c>
      <c r="AN138" s="62">
        <f ca="1">AVERAGE(OFFSET($AM$3,0,0,'Données projet'!$E$10+1,1))-AVERAGE(OFFSET($H$3,0,0,'Données projet'!$E$10+1,1))</f>
        <v>258.09881752732008</v>
      </c>
      <c r="AO138" s="62">
        <f t="shared" si="144"/>
        <v>214.72899476643335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2.1570641079498384E-16</v>
      </c>
      <c r="AX138" s="23">
        <f t="shared" si="114"/>
        <v>2.1570641079498384E-16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-5.6843418860808015E-14</v>
      </c>
      <c r="BE138" s="14">
        <f>BD138*VLOOKUP('Données projet'!$B$11,Paramètres!$A$1:$I$89,3,0)*VLOOKUP('Données projet'!$B$11,Paramètres!$A$1:$I$89,5,0)</f>
        <v>-5.4978954722173515E-14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298.18906674058809</v>
      </c>
      <c r="BJ138" s="62">
        <f t="shared" si="146"/>
        <v>154.08406475869634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-5.6843418860808015E-14</v>
      </c>
      <c r="BZ138" s="14">
        <f>BY138*VLOOKUP('Données projet'!$B$12,Paramètres!$A$1:$I$89,3,0)*VLOOKUP('Données projet'!$B$12,Paramètres!$A$1:$I$89,5,0)</f>
        <v>-3.813056537183002E-14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218.24409784339861</v>
      </c>
      <c r="CE138" s="62">
        <f t="shared" si="148"/>
        <v>118.89963447540509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257.80952690600492</v>
      </c>
      <c r="T139" s="62">
        <f t="shared" si="142"/>
        <v>269.95358755269427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0.40883531755907027</v>
      </c>
      <c r="AA139" s="23">
        <f>EXP(-LN(2)/25)*AA138+(1-EXP(-LN(2)/25))/(LN(2)/25)*Calculateur!V139*Calculateur!X139*VLOOKUP('Données projet'!$B$9,Paramètres!$A$1:$I$89,3,0)*0.475*44/12</f>
        <v>0.42939093629771646</v>
      </c>
      <c r="AB139" s="23">
        <f>EXP(-LN(2)/2)*AB138+(1-EXP(-LN(2)/2))/(LN(2)/2)*V139*Y139*VLOOKUP('Données projet'!$B$9,Paramètres!$A$1:$I$89,3,0)*0.475*44/12</f>
        <v>1.4638904917692743E-15</v>
      </c>
      <c r="AC139" s="24">
        <f t="shared" si="111"/>
        <v>0.83822625385678817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3.4106051316484809E-13</v>
      </c>
      <c r="AJ139" s="14">
        <f>AI139*VLOOKUP('Données projet'!$B$10,Paramètres!$A$1:$I$89,3,0)*VLOOKUP('Données projet'!$B$10,Paramètres!$A$1:$I$89,5,0)</f>
        <v>1.9508661353029313E-13</v>
      </c>
      <c r="AK139" s="14">
        <f t="shared" si="143"/>
        <v>2.711421636700695E-12</v>
      </c>
      <c r="AL139" s="22">
        <f t="shared" si="112"/>
        <v>5.0621685358189711E-12</v>
      </c>
      <c r="AM139" s="62">
        <f t="shared" si="113"/>
        <v>293.33333333333837</v>
      </c>
      <c r="AN139" s="62">
        <f ca="1">AVERAGE(OFFSET($AM$3,0,0,'Données projet'!$E$10+1,1))-AVERAGE(OFFSET($H$3,0,0,'Données projet'!$E$10+1,1))</f>
        <v>258.09881752732008</v>
      </c>
      <c r="AO139" s="62">
        <f t="shared" si="144"/>
        <v>214.72899476643335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1.5252746581854419E-16</v>
      </c>
      <c r="AX139" s="23">
        <f t="shared" si="114"/>
        <v>1.5252746581854419E-16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-5.6843418860808015E-14</v>
      </c>
      <c r="BE139" s="14">
        <f>BD139*VLOOKUP('Données projet'!$B$11,Paramètres!$A$1:$I$89,3,0)*VLOOKUP('Données projet'!$B$11,Paramètres!$A$1:$I$89,5,0)</f>
        <v>-5.4978954722173515E-14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298.18906674058809</v>
      </c>
      <c r="BJ139" s="62">
        <f t="shared" si="146"/>
        <v>154.08406475869634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-5.6843418860808015E-14</v>
      </c>
      <c r="BZ139" s="14">
        <f>BY139*VLOOKUP('Données projet'!$B$12,Paramètres!$A$1:$I$89,3,0)*VLOOKUP('Données projet'!$B$12,Paramètres!$A$1:$I$89,5,0)</f>
        <v>-3.813056537183002E-14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218.24409784339861</v>
      </c>
      <c r="CE139" s="62">
        <f t="shared" si="148"/>
        <v>118.89963447540509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257.80952690600492</v>
      </c>
      <c r="T140" s="62">
        <f t="shared" si="142"/>
        <v>269.95358755269427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0.40081830634665788</v>
      </c>
      <c r="AA140" s="23">
        <f>EXP(-LN(2)/25)*AA139+(1-EXP(-LN(2)/25))/(LN(2)/25)*Calculateur!V140*Calculateur!X140*VLOOKUP('Données projet'!$B$9,Paramètres!$A$1:$I$89,3,0)*0.475*44/12</f>
        <v>0.41764921856396747</v>
      </c>
      <c r="AB140" s="23">
        <f>EXP(-LN(2)/2)*AB139+(1-EXP(-LN(2)/2))/(LN(2)/2)*V140*Y140*VLOOKUP('Données projet'!$B$9,Paramètres!$A$1:$I$89,3,0)*0.475*44/12</f>
        <v>1.0351268936445637E-15</v>
      </c>
      <c r="AC140" s="24">
        <f t="shared" si="111"/>
        <v>0.81846752491062635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3.4106051316484809E-13</v>
      </c>
      <c r="AJ140" s="14">
        <f>AI140*VLOOKUP('Données projet'!$B$10,Paramètres!$A$1:$I$89,3,0)*VLOOKUP('Données projet'!$B$10,Paramètres!$A$1:$I$89,5,0)</f>
        <v>1.9508661353029313E-13</v>
      </c>
      <c r="AK140" s="14">
        <f t="shared" si="143"/>
        <v>2.711421636700695E-12</v>
      </c>
      <c r="AL140" s="22">
        <f t="shared" si="112"/>
        <v>5.0621685358189711E-12</v>
      </c>
      <c r="AM140" s="62">
        <f t="shared" si="113"/>
        <v>293.33333333333837</v>
      </c>
      <c r="AN140" s="62">
        <f ca="1">AVERAGE(OFFSET($AM$3,0,0,'Données projet'!$E$10+1,1))-AVERAGE(OFFSET($H$3,0,0,'Données projet'!$E$10+1,1))</f>
        <v>258.09881752732008</v>
      </c>
      <c r="AO140" s="62">
        <f t="shared" si="144"/>
        <v>214.72899476643335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1.0785320539749194E-16</v>
      </c>
      <c r="AX140" s="23">
        <f t="shared" si="114"/>
        <v>1.0785320539749194E-16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-5.6843418860808015E-14</v>
      </c>
      <c r="BE140" s="14">
        <f>BD140*VLOOKUP('Données projet'!$B$11,Paramètres!$A$1:$I$89,3,0)*VLOOKUP('Données projet'!$B$11,Paramètres!$A$1:$I$89,5,0)</f>
        <v>-5.4978954722173515E-14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298.18906674058809</v>
      </c>
      <c r="BJ140" s="62">
        <f t="shared" si="146"/>
        <v>154.08406475869634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-5.6843418860808015E-14</v>
      </c>
      <c r="BZ140" s="14">
        <f>BY140*VLOOKUP('Données projet'!$B$12,Paramètres!$A$1:$I$89,3,0)*VLOOKUP('Données projet'!$B$12,Paramètres!$A$1:$I$89,5,0)</f>
        <v>-3.813056537183002E-14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218.24409784339861</v>
      </c>
      <c r="CE140" s="62">
        <f t="shared" si="148"/>
        <v>118.89963447540509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257.80952690600492</v>
      </c>
      <c r="T141" s="62">
        <f t="shared" si="142"/>
        <v>269.95358755269427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0.39295850383422687</v>
      </c>
      <c r="AA141" s="23">
        <f>EXP(-LN(2)/25)*AA140+(1-EXP(-LN(2)/25))/(LN(2)/25)*Calculateur!V141*Calculateur!X141*VLOOKUP('Données projet'!$B$9,Paramètres!$A$1:$I$89,3,0)*0.475*44/12</f>
        <v>0.40622857871911794</v>
      </c>
      <c r="AB141" s="23">
        <f>EXP(-LN(2)/2)*AB140+(1-EXP(-LN(2)/2))/(LN(2)/2)*V141*Y141*VLOOKUP('Données projet'!$B$9,Paramètres!$A$1:$I$89,3,0)*0.475*44/12</f>
        <v>7.3194524588463716E-16</v>
      </c>
      <c r="AC141" s="24">
        <f t="shared" si="111"/>
        <v>0.79918708255334558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3.4106051316484809E-13</v>
      </c>
      <c r="AJ141" s="14">
        <f>AI141*VLOOKUP('Données projet'!$B$10,Paramètres!$A$1:$I$89,3,0)*VLOOKUP('Données projet'!$B$10,Paramètres!$A$1:$I$89,5,0)</f>
        <v>1.9508661353029313E-13</v>
      </c>
      <c r="AK141" s="14">
        <f t="shared" si="143"/>
        <v>2.711421636700695E-12</v>
      </c>
      <c r="AL141" s="22">
        <f t="shared" si="112"/>
        <v>5.0621685358189711E-12</v>
      </c>
      <c r="AM141" s="62">
        <f t="shared" si="113"/>
        <v>293.33333333333837</v>
      </c>
      <c r="AN141" s="62">
        <f ca="1">AVERAGE(OFFSET($AM$3,0,0,'Données projet'!$E$10+1,1))-AVERAGE(OFFSET($H$3,0,0,'Données projet'!$E$10+1,1))</f>
        <v>258.09881752732008</v>
      </c>
      <c r="AO141" s="62">
        <f t="shared" si="144"/>
        <v>214.72899476643335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7.6263732909272106E-17</v>
      </c>
      <c r="AX141" s="23">
        <f t="shared" si="114"/>
        <v>7.6263732909272106E-17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-5.6843418860808015E-14</v>
      </c>
      <c r="BE141" s="14">
        <f>BD141*VLOOKUP('Données projet'!$B$11,Paramètres!$A$1:$I$89,3,0)*VLOOKUP('Données projet'!$B$11,Paramètres!$A$1:$I$89,5,0)</f>
        <v>-5.4978954722173515E-14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298.18906674058809</v>
      </c>
      <c r="BJ141" s="62">
        <f t="shared" si="146"/>
        <v>154.08406475869634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-5.6843418860808015E-14</v>
      </c>
      <c r="BZ141" s="14">
        <f>BY141*VLOOKUP('Données projet'!$B$12,Paramètres!$A$1:$I$89,3,0)*VLOOKUP('Données projet'!$B$12,Paramètres!$A$1:$I$89,5,0)</f>
        <v>-3.813056537183002E-14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218.24409784339861</v>
      </c>
      <c r="CE141" s="62">
        <f t="shared" si="148"/>
        <v>118.89963447540509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257.80952690600492</v>
      </c>
      <c r="T142" s="62">
        <f t="shared" si="142"/>
        <v>269.95358755269427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0.38525282725505849</v>
      </c>
      <c r="AA142" s="23">
        <f>EXP(-LN(2)/25)*AA141+(1-EXP(-LN(2)/25))/(LN(2)/25)*Calculateur!V142*Calculateur!X142*VLOOKUP('Données projet'!$B$9,Paramètres!$A$1:$I$89,3,0)*0.475*44/12</f>
        <v>0.39512023687141118</v>
      </c>
      <c r="AB142" s="23">
        <f>EXP(-LN(2)/2)*AB141+(1-EXP(-LN(2)/2))/(LN(2)/2)*V142*Y142*VLOOKUP('Données projet'!$B$9,Paramètres!$A$1:$I$89,3,0)*0.475*44/12</f>
        <v>5.1756344682228185E-16</v>
      </c>
      <c r="AC142" s="24">
        <f t="shared" si="111"/>
        <v>0.78037306412647023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3.4106051316484809E-13</v>
      </c>
      <c r="AJ142" s="14">
        <f>AI142*VLOOKUP('Données projet'!$B$10,Paramètres!$A$1:$I$89,3,0)*VLOOKUP('Données projet'!$B$10,Paramètres!$A$1:$I$89,5,0)</f>
        <v>1.9508661353029313E-13</v>
      </c>
      <c r="AK142" s="14">
        <f t="shared" si="143"/>
        <v>2.711421636700695E-12</v>
      </c>
      <c r="AL142" s="22">
        <f t="shared" si="112"/>
        <v>5.0621685358189711E-12</v>
      </c>
      <c r="AM142" s="62">
        <f t="shared" si="113"/>
        <v>293.33333333333837</v>
      </c>
      <c r="AN142" s="62">
        <f ca="1">AVERAGE(OFFSET($AM$3,0,0,'Données projet'!$E$10+1,1))-AVERAGE(OFFSET($H$3,0,0,'Données projet'!$E$10+1,1))</f>
        <v>258.09881752732008</v>
      </c>
      <c r="AO142" s="62">
        <f t="shared" si="144"/>
        <v>214.72899476643335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5.3926602698745977E-17</v>
      </c>
      <c r="AX142" s="23">
        <f t="shared" si="114"/>
        <v>5.3926602698745977E-17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-5.6843418860808015E-14</v>
      </c>
      <c r="BE142" s="14">
        <f>BD142*VLOOKUP('Données projet'!$B$11,Paramètres!$A$1:$I$89,3,0)*VLOOKUP('Données projet'!$B$11,Paramètres!$A$1:$I$89,5,0)</f>
        <v>-5.4978954722173515E-14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298.18906674058809</v>
      </c>
      <c r="BJ142" s="62">
        <f t="shared" si="146"/>
        <v>154.08406475869634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-5.6843418860808015E-14</v>
      </c>
      <c r="BZ142" s="14">
        <f>BY142*VLOOKUP('Données projet'!$B$12,Paramètres!$A$1:$I$89,3,0)*VLOOKUP('Données projet'!$B$12,Paramètres!$A$1:$I$89,5,0)</f>
        <v>-3.813056537183002E-14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218.24409784339861</v>
      </c>
      <c r="CE142" s="62">
        <f t="shared" si="148"/>
        <v>118.89963447540509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257.80952690600492</v>
      </c>
      <c r="T143" s="62">
        <f t="shared" si="142"/>
        <v>269.95358755269427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0.37769825429360898</v>
      </c>
      <c r="AA143" s="23">
        <f>EXP(-LN(2)/25)*AA142+(1-EXP(-LN(2)/25))/(LN(2)/25)*Calculateur!V143*Calculateur!X143*VLOOKUP('Données projet'!$B$9,Paramètres!$A$1:$I$89,3,0)*0.475*44/12</f>
        <v>0.38431565321569222</v>
      </c>
      <c r="AB143" s="23">
        <f>EXP(-LN(2)/2)*AB142+(1-EXP(-LN(2)/2))/(LN(2)/2)*V143*Y143*VLOOKUP('Données projet'!$B$9,Paramètres!$A$1:$I$89,3,0)*0.475*44/12</f>
        <v>3.6597262294231858E-16</v>
      </c>
      <c r="AC143" s="24">
        <f t="shared" si="111"/>
        <v>0.76201390750930154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3.4106051316484809E-13</v>
      </c>
      <c r="AJ143" s="14">
        <f>AI143*VLOOKUP('Données projet'!$B$10,Paramètres!$A$1:$I$89,3,0)*VLOOKUP('Données projet'!$B$10,Paramètres!$A$1:$I$89,5,0)</f>
        <v>1.9508661353029313E-13</v>
      </c>
      <c r="AK143" s="14">
        <f t="shared" si="143"/>
        <v>2.711421636700695E-12</v>
      </c>
      <c r="AL143" s="22">
        <f t="shared" si="112"/>
        <v>5.0621685358189711E-12</v>
      </c>
      <c r="AM143" s="62">
        <f t="shared" si="113"/>
        <v>293.33333333333837</v>
      </c>
      <c r="AN143" s="62">
        <f ca="1">AVERAGE(OFFSET($AM$3,0,0,'Données projet'!$E$10+1,1))-AVERAGE(OFFSET($H$3,0,0,'Données projet'!$E$10+1,1))</f>
        <v>258.09881752732008</v>
      </c>
      <c r="AO143" s="62">
        <f t="shared" si="144"/>
        <v>214.72899476643335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3.8131866454636059E-17</v>
      </c>
      <c r="AX143" s="23">
        <f t="shared" si="114"/>
        <v>3.8131866454636059E-17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-5.6843418860808015E-14</v>
      </c>
      <c r="BE143" s="14">
        <f>BD143*VLOOKUP('Données projet'!$B$11,Paramètres!$A$1:$I$89,3,0)*VLOOKUP('Données projet'!$B$11,Paramètres!$A$1:$I$89,5,0)</f>
        <v>-5.4978954722173515E-14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298.18906674058809</v>
      </c>
      <c r="BJ143" s="62">
        <f t="shared" si="146"/>
        <v>154.08406475869634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-5.6843418860808015E-14</v>
      </c>
      <c r="BZ143" s="14">
        <f>BY143*VLOOKUP('Données projet'!$B$12,Paramètres!$A$1:$I$89,3,0)*VLOOKUP('Données projet'!$B$12,Paramètres!$A$1:$I$89,5,0)</f>
        <v>-3.813056537183002E-14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218.24409784339861</v>
      </c>
      <c r="CE143" s="62">
        <f t="shared" si="148"/>
        <v>118.89963447540509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257.80952690600492</v>
      </c>
      <c r="T144" s="62">
        <f t="shared" si="142"/>
        <v>269.95358755269427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0.37029182190009896</v>
      </c>
      <c r="AA144" s="23">
        <f>EXP(-LN(2)/25)*AA143+(1-EXP(-LN(2)/25))/(LN(2)/25)*Calculateur!V144*Calculateur!X144*VLOOKUP('Données projet'!$B$9,Paramètres!$A$1:$I$89,3,0)*0.475*44/12</f>
        <v>0.37380652146822729</v>
      </c>
      <c r="AB144" s="23">
        <f>EXP(-LN(2)/2)*AB143+(1-EXP(-LN(2)/2))/(LN(2)/2)*V144*Y144*VLOOKUP('Données projet'!$B$9,Paramètres!$A$1:$I$89,3,0)*0.475*44/12</f>
        <v>2.5878172341114092E-16</v>
      </c>
      <c r="AC144" s="24">
        <f t="shared" si="111"/>
        <v>0.74409834336832648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3.4106051316484809E-13</v>
      </c>
      <c r="AJ144" s="14">
        <f>AI144*VLOOKUP('Données projet'!$B$10,Paramètres!$A$1:$I$89,3,0)*VLOOKUP('Données projet'!$B$10,Paramètres!$A$1:$I$89,5,0)</f>
        <v>1.9508661353029313E-13</v>
      </c>
      <c r="AK144" s="14">
        <f t="shared" si="143"/>
        <v>2.711421636700695E-12</v>
      </c>
      <c r="AL144" s="22">
        <f t="shared" si="112"/>
        <v>5.0621685358189711E-12</v>
      </c>
      <c r="AM144" s="62">
        <f t="shared" si="113"/>
        <v>293.33333333333837</v>
      </c>
      <c r="AN144" s="62">
        <f ca="1">AVERAGE(OFFSET($AM$3,0,0,'Données projet'!$E$10+1,1))-AVERAGE(OFFSET($H$3,0,0,'Données projet'!$E$10+1,1))</f>
        <v>258.09881752732008</v>
      </c>
      <c r="AO144" s="62">
        <f t="shared" si="144"/>
        <v>214.72899476643335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2.6963301349372992E-17</v>
      </c>
      <c r="AX144" s="23">
        <f t="shared" si="114"/>
        <v>2.6963301349372992E-17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-5.6843418860808015E-14</v>
      </c>
      <c r="BE144" s="14">
        <f>BD144*VLOOKUP('Données projet'!$B$11,Paramètres!$A$1:$I$89,3,0)*VLOOKUP('Données projet'!$B$11,Paramètres!$A$1:$I$89,5,0)</f>
        <v>-5.4978954722173515E-14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298.18906674058809</v>
      </c>
      <c r="BJ144" s="62">
        <f t="shared" si="146"/>
        <v>154.08406475869634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-5.6843418860808015E-14</v>
      </c>
      <c r="BZ144" s="14">
        <f>BY144*VLOOKUP('Données projet'!$B$12,Paramètres!$A$1:$I$89,3,0)*VLOOKUP('Données projet'!$B$12,Paramètres!$A$1:$I$89,5,0)</f>
        <v>-3.813056537183002E-14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218.24409784339861</v>
      </c>
      <c r="CE144" s="62">
        <f t="shared" si="148"/>
        <v>118.89963447540509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257.80952690600492</v>
      </c>
      <c r="T145" s="62">
        <f t="shared" si="142"/>
        <v>269.95358755269427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0.36303062512834799</v>
      </c>
      <c r="AA145" s="23">
        <f>EXP(-LN(2)/25)*AA144+(1-EXP(-LN(2)/25))/(LN(2)/25)*Calculateur!V145*Calculateur!X145*VLOOKUP('Données projet'!$B$9,Paramètres!$A$1:$I$89,3,0)*0.475*44/12</f>
        <v>0.36358476248104799</v>
      </c>
      <c r="AB145" s="23">
        <f>EXP(-LN(2)/2)*AB144+(1-EXP(-LN(2)/2))/(LN(2)/2)*V145*Y145*VLOOKUP('Données projet'!$B$9,Paramètres!$A$1:$I$89,3,0)*0.475*44/12</f>
        <v>1.8298631147115929E-16</v>
      </c>
      <c r="AC145" s="24">
        <f t="shared" si="111"/>
        <v>0.72661538760939615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3.4106051316484809E-13</v>
      </c>
      <c r="AJ145" s="14">
        <f>AI145*VLOOKUP('Données projet'!$B$10,Paramètres!$A$1:$I$89,3,0)*VLOOKUP('Données projet'!$B$10,Paramètres!$A$1:$I$89,5,0)</f>
        <v>1.9508661353029313E-13</v>
      </c>
      <c r="AK145" s="14">
        <f t="shared" si="143"/>
        <v>2.711421636700695E-12</v>
      </c>
      <c r="AL145" s="22">
        <f t="shared" si="112"/>
        <v>5.0621685358189711E-12</v>
      </c>
      <c r="AM145" s="62">
        <f t="shared" si="113"/>
        <v>293.33333333333837</v>
      </c>
      <c r="AN145" s="62">
        <f ca="1">AVERAGE(OFFSET($AM$3,0,0,'Données projet'!$E$10+1,1))-AVERAGE(OFFSET($H$3,0,0,'Données projet'!$E$10+1,1))</f>
        <v>258.09881752732008</v>
      </c>
      <c r="AO145" s="62">
        <f t="shared" si="144"/>
        <v>214.72899476643335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1.9065933227318033E-17</v>
      </c>
      <c r="AX145" s="23">
        <f t="shared" si="114"/>
        <v>1.9065933227318033E-17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-5.6843418860808015E-14</v>
      </c>
      <c r="BE145" s="14">
        <f>BD145*VLOOKUP('Données projet'!$B$11,Paramètres!$A$1:$I$89,3,0)*VLOOKUP('Données projet'!$B$11,Paramètres!$A$1:$I$89,5,0)</f>
        <v>-5.4978954722173515E-14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298.18906674058809</v>
      </c>
      <c r="BJ145" s="62">
        <f t="shared" si="146"/>
        <v>154.08406475869634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-5.6843418860808015E-14</v>
      </c>
      <c r="BZ145" s="14">
        <f>BY145*VLOOKUP('Données projet'!$B$12,Paramètres!$A$1:$I$89,3,0)*VLOOKUP('Données projet'!$B$12,Paramètres!$A$1:$I$89,5,0)</f>
        <v>-3.813056537183002E-14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218.24409784339861</v>
      </c>
      <c r="CE145" s="62">
        <f t="shared" si="148"/>
        <v>118.89963447540509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257.80952690600492</v>
      </c>
      <c r="T146" s="62">
        <f t="shared" si="142"/>
        <v>269.95358755269427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0.35591181599639832</v>
      </c>
      <c r="AA146" s="23">
        <f>EXP(-LN(2)/25)*AA145+(1-EXP(-LN(2)/25))/(LN(2)/25)*Calculateur!V146*Calculateur!X146*VLOOKUP('Données projet'!$B$9,Paramètres!$A$1:$I$89,3,0)*0.475*44/12</f>
        <v>0.35364251803091207</v>
      </c>
      <c r="AB146" s="23">
        <f>EXP(-LN(2)/2)*AB145+(1-EXP(-LN(2)/2))/(LN(2)/2)*V146*Y146*VLOOKUP('Données projet'!$B$9,Paramètres!$A$1:$I$89,3,0)*0.475*44/12</f>
        <v>1.2939086170557046E-16</v>
      </c>
      <c r="AC146" s="24">
        <f t="shared" si="111"/>
        <v>0.7095543340273105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3.4106051316484809E-13</v>
      </c>
      <c r="AJ146" s="14">
        <f>AI146*VLOOKUP('Données projet'!$B$10,Paramètres!$A$1:$I$89,3,0)*VLOOKUP('Données projet'!$B$10,Paramètres!$A$1:$I$89,5,0)</f>
        <v>1.9508661353029313E-13</v>
      </c>
      <c r="AK146" s="14">
        <f t="shared" si="143"/>
        <v>2.711421636700695E-12</v>
      </c>
      <c r="AL146" s="22">
        <f t="shared" si="112"/>
        <v>5.0621685358189711E-12</v>
      </c>
      <c r="AM146" s="62">
        <f t="shared" si="113"/>
        <v>293.33333333333837</v>
      </c>
      <c r="AN146" s="62">
        <f ca="1">AVERAGE(OFFSET($AM$3,0,0,'Données projet'!$E$10+1,1))-AVERAGE(OFFSET($H$3,0,0,'Données projet'!$E$10+1,1))</f>
        <v>258.09881752732008</v>
      </c>
      <c r="AO146" s="62">
        <f t="shared" si="144"/>
        <v>214.72899476643335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1.3481650674686499E-17</v>
      </c>
      <c r="AX146" s="23">
        <f t="shared" si="114"/>
        <v>1.3481650674686499E-17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-5.6843418860808015E-14</v>
      </c>
      <c r="BE146" s="14">
        <f>BD146*VLOOKUP('Données projet'!$B$11,Paramètres!$A$1:$I$89,3,0)*VLOOKUP('Données projet'!$B$11,Paramètres!$A$1:$I$89,5,0)</f>
        <v>-5.4978954722173515E-14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298.18906674058809</v>
      </c>
      <c r="BJ146" s="62">
        <f t="shared" si="146"/>
        <v>154.08406475869634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-5.6843418860808015E-14</v>
      </c>
      <c r="BZ146" s="14">
        <f>BY146*VLOOKUP('Données projet'!$B$12,Paramètres!$A$1:$I$89,3,0)*VLOOKUP('Données projet'!$B$12,Paramètres!$A$1:$I$89,5,0)</f>
        <v>-3.813056537183002E-14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218.24409784339861</v>
      </c>
      <c r="CE146" s="62">
        <f t="shared" si="148"/>
        <v>118.89963447540509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257.80952690600492</v>
      </c>
      <c r="T147" s="62">
        <f t="shared" si="142"/>
        <v>269.95358755269427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0.34893260236948137</v>
      </c>
      <c r="AA147" s="23">
        <f>EXP(-LN(2)/25)*AA146+(1-EXP(-LN(2)/25))/(LN(2)/25)*Calculateur!V147*Calculateur!X147*VLOOKUP('Données projet'!$B$9,Paramètres!$A$1:$I$89,3,0)*0.475*44/12</f>
        <v>0.343972144778105</v>
      </c>
      <c r="AB147" s="23">
        <f>EXP(-LN(2)/2)*AB146+(1-EXP(-LN(2)/2))/(LN(2)/2)*V147*Y147*VLOOKUP('Données projet'!$B$9,Paramètres!$A$1:$I$89,3,0)*0.475*44/12</f>
        <v>9.1493155735579645E-17</v>
      </c>
      <c r="AC147" s="24">
        <f t="shared" si="111"/>
        <v>0.69290474714758654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3.4106051316484809E-13</v>
      </c>
      <c r="AJ147" s="14">
        <f>AI147*VLOOKUP('Données projet'!$B$10,Paramètres!$A$1:$I$89,3,0)*VLOOKUP('Données projet'!$B$10,Paramètres!$A$1:$I$89,5,0)</f>
        <v>1.9508661353029313E-13</v>
      </c>
      <c r="AK147" s="14">
        <f t="shared" si="143"/>
        <v>2.711421636700695E-12</v>
      </c>
      <c r="AL147" s="22">
        <f t="shared" si="112"/>
        <v>5.0621685358189711E-12</v>
      </c>
      <c r="AM147" s="62">
        <f t="shared" si="113"/>
        <v>293.33333333333837</v>
      </c>
      <c r="AN147" s="62">
        <f ca="1">AVERAGE(OFFSET($AM$3,0,0,'Données projet'!$E$10+1,1))-AVERAGE(OFFSET($H$3,0,0,'Données projet'!$E$10+1,1))</f>
        <v>258.09881752732008</v>
      </c>
      <c r="AO147" s="62">
        <f t="shared" si="144"/>
        <v>214.72899476643335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9.5329666136590178E-18</v>
      </c>
      <c r="AX147" s="23">
        <f t="shared" si="114"/>
        <v>9.5329666136590178E-18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-5.6843418860808015E-14</v>
      </c>
      <c r="BE147" s="14">
        <f>BD147*VLOOKUP('Données projet'!$B$11,Paramètres!$A$1:$I$89,3,0)*VLOOKUP('Données projet'!$B$11,Paramètres!$A$1:$I$89,5,0)</f>
        <v>-5.4978954722173515E-14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298.18906674058809</v>
      </c>
      <c r="BJ147" s="62">
        <f t="shared" si="146"/>
        <v>154.08406475869634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-5.6843418860808015E-14</v>
      </c>
      <c r="BZ147" s="14">
        <f>BY147*VLOOKUP('Données projet'!$B$12,Paramètres!$A$1:$I$89,3,0)*VLOOKUP('Données projet'!$B$12,Paramètres!$A$1:$I$89,5,0)</f>
        <v>-3.813056537183002E-14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218.24409784339861</v>
      </c>
      <c r="CE147" s="62">
        <f t="shared" si="148"/>
        <v>118.89963447540509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257.80952690600492</v>
      </c>
      <c r="T148" s="62">
        <f t="shared" si="142"/>
        <v>269.95358755269427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0.34209024686488826</v>
      </c>
      <c r="AA148" s="23">
        <f>EXP(-LN(2)/25)*AA147+(1-EXP(-LN(2)/25))/(LN(2)/25)*Calculateur!V148*Calculateur!X148*VLOOKUP('Données projet'!$B$9,Paramètres!$A$1:$I$89,3,0)*0.475*44/12</f>
        <v>0.33456620839043877</v>
      </c>
      <c r="AB148" s="23">
        <f>EXP(-LN(2)/2)*AB147+(1-EXP(-LN(2)/2))/(LN(2)/2)*V148*Y148*VLOOKUP('Données projet'!$B$9,Paramètres!$A$1:$I$89,3,0)*0.475*44/12</f>
        <v>6.4695430852785231E-17</v>
      </c>
      <c r="AC148" s="24">
        <f t="shared" si="111"/>
        <v>0.67665645525532714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3.4106051316484809E-13</v>
      </c>
      <c r="AJ148" s="14">
        <f>AI148*VLOOKUP('Données projet'!$B$10,Paramètres!$A$1:$I$89,3,0)*VLOOKUP('Données projet'!$B$10,Paramètres!$A$1:$I$89,5,0)</f>
        <v>1.9508661353029313E-13</v>
      </c>
      <c r="AK148" s="14">
        <f t="shared" si="143"/>
        <v>2.711421636700695E-12</v>
      </c>
      <c r="AL148" s="22">
        <f t="shared" si="112"/>
        <v>5.0621685358189711E-12</v>
      </c>
      <c r="AM148" s="62">
        <f t="shared" si="113"/>
        <v>293.33333333333837</v>
      </c>
      <c r="AN148" s="62">
        <f ca="1">AVERAGE(OFFSET($AM$3,0,0,'Données projet'!$E$10+1,1))-AVERAGE(OFFSET($H$3,0,0,'Données projet'!$E$10+1,1))</f>
        <v>258.09881752732008</v>
      </c>
      <c r="AO148" s="62">
        <f t="shared" si="144"/>
        <v>214.72899476643335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6.7408253373432503E-18</v>
      </c>
      <c r="AX148" s="23">
        <f t="shared" si="114"/>
        <v>6.7408253373432503E-18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-5.6843418860808015E-14</v>
      </c>
      <c r="BE148" s="14">
        <f>BD148*VLOOKUP('Données projet'!$B$11,Paramètres!$A$1:$I$89,3,0)*VLOOKUP('Données projet'!$B$11,Paramètres!$A$1:$I$89,5,0)</f>
        <v>-5.4978954722173515E-14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298.18906674058809</v>
      </c>
      <c r="BJ148" s="62">
        <f t="shared" si="146"/>
        <v>154.08406475869634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-5.6843418860808015E-14</v>
      </c>
      <c r="BZ148" s="14">
        <f>BY148*VLOOKUP('Données projet'!$B$12,Paramètres!$A$1:$I$89,3,0)*VLOOKUP('Données projet'!$B$12,Paramètres!$A$1:$I$89,5,0)</f>
        <v>-3.813056537183002E-14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218.24409784339861</v>
      </c>
      <c r="CE148" s="62">
        <f t="shared" si="148"/>
        <v>118.89963447540509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257.80952690600492</v>
      </c>
      <c r="T149" s="62">
        <f t="shared" si="142"/>
        <v>269.95358755269427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0.33538206577831547</v>
      </c>
      <c r="AA149" s="23">
        <f>EXP(-LN(2)/25)*AA148+(1-EXP(-LN(2)/25))/(LN(2)/25)*Calculateur!V149*Calculateur!X149*VLOOKUP('Données projet'!$B$9,Paramètres!$A$1:$I$89,3,0)*0.475*44/12</f>
        <v>0.32541747782792996</v>
      </c>
      <c r="AB149" s="23">
        <f>EXP(-LN(2)/2)*AB148+(1-EXP(-LN(2)/2))/(LN(2)/2)*V149*Y149*VLOOKUP('Données projet'!$B$9,Paramètres!$A$1:$I$89,3,0)*0.475*44/12</f>
        <v>4.5746577867789822E-17</v>
      </c>
      <c r="AC149" s="24">
        <f t="shared" si="111"/>
        <v>0.66079954360624549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3.4106051316484809E-13</v>
      </c>
      <c r="AJ149" s="14">
        <f>AI149*VLOOKUP('Données projet'!$B$10,Paramètres!$A$1:$I$89,3,0)*VLOOKUP('Données projet'!$B$10,Paramètres!$A$1:$I$89,5,0)</f>
        <v>1.9508661353029313E-13</v>
      </c>
      <c r="AK149" s="14">
        <f t="shared" si="143"/>
        <v>2.711421636700695E-12</v>
      </c>
      <c r="AL149" s="22">
        <f t="shared" si="112"/>
        <v>5.0621685358189711E-12</v>
      </c>
      <c r="AM149" s="62">
        <f t="shared" si="113"/>
        <v>293.33333333333837</v>
      </c>
      <c r="AN149" s="62">
        <f ca="1">AVERAGE(OFFSET($AM$3,0,0,'Données projet'!$E$10+1,1))-AVERAGE(OFFSET($H$3,0,0,'Données projet'!$E$10+1,1))</f>
        <v>258.09881752732008</v>
      </c>
      <c r="AO149" s="62">
        <f t="shared" si="144"/>
        <v>214.72899476643335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4.7664833068295097E-18</v>
      </c>
      <c r="AX149" s="23">
        <f t="shared" si="114"/>
        <v>4.7664833068295097E-18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-5.6843418860808015E-14</v>
      </c>
      <c r="BE149" s="14">
        <f>BD149*VLOOKUP('Données projet'!$B$11,Paramètres!$A$1:$I$89,3,0)*VLOOKUP('Données projet'!$B$11,Paramètres!$A$1:$I$89,5,0)</f>
        <v>-5.4978954722173515E-14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298.18906674058809</v>
      </c>
      <c r="BJ149" s="62">
        <f t="shared" si="146"/>
        <v>154.08406475869634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-5.6843418860808015E-14</v>
      </c>
      <c r="BZ149" s="14">
        <f>BY149*VLOOKUP('Données projet'!$B$12,Paramètres!$A$1:$I$89,3,0)*VLOOKUP('Données projet'!$B$12,Paramètres!$A$1:$I$89,5,0)</f>
        <v>-3.813056537183002E-14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218.24409784339861</v>
      </c>
      <c r="CE149" s="62">
        <f t="shared" si="148"/>
        <v>118.89963447540509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257.80952690600492</v>
      </c>
      <c r="T150" s="62">
        <f t="shared" si="142"/>
        <v>269.95358755269427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0.32880542803126395</v>
      </c>
      <c r="AA150" s="23">
        <f>EXP(-LN(2)/25)*AA149+(1-EXP(-LN(2)/25))/(LN(2)/25)*Calculateur!V150*Calculateur!X150*VLOOKUP('Données projet'!$B$9,Paramètres!$A$1:$I$89,3,0)*0.475*44/12</f>
        <v>0.31651891978376379</v>
      </c>
      <c r="AB150" s="23">
        <f>EXP(-LN(2)/2)*AB149+(1-EXP(-LN(2)/2))/(LN(2)/2)*V150*Y150*VLOOKUP('Données projet'!$B$9,Paramètres!$A$1:$I$89,3,0)*0.475*44/12</f>
        <v>3.2347715426392616E-17</v>
      </c>
      <c r="AC150" s="24">
        <f t="shared" si="111"/>
        <v>0.64532434781502768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3.4106051316484809E-13</v>
      </c>
      <c r="AJ150" s="14">
        <f>AI150*VLOOKUP('Données projet'!$B$10,Paramètres!$A$1:$I$89,3,0)*VLOOKUP('Données projet'!$B$10,Paramètres!$A$1:$I$89,5,0)</f>
        <v>1.9508661353029313E-13</v>
      </c>
      <c r="AK150" s="14">
        <f t="shared" si="143"/>
        <v>2.711421636700695E-12</v>
      </c>
      <c r="AL150" s="22">
        <f t="shared" si="112"/>
        <v>5.0621685358189711E-12</v>
      </c>
      <c r="AM150" s="62">
        <f t="shared" si="113"/>
        <v>293.33333333333837</v>
      </c>
      <c r="AN150" s="62">
        <f ca="1">AVERAGE(OFFSET($AM$3,0,0,'Données projet'!$E$10+1,1))-AVERAGE(OFFSET($H$3,0,0,'Données projet'!$E$10+1,1))</f>
        <v>258.09881752732008</v>
      </c>
      <c r="AO150" s="62">
        <f t="shared" si="144"/>
        <v>214.72899476643335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3.3704126686716259E-18</v>
      </c>
      <c r="AX150" s="23">
        <f t="shared" si="114"/>
        <v>3.3704126686716259E-18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-5.6843418860808015E-14</v>
      </c>
      <c r="BE150" s="14">
        <f>BD150*VLOOKUP('Données projet'!$B$11,Paramètres!$A$1:$I$89,3,0)*VLOOKUP('Données projet'!$B$11,Paramètres!$A$1:$I$89,5,0)</f>
        <v>-5.4978954722173515E-14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298.18906674058809</v>
      </c>
      <c r="BJ150" s="62">
        <f t="shared" si="146"/>
        <v>154.08406475869634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-5.6843418860808015E-14</v>
      </c>
      <c r="BZ150" s="14">
        <f>BY150*VLOOKUP('Données projet'!$B$12,Paramètres!$A$1:$I$89,3,0)*VLOOKUP('Données projet'!$B$12,Paramètres!$A$1:$I$89,5,0)</f>
        <v>-3.813056537183002E-14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218.24409784339861</v>
      </c>
      <c r="CE150" s="62">
        <f t="shared" si="148"/>
        <v>118.89963447540509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257.80952690600492</v>
      </c>
      <c r="T151" s="62">
        <f t="shared" si="142"/>
        <v>269.95358755269427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0.32235775413907913</v>
      </c>
      <c r="AA151" s="23">
        <f>EXP(-LN(2)/25)*AA150+(1-EXP(-LN(2)/25))/(LN(2)/25)*Calculateur!V151*Calculateur!X151*VLOOKUP('Données projet'!$B$9,Paramètres!$A$1:$I$89,3,0)*0.475*44/12</f>
        <v>0.3078636932772702</v>
      </c>
      <c r="AB151" s="23">
        <f>EXP(-LN(2)/2)*AB150+(1-EXP(-LN(2)/2))/(LN(2)/2)*V151*Y151*VLOOKUP('Données projet'!$B$9,Paramètres!$A$1:$I$89,3,0)*0.475*44/12</f>
        <v>2.2873288933894911E-17</v>
      </c>
      <c r="AC151" s="24">
        <f t="shared" si="111"/>
        <v>0.63022144741634933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3.4106051316484809E-13</v>
      </c>
      <c r="AJ151" s="14">
        <f>AI151*VLOOKUP('Données projet'!$B$10,Paramètres!$A$1:$I$89,3,0)*VLOOKUP('Données projet'!$B$10,Paramètres!$A$1:$I$89,5,0)</f>
        <v>1.9508661353029313E-13</v>
      </c>
      <c r="AK151" s="14">
        <f t="shared" si="143"/>
        <v>2.711421636700695E-12</v>
      </c>
      <c r="AL151" s="22">
        <f t="shared" si="112"/>
        <v>5.0621685358189711E-12</v>
      </c>
      <c r="AM151" s="62">
        <f t="shared" si="113"/>
        <v>293.33333333333837</v>
      </c>
      <c r="AN151" s="62">
        <f ca="1">AVERAGE(OFFSET($AM$3,0,0,'Données projet'!$E$10+1,1))-AVERAGE(OFFSET($H$3,0,0,'Données projet'!$E$10+1,1))</f>
        <v>258.09881752732008</v>
      </c>
      <c r="AO151" s="62">
        <f t="shared" si="144"/>
        <v>214.72899476643335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2.3832416534147552E-18</v>
      </c>
      <c r="AX151" s="23">
        <f t="shared" si="114"/>
        <v>2.3832416534147552E-18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-5.6843418860808015E-14</v>
      </c>
      <c r="BE151" s="14">
        <f>BD151*VLOOKUP('Données projet'!$B$11,Paramètres!$A$1:$I$89,3,0)*VLOOKUP('Données projet'!$B$11,Paramètres!$A$1:$I$89,5,0)</f>
        <v>-5.4978954722173515E-14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298.18906674058809</v>
      </c>
      <c r="BJ151" s="62">
        <f t="shared" si="146"/>
        <v>154.08406475869634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-5.6843418860808015E-14</v>
      </c>
      <c r="BZ151" s="14">
        <f>BY151*VLOOKUP('Données projet'!$B$12,Paramètres!$A$1:$I$89,3,0)*VLOOKUP('Données projet'!$B$12,Paramètres!$A$1:$I$89,5,0)</f>
        <v>-3.813056537183002E-14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218.24409784339861</v>
      </c>
      <c r="CE151" s="62">
        <f t="shared" si="148"/>
        <v>118.89963447540509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257.80952690600492</v>
      </c>
      <c r="T152" s="62">
        <f t="shared" si="142"/>
        <v>269.95358755269427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0.31603651519922732</v>
      </c>
      <c r="AA152" s="23">
        <f>EXP(-LN(2)/25)*AA151+(1-EXP(-LN(2)/25))/(LN(2)/25)*Calculateur!V152*Calculateur!X152*VLOOKUP('Données projet'!$B$9,Paramètres!$A$1:$I$89,3,0)*0.475*44/12</f>
        <v>0.29944514439475522</v>
      </c>
      <c r="AB152" s="23">
        <f>EXP(-LN(2)/2)*AB151+(1-EXP(-LN(2)/2))/(LN(2)/2)*V152*Y152*VLOOKUP('Données projet'!$B$9,Paramètres!$A$1:$I$89,3,0)*0.475*44/12</f>
        <v>1.6173857713196308E-17</v>
      </c>
      <c r="AC152" s="24">
        <f t="shared" si="111"/>
        <v>0.61548165959398249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3.4106051316484809E-13</v>
      </c>
      <c r="AJ152" s="14">
        <f>AI152*VLOOKUP('Données projet'!$B$10,Paramètres!$A$1:$I$89,3,0)*VLOOKUP('Données projet'!$B$10,Paramètres!$A$1:$I$89,5,0)</f>
        <v>1.9508661353029313E-13</v>
      </c>
      <c r="AK152" s="14">
        <f t="shared" si="143"/>
        <v>2.711421636700695E-12</v>
      </c>
      <c r="AL152" s="22">
        <f t="shared" si="112"/>
        <v>5.0621685358189711E-12</v>
      </c>
      <c r="AM152" s="62">
        <f t="shared" si="113"/>
        <v>293.33333333333837</v>
      </c>
      <c r="AN152" s="62">
        <f ca="1">AVERAGE(OFFSET($AM$3,0,0,'Données projet'!$E$10+1,1))-AVERAGE(OFFSET($H$3,0,0,'Données projet'!$E$10+1,1))</f>
        <v>258.09881752732008</v>
      </c>
      <c r="AO152" s="62">
        <f t="shared" si="144"/>
        <v>214.72899476643335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1.6852063343358131E-18</v>
      </c>
      <c r="AX152" s="23">
        <f t="shared" si="114"/>
        <v>1.6852063343358131E-18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-5.6843418860808015E-14</v>
      </c>
      <c r="BE152" s="14">
        <f>BD152*VLOOKUP('Données projet'!$B$11,Paramètres!$A$1:$I$89,3,0)*VLOOKUP('Données projet'!$B$11,Paramètres!$A$1:$I$89,5,0)</f>
        <v>-5.4978954722173515E-14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298.18906674058809</v>
      </c>
      <c r="BJ152" s="62">
        <f t="shared" si="146"/>
        <v>154.08406475869634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-5.6843418860808015E-14</v>
      </c>
      <c r="BZ152" s="14">
        <f>BY152*VLOOKUP('Données projet'!$B$12,Paramètres!$A$1:$I$89,3,0)*VLOOKUP('Données projet'!$B$12,Paramètres!$A$1:$I$89,5,0)</f>
        <v>-3.813056537183002E-14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218.24409784339861</v>
      </c>
      <c r="CE152" s="62">
        <f t="shared" si="148"/>
        <v>118.89963447540509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257.80952690600492</v>
      </c>
      <c r="T153" s="62">
        <f t="shared" si="142"/>
        <v>269.95358755269427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0.30983923189941093</v>
      </c>
      <c r="AA153" s="23">
        <f>EXP(-LN(2)/25)*AA152+(1-EXP(-LN(2)/25))/(LN(2)/25)*Calculateur!V153*Calculateur!X153*VLOOKUP('Données projet'!$B$9,Paramètres!$A$1:$I$89,3,0)*0.475*44/12</f>
        <v>0.29125680117414487</v>
      </c>
      <c r="AB153" s="23">
        <f>EXP(-LN(2)/2)*AB152+(1-EXP(-LN(2)/2))/(LN(2)/2)*V153*Y153*VLOOKUP('Données projet'!$B$9,Paramètres!$A$1:$I$89,3,0)*0.475*44/12</f>
        <v>1.1436644466947456E-17</v>
      </c>
      <c r="AC153" s="24">
        <f t="shared" si="111"/>
        <v>0.60109603307355575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3.4106051316484809E-13</v>
      </c>
      <c r="AJ153" s="14">
        <f>AI153*VLOOKUP('Données projet'!$B$10,Paramètres!$A$1:$I$89,3,0)*VLOOKUP('Données projet'!$B$10,Paramètres!$A$1:$I$89,5,0)</f>
        <v>1.9508661353029313E-13</v>
      </c>
      <c r="AK153" s="14">
        <f t="shared" si="143"/>
        <v>2.711421636700695E-12</v>
      </c>
      <c r="AL153" s="22">
        <f t="shared" si="112"/>
        <v>5.0621685358189711E-12</v>
      </c>
      <c r="AM153" s="62">
        <f t="shared" si="113"/>
        <v>293.33333333333837</v>
      </c>
      <c r="AN153" s="62">
        <f ca="1">AVERAGE(OFFSET($AM$3,0,0,'Données projet'!$E$10+1,1))-AVERAGE(OFFSET($H$3,0,0,'Données projet'!$E$10+1,1))</f>
        <v>258.09881752732008</v>
      </c>
      <c r="AO153" s="62">
        <f t="shared" si="144"/>
        <v>214.72899476643335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1.1916208267073778E-18</v>
      </c>
      <c r="AX153" s="23">
        <f t="shared" si="114"/>
        <v>1.1916208267073778E-18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-5.6843418860808015E-14</v>
      </c>
      <c r="BE153" s="14">
        <f>BD153*VLOOKUP('Données projet'!$B$11,Paramètres!$A$1:$I$89,3,0)*VLOOKUP('Données projet'!$B$11,Paramètres!$A$1:$I$89,5,0)</f>
        <v>-5.4978954722173515E-14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298.18906674058809</v>
      </c>
      <c r="BJ153" s="62">
        <f t="shared" si="146"/>
        <v>154.08406475869634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-5.6843418860808015E-14</v>
      </c>
      <c r="BZ153" s="14">
        <f>BY153*VLOOKUP('Données projet'!$B$12,Paramètres!$A$1:$I$89,3,0)*VLOOKUP('Données projet'!$B$12,Paramètres!$A$1:$I$89,5,0)</f>
        <v>-3.813056537183002E-14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218.24409784339861</v>
      </c>
      <c r="CE153" s="62">
        <f t="shared" si="148"/>
        <v>118.89963447540509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257.80952690600492</v>
      </c>
      <c r="T154" s="62">
        <f t="shared" si="142"/>
        <v>269.95358755269427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0.30376347354513439</v>
      </c>
      <c r="AA154" s="23">
        <f>EXP(-LN(2)/25)*AA153+(1-EXP(-LN(2)/25))/(LN(2)/25)*Calculateur!V154*Calculateur!X154*VLOOKUP('Données projet'!$B$9,Paramètres!$A$1:$I$89,3,0)*0.475*44/12</f>
        <v>0.28329236862950841</v>
      </c>
      <c r="AB154" s="23">
        <f>EXP(-LN(2)/2)*AB153+(1-EXP(-LN(2)/2))/(LN(2)/2)*V154*Y154*VLOOKUP('Données projet'!$B$9,Paramètres!$A$1:$I$89,3,0)*0.475*44/12</f>
        <v>8.0869288565981539E-18</v>
      </c>
      <c r="AC154" s="24">
        <f t="shared" ref="AC154:AC203" si="163">SUM(Z154:AB154)</f>
        <v>0.58705584217464279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3.4106051316484809E-13</v>
      </c>
      <c r="AJ154" s="14">
        <f>AI154*VLOOKUP('Données projet'!$B$10,Paramètres!$A$1:$I$89,3,0)*VLOOKUP('Données projet'!$B$10,Paramètres!$A$1:$I$89,5,0)</f>
        <v>1.9508661353029313E-13</v>
      </c>
      <c r="AK154" s="14">
        <f t="shared" ref="AK154:AK203" si="164">EXP(-1.0587+0.8836*LN(AJ154)+0.284)</f>
        <v>2.711421636700695E-12</v>
      </c>
      <c r="AL154" s="22">
        <f t="shared" ref="AL154:AL203" si="165">(AJ154+AK154)*0.475*44/12</f>
        <v>5.0621685358189711E-12</v>
      </c>
      <c r="AM154" s="62">
        <f t="shared" si="113"/>
        <v>293.33333333333837</v>
      </c>
      <c r="AN154" s="62">
        <f ca="1">AVERAGE(OFFSET($AM$3,0,0,'Données projet'!$E$10+1,1))-AVERAGE(OFFSET($H$3,0,0,'Données projet'!$E$10+1,1))</f>
        <v>258.09881752732008</v>
      </c>
      <c r="AO154" s="62">
        <f t="shared" si="144"/>
        <v>214.72899476643335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8.4260316716790676E-19</v>
      </c>
      <c r="AX154" s="23">
        <f t="shared" ref="AX154:AX203" si="166">SUM(AU154:AW154)</f>
        <v>8.4260316716790676E-19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-5.6843418860808015E-14</v>
      </c>
      <c r="BE154" s="14">
        <f>BD154*VLOOKUP('Données projet'!$B$11,Paramètres!$A$1:$I$89,3,0)*VLOOKUP('Données projet'!$B$11,Paramètres!$A$1:$I$89,5,0)</f>
        <v>-5.4978954722173515E-14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298.18906674058809</v>
      </c>
      <c r="BJ154" s="62">
        <f t="shared" si="146"/>
        <v>154.08406475869634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-5.6843418860808015E-14</v>
      </c>
      <c r="BZ154" s="14">
        <f>BY154*VLOOKUP('Données projet'!$B$12,Paramètres!$A$1:$I$89,3,0)*VLOOKUP('Données projet'!$B$12,Paramètres!$A$1:$I$89,5,0)</f>
        <v>-3.813056537183002E-14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218.24409784339861</v>
      </c>
      <c r="CE154" s="62">
        <f t="shared" si="148"/>
        <v>118.89963447540509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257.80952690600492</v>
      </c>
      <c r="T155" s="62">
        <f t="shared" si="142"/>
        <v>269.95358755269427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0.29780685710633853</v>
      </c>
      <c r="AA155" s="23">
        <f>EXP(-LN(2)/25)*AA154+(1-EXP(-LN(2)/25))/(LN(2)/25)*Calculateur!V155*Calculateur!X155*VLOOKUP('Données projet'!$B$9,Paramètres!$A$1:$I$89,3,0)*0.475*44/12</f>
        <v>0.27554572391163629</v>
      </c>
      <c r="AB155" s="23">
        <f>EXP(-LN(2)/2)*AB154+(1-EXP(-LN(2)/2))/(LN(2)/2)*V155*Y155*VLOOKUP('Données projet'!$B$9,Paramètres!$A$1:$I$89,3,0)*0.475*44/12</f>
        <v>5.7183222334737278E-18</v>
      </c>
      <c r="AC155" s="24">
        <f t="shared" si="163"/>
        <v>0.57335258101797482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3.4106051316484809E-13</v>
      </c>
      <c r="AJ155" s="14">
        <f>AI155*VLOOKUP('Données projet'!$B$10,Paramètres!$A$1:$I$89,3,0)*VLOOKUP('Données projet'!$B$10,Paramètres!$A$1:$I$89,5,0)</f>
        <v>1.9508661353029313E-13</v>
      </c>
      <c r="AK155" s="14">
        <f t="shared" si="164"/>
        <v>2.711421636700695E-12</v>
      </c>
      <c r="AL155" s="22">
        <f t="shared" si="165"/>
        <v>5.0621685358189711E-12</v>
      </c>
      <c r="AM155" s="62">
        <f t="shared" si="113"/>
        <v>293.33333333333837</v>
      </c>
      <c r="AN155" s="62">
        <f ca="1">AVERAGE(OFFSET($AM$3,0,0,'Données projet'!$E$10+1,1))-AVERAGE(OFFSET($H$3,0,0,'Données projet'!$E$10+1,1))</f>
        <v>258.09881752732008</v>
      </c>
      <c r="AO155" s="62">
        <f t="shared" si="144"/>
        <v>214.72899476643335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5.95810413353689E-19</v>
      </c>
      <c r="AX155" s="23">
        <f t="shared" si="166"/>
        <v>5.95810413353689E-19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-5.6843418860808015E-14</v>
      </c>
      <c r="BE155" s="14">
        <f>BD155*VLOOKUP('Données projet'!$B$11,Paramètres!$A$1:$I$89,3,0)*VLOOKUP('Données projet'!$B$11,Paramètres!$A$1:$I$89,5,0)</f>
        <v>-5.4978954722173515E-14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298.18906674058809</v>
      </c>
      <c r="BJ155" s="62">
        <f t="shared" si="146"/>
        <v>154.08406475869634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-5.6843418860808015E-14</v>
      </c>
      <c r="BZ155" s="14">
        <f>BY155*VLOOKUP('Données projet'!$B$12,Paramètres!$A$1:$I$89,3,0)*VLOOKUP('Données projet'!$B$12,Paramètres!$A$1:$I$89,5,0)</f>
        <v>-3.813056537183002E-14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218.24409784339861</v>
      </c>
      <c r="CE155" s="62">
        <f t="shared" si="148"/>
        <v>118.89963447540509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257.80952690600492</v>
      </c>
      <c r="T156" s="62">
        <f t="shared" si="142"/>
        <v>269.95358755269427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0.29196704628273018</v>
      </c>
      <c r="AA156" s="23">
        <f>EXP(-LN(2)/25)*AA155+(1-EXP(-LN(2)/25))/(LN(2)/25)*Calculateur!V156*Calculateur!X156*VLOOKUP('Données projet'!$B$9,Paramètres!$A$1:$I$89,3,0)*0.475*44/12</f>
        <v>0.26801091160095275</v>
      </c>
      <c r="AB156" s="23">
        <f>EXP(-LN(2)/2)*AB155+(1-EXP(-LN(2)/2))/(LN(2)/2)*V156*Y156*VLOOKUP('Données projet'!$B$9,Paramètres!$A$1:$I$89,3,0)*0.475*44/12</f>
        <v>4.0434644282990769E-18</v>
      </c>
      <c r="AC156" s="24">
        <f t="shared" si="163"/>
        <v>0.55997795788368299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3.4106051316484809E-13</v>
      </c>
      <c r="AJ156" s="14">
        <f>AI156*VLOOKUP('Données projet'!$B$10,Paramètres!$A$1:$I$89,3,0)*VLOOKUP('Données projet'!$B$10,Paramètres!$A$1:$I$89,5,0)</f>
        <v>1.9508661353029313E-13</v>
      </c>
      <c r="AK156" s="14">
        <f t="shared" si="164"/>
        <v>2.711421636700695E-12</v>
      </c>
      <c r="AL156" s="22">
        <f t="shared" si="165"/>
        <v>5.0621685358189711E-12</v>
      </c>
      <c r="AM156" s="62">
        <f t="shared" si="113"/>
        <v>293.33333333333837</v>
      </c>
      <c r="AN156" s="62">
        <f ca="1">AVERAGE(OFFSET($AM$3,0,0,'Données projet'!$E$10+1,1))-AVERAGE(OFFSET($H$3,0,0,'Données projet'!$E$10+1,1))</f>
        <v>258.09881752732008</v>
      </c>
      <c r="AO156" s="62">
        <f t="shared" si="144"/>
        <v>214.72899476643335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4.2130158358395343E-19</v>
      </c>
      <c r="AX156" s="23">
        <f t="shared" si="166"/>
        <v>4.2130158358395343E-19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-5.6843418860808015E-14</v>
      </c>
      <c r="BE156" s="14">
        <f>BD156*VLOOKUP('Données projet'!$B$11,Paramètres!$A$1:$I$89,3,0)*VLOOKUP('Données projet'!$B$11,Paramètres!$A$1:$I$89,5,0)</f>
        <v>-5.4978954722173515E-14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298.18906674058809</v>
      </c>
      <c r="BJ156" s="62">
        <f t="shared" si="146"/>
        <v>154.08406475869634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-5.6843418860808015E-14</v>
      </c>
      <c r="BZ156" s="14">
        <f>BY156*VLOOKUP('Données projet'!$B$12,Paramètres!$A$1:$I$89,3,0)*VLOOKUP('Données projet'!$B$12,Paramètres!$A$1:$I$89,5,0)</f>
        <v>-3.813056537183002E-14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218.24409784339861</v>
      </c>
      <c r="CE156" s="62">
        <f t="shared" si="148"/>
        <v>118.89963447540509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257.80952690600492</v>
      </c>
      <c r="T157" s="62">
        <f t="shared" si="142"/>
        <v>269.95358755269427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0.28624175058743989</v>
      </c>
      <c r="AA157" s="23">
        <f>EXP(-LN(2)/25)*AA156+(1-EXP(-LN(2)/25))/(LN(2)/25)*Calculateur!V157*Calculateur!X157*VLOOKUP('Données projet'!$B$9,Paramètres!$A$1:$I$89,3,0)*0.475*44/12</f>
        <v>0.2606821391291434</v>
      </c>
      <c r="AB157" s="23">
        <f>EXP(-LN(2)/2)*AB156+(1-EXP(-LN(2)/2))/(LN(2)/2)*V157*Y157*VLOOKUP('Données projet'!$B$9,Paramètres!$A$1:$I$89,3,0)*0.475*44/12</f>
        <v>2.8591611167368639E-18</v>
      </c>
      <c r="AC157" s="24">
        <f t="shared" si="163"/>
        <v>0.54692388971658334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3.4106051316484809E-13</v>
      </c>
      <c r="AJ157" s="14">
        <f>AI157*VLOOKUP('Données projet'!$B$10,Paramètres!$A$1:$I$89,3,0)*VLOOKUP('Données projet'!$B$10,Paramètres!$A$1:$I$89,5,0)</f>
        <v>1.9508661353029313E-13</v>
      </c>
      <c r="AK157" s="14">
        <f t="shared" si="164"/>
        <v>2.711421636700695E-12</v>
      </c>
      <c r="AL157" s="22">
        <f t="shared" si="165"/>
        <v>5.0621685358189711E-12</v>
      </c>
      <c r="AM157" s="62">
        <f t="shared" si="113"/>
        <v>293.33333333333837</v>
      </c>
      <c r="AN157" s="62">
        <f ca="1">AVERAGE(OFFSET($AM$3,0,0,'Données projet'!$E$10+1,1))-AVERAGE(OFFSET($H$3,0,0,'Données projet'!$E$10+1,1))</f>
        <v>258.09881752732008</v>
      </c>
      <c r="AO157" s="62">
        <f t="shared" si="144"/>
        <v>214.72899476643335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2.9790520667684455E-19</v>
      </c>
      <c r="AX157" s="23">
        <f t="shared" si="166"/>
        <v>2.9790520667684455E-19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-5.6843418860808015E-14</v>
      </c>
      <c r="BE157" s="14">
        <f>BD157*VLOOKUP('Données projet'!$B$11,Paramètres!$A$1:$I$89,3,0)*VLOOKUP('Données projet'!$B$11,Paramètres!$A$1:$I$89,5,0)</f>
        <v>-5.4978954722173515E-14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298.18906674058809</v>
      </c>
      <c r="BJ157" s="62">
        <f t="shared" si="146"/>
        <v>154.08406475869634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-5.6843418860808015E-14</v>
      </c>
      <c r="BZ157" s="14">
        <f>BY157*VLOOKUP('Données projet'!$B$12,Paramètres!$A$1:$I$89,3,0)*VLOOKUP('Données projet'!$B$12,Paramètres!$A$1:$I$89,5,0)</f>
        <v>-3.813056537183002E-14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218.24409784339861</v>
      </c>
      <c r="CE157" s="62">
        <f t="shared" si="148"/>
        <v>118.89963447540509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257.80952690600492</v>
      </c>
      <c r="T158" s="62">
        <f t="shared" si="142"/>
        <v>269.95358755269427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0.28062872444864873</v>
      </c>
      <c r="AA158" s="23">
        <f>EXP(-LN(2)/25)*AA157+(1-EXP(-LN(2)/25))/(LN(2)/25)*Calculateur!V158*Calculateur!X158*VLOOKUP('Données projet'!$B$9,Paramètres!$A$1:$I$89,3,0)*0.475*44/12</f>
        <v>0.25355377232597909</v>
      </c>
      <c r="AB158" s="23">
        <f>EXP(-LN(2)/2)*AB157+(1-EXP(-LN(2)/2))/(LN(2)/2)*V158*Y158*VLOOKUP('Données projet'!$B$9,Paramètres!$A$1:$I$89,3,0)*0.475*44/12</f>
        <v>2.0217322141495385E-18</v>
      </c>
      <c r="AC158" s="24">
        <f t="shared" si="163"/>
        <v>0.53418249677462781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3.4106051316484809E-13</v>
      </c>
      <c r="AJ158" s="14">
        <f>AI158*VLOOKUP('Données projet'!$B$10,Paramètres!$A$1:$I$89,3,0)*VLOOKUP('Données projet'!$B$10,Paramètres!$A$1:$I$89,5,0)</f>
        <v>1.9508661353029313E-13</v>
      </c>
      <c r="AK158" s="14">
        <f t="shared" si="164"/>
        <v>2.711421636700695E-12</v>
      </c>
      <c r="AL158" s="22">
        <f t="shared" si="165"/>
        <v>5.0621685358189711E-12</v>
      </c>
      <c r="AM158" s="62">
        <f t="shared" si="113"/>
        <v>293.33333333333837</v>
      </c>
      <c r="AN158" s="62">
        <f ca="1">AVERAGE(OFFSET($AM$3,0,0,'Données projet'!$E$10+1,1))-AVERAGE(OFFSET($H$3,0,0,'Données projet'!$E$10+1,1))</f>
        <v>258.09881752732008</v>
      </c>
      <c r="AO158" s="62">
        <f t="shared" si="144"/>
        <v>214.72899476643335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2.1065079179197674E-19</v>
      </c>
      <c r="AX158" s="23">
        <f t="shared" si="166"/>
        <v>2.1065079179197674E-19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-5.6843418860808015E-14</v>
      </c>
      <c r="BE158" s="14">
        <f>BD158*VLOOKUP('Données projet'!$B$11,Paramètres!$A$1:$I$89,3,0)*VLOOKUP('Données projet'!$B$11,Paramètres!$A$1:$I$89,5,0)</f>
        <v>-5.4978954722173515E-14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298.18906674058809</v>
      </c>
      <c r="BJ158" s="62">
        <f t="shared" si="146"/>
        <v>154.08406475869634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-5.6843418860808015E-14</v>
      </c>
      <c r="BZ158" s="14">
        <f>BY158*VLOOKUP('Données projet'!$B$12,Paramètres!$A$1:$I$89,3,0)*VLOOKUP('Données projet'!$B$12,Paramètres!$A$1:$I$89,5,0)</f>
        <v>-3.813056537183002E-14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218.24409784339861</v>
      </c>
      <c r="CE158" s="62">
        <f t="shared" si="148"/>
        <v>118.89963447540509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257.80952690600492</v>
      </c>
      <c r="T159" s="62">
        <f t="shared" si="142"/>
        <v>269.95358755269427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0.27512576632883134</v>
      </c>
      <c r="AA159" s="23">
        <f>EXP(-LN(2)/25)*AA158+(1-EXP(-LN(2)/25))/(LN(2)/25)*Calculateur!V159*Calculateur!X159*VLOOKUP('Données projet'!$B$9,Paramètres!$A$1:$I$89,3,0)*0.475*44/12</f>
        <v>0.24662033108791181</v>
      </c>
      <c r="AB159" s="23">
        <f>EXP(-LN(2)/2)*AB158+(1-EXP(-LN(2)/2))/(LN(2)/2)*V159*Y159*VLOOKUP('Données projet'!$B$9,Paramètres!$A$1:$I$89,3,0)*0.475*44/12</f>
        <v>1.4295805583684319E-18</v>
      </c>
      <c r="AC159" s="24">
        <f t="shared" si="163"/>
        <v>0.52174609741674316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3.4106051316484809E-13</v>
      </c>
      <c r="AJ159" s="14">
        <f>AI159*VLOOKUP('Données projet'!$B$10,Paramètres!$A$1:$I$89,3,0)*VLOOKUP('Données projet'!$B$10,Paramètres!$A$1:$I$89,5,0)</f>
        <v>1.9508661353029313E-13</v>
      </c>
      <c r="AK159" s="14">
        <f t="shared" si="164"/>
        <v>2.711421636700695E-12</v>
      </c>
      <c r="AL159" s="22">
        <f t="shared" si="165"/>
        <v>5.0621685358189711E-12</v>
      </c>
      <c r="AM159" s="62">
        <f t="shared" si="113"/>
        <v>293.33333333333837</v>
      </c>
      <c r="AN159" s="62">
        <f ca="1">AVERAGE(OFFSET($AM$3,0,0,'Données projet'!$E$10+1,1))-AVERAGE(OFFSET($H$3,0,0,'Données projet'!$E$10+1,1))</f>
        <v>258.09881752732008</v>
      </c>
      <c r="AO159" s="62">
        <f t="shared" si="144"/>
        <v>214.72899476643335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1.489526033384223E-19</v>
      </c>
      <c r="AX159" s="23">
        <f t="shared" si="166"/>
        <v>1.489526033384223E-19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-5.6843418860808015E-14</v>
      </c>
      <c r="BE159" s="14">
        <f>BD159*VLOOKUP('Données projet'!$B$11,Paramètres!$A$1:$I$89,3,0)*VLOOKUP('Données projet'!$B$11,Paramètres!$A$1:$I$89,5,0)</f>
        <v>-5.4978954722173515E-14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298.18906674058809</v>
      </c>
      <c r="BJ159" s="62">
        <f t="shared" si="146"/>
        <v>154.08406475869634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-5.6843418860808015E-14</v>
      </c>
      <c r="BZ159" s="14">
        <f>BY159*VLOOKUP('Données projet'!$B$12,Paramètres!$A$1:$I$89,3,0)*VLOOKUP('Données projet'!$B$12,Paramètres!$A$1:$I$89,5,0)</f>
        <v>-3.813056537183002E-14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218.24409784339861</v>
      </c>
      <c r="CE159" s="62">
        <f t="shared" si="148"/>
        <v>118.89963447540509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257.80952690600492</v>
      </c>
      <c r="T160" s="62">
        <f t="shared" si="142"/>
        <v>269.95358755269427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0.26973071786127056</v>
      </c>
      <c r="AA160" s="23">
        <f>EXP(-LN(2)/25)*AA159+(1-EXP(-LN(2)/25))/(LN(2)/25)*Calculateur!V160*Calculateur!X160*VLOOKUP('Données projet'!$B$9,Paramètres!$A$1:$I$89,3,0)*0.475*44/12</f>
        <v>0.23987648516511331</v>
      </c>
      <c r="AB160" s="23">
        <f>EXP(-LN(2)/2)*AB159+(1-EXP(-LN(2)/2))/(LN(2)/2)*V160*Y160*VLOOKUP('Données projet'!$B$9,Paramètres!$A$1:$I$89,3,0)*0.475*44/12</f>
        <v>1.0108661070747692E-18</v>
      </c>
      <c r="AC160" s="24">
        <f t="shared" si="163"/>
        <v>0.50960720302638385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3.4106051316484809E-13</v>
      </c>
      <c r="AJ160" s="14">
        <f>AI160*VLOOKUP('Données projet'!$B$10,Paramètres!$A$1:$I$89,3,0)*VLOOKUP('Données projet'!$B$10,Paramètres!$A$1:$I$89,5,0)</f>
        <v>1.9508661353029313E-13</v>
      </c>
      <c r="AK160" s="14">
        <f t="shared" si="164"/>
        <v>2.711421636700695E-12</v>
      </c>
      <c r="AL160" s="22">
        <f t="shared" si="165"/>
        <v>5.0621685358189711E-12</v>
      </c>
      <c r="AM160" s="62">
        <f t="shared" si="113"/>
        <v>293.33333333333837</v>
      </c>
      <c r="AN160" s="62">
        <f ca="1">AVERAGE(OFFSET($AM$3,0,0,'Données projet'!$E$10+1,1))-AVERAGE(OFFSET($H$3,0,0,'Données projet'!$E$10+1,1))</f>
        <v>258.09881752732008</v>
      </c>
      <c r="AO160" s="62">
        <f t="shared" si="144"/>
        <v>214.72899476643335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1.0532539589598839E-19</v>
      </c>
      <c r="AX160" s="23">
        <f t="shared" si="166"/>
        <v>1.0532539589598839E-19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-5.6843418860808015E-14</v>
      </c>
      <c r="BE160" s="14">
        <f>BD160*VLOOKUP('Données projet'!$B$11,Paramètres!$A$1:$I$89,3,0)*VLOOKUP('Données projet'!$B$11,Paramètres!$A$1:$I$89,5,0)</f>
        <v>-5.4978954722173515E-14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298.18906674058809</v>
      </c>
      <c r="BJ160" s="62">
        <f t="shared" si="146"/>
        <v>154.08406475869634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-5.6843418860808015E-14</v>
      </c>
      <c r="BZ160" s="14">
        <f>BY160*VLOOKUP('Données projet'!$B$12,Paramètres!$A$1:$I$89,3,0)*VLOOKUP('Données projet'!$B$12,Paramètres!$A$1:$I$89,5,0)</f>
        <v>-3.813056537183002E-14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218.24409784339861</v>
      </c>
      <c r="CE160" s="62">
        <f t="shared" si="148"/>
        <v>118.89963447540509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257.80952690600492</v>
      </c>
      <c r="T161" s="62">
        <f t="shared" si="142"/>
        <v>269.95358755269427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0.26444146300350402</v>
      </c>
      <c r="AA161" s="23">
        <f>EXP(-LN(2)/25)*AA160+(1-EXP(-LN(2)/25))/(LN(2)/25)*Calculateur!V161*Calculateur!X161*VLOOKUP('Données projet'!$B$9,Paramètres!$A$1:$I$89,3,0)*0.475*44/12</f>
        <v>0.23331705006371717</v>
      </c>
      <c r="AB161" s="23">
        <f>EXP(-LN(2)/2)*AB160+(1-EXP(-LN(2)/2))/(LN(2)/2)*V161*Y161*VLOOKUP('Données projet'!$B$9,Paramètres!$A$1:$I$89,3,0)*0.475*44/12</f>
        <v>7.1479027918421597E-19</v>
      </c>
      <c r="AC161" s="24">
        <f t="shared" si="163"/>
        <v>0.49775851306722119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3.4106051316484809E-13</v>
      </c>
      <c r="AJ161" s="14">
        <f>AI161*VLOOKUP('Données projet'!$B$10,Paramètres!$A$1:$I$89,3,0)*VLOOKUP('Données projet'!$B$10,Paramètres!$A$1:$I$89,5,0)</f>
        <v>1.9508661353029313E-13</v>
      </c>
      <c r="AK161" s="14">
        <f t="shared" si="164"/>
        <v>2.711421636700695E-12</v>
      </c>
      <c r="AL161" s="22">
        <f t="shared" si="165"/>
        <v>5.0621685358189711E-12</v>
      </c>
      <c r="AM161" s="62">
        <f t="shared" si="113"/>
        <v>293.33333333333837</v>
      </c>
      <c r="AN161" s="62">
        <f ca="1">AVERAGE(OFFSET($AM$3,0,0,'Données projet'!$E$10+1,1))-AVERAGE(OFFSET($H$3,0,0,'Données projet'!$E$10+1,1))</f>
        <v>258.09881752732008</v>
      </c>
      <c r="AO161" s="62">
        <f t="shared" si="144"/>
        <v>214.72899476643335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7.4476301669211161E-20</v>
      </c>
      <c r="AX161" s="23">
        <f t="shared" si="166"/>
        <v>7.4476301669211161E-20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-5.6843418860808015E-14</v>
      </c>
      <c r="BE161" s="14">
        <f>BD161*VLOOKUP('Données projet'!$B$11,Paramètres!$A$1:$I$89,3,0)*VLOOKUP('Données projet'!$B$11,Paramètres!$A$1:$I$89,5,0)</f>
        <v>-5.4978954722173515E-14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298.18906674058809</v>
      </c>
      <c r="BJ161" s="62">
        <f t="shared" si="146"/>
        <v>154.08406475869634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-5.6843418860808015E-14</v>
      </c>
      <c r="BZ161" s="14">
        <f>BY161*VLOOKUP('Données projet'!$B$12,Paramètres!$A$1:$I$89,3,0)*VLOOKUP('Données projet'!$B$12,Paramètres!$A$1:$I$89,5,0)</f>
        <v>-3.813056537183002E-14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218.24409784339861</v>
      </c>
      <c r="CE161" s="62">
        <f t="shared" si="148"/>
        <v>118.89963447540509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257.80952690600492</v>
      </c>
      <c r="T162" s="62">
        <f t="shared" si="142"/>
        <v>269.95358755269427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0.25925592720737134</v>
      </c>
      <c r="AA162" s="23">
        <f>EXP(-LN(2)/25)*AA161+(1-EXP(-LN(2)/25))/(LN(2)/25)*Calculateur!V162*Calculateur!X162*VLOOKUP('Données projet'!$B$9,Paramètres!$A$1:$I$89,3,0)*0.475*44/12</f>
        <v>0.22693698306011442</v>
      </c>
      <c r="AB162" s="23">
        <f>EXP(-LN(2)/2)*AB161+(1-EXP(-LN(2)/2))/(LN(2)/2)*V162*Y162*VLOOKUP('Données projet'!$B$9,Paramètres!$A$1:$I$89,3,0)*0.475*44/12</f>
        <v>5.0543305353738462E-19</v>
      </c>
      <c r="AC162" s="24">
        <f t="shared" si="163"/>
        <v>0.48619291026748579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3.4106051316484809E-13</v>
      </c>
      <c r="AJ162" s="14">
        <f>AI162*VLOOKUP('Données projet'!$B$10,Paramètres!$A$1:$I$89,3,0)*VLOOKUP('Données projet'!$B$10,Paramètres!$A$1:$I$89,5,0)</f>
        <v>1.9508661353029313E-13</v>
      </c>
      <c r="AK162" s="14">
        <f t="shared" si="164"/>
        <v>2.711421636700695E-12</v>
      </c>
      <c r="AL162" s="22">
        <f t="shared" si="165"/>
        <v>5.0621685358189711E-12</v>
      </c>
      <c r="AM162" s="62">
        <f t="shared" si="113"/>
        <v>293.33333333333837</v>
      </c>
      <c r="AN162" s="62">
        <f ca="1">AVERAGE(OFFSET($AM$3,0,0,'Données projet'!$E$10+1,1))-AVERAGE(OFFSET($H$3,0,0,'Données projet'!$E$10+1,1))</f>
        <v>258.09881752732008</v>
      </c>
      <c r="AO162" s="62">
        <f t="shared" si="144"/>
        <v>214.72899476643335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5.2662697947994203E-20</v>
      </c>
      <c r="AX162" s="23">
        <f t="shared" si="166"/>
        <v>5.2662697947994203E-20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-5.6843418860808015E-14</v>
      </c>
      <c r="BE162" s="14">
        <f>BD162*VLOOKUP('Données projet'!$B$11,Paramètres!$A$1:$I$89,3,0)*VLOOKUP('Données projet'!$B$11,Paramètres!$A$1:$I$89,5,0)</f>
        <v>-5.4978954722173515E-14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298.18906674058809</v>
      </c>
      <c r="BJ162" s="62">
        <f t="shared" si="146"/>
        <v>154.08406475869634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-5.6843418860808015E-14</v>
      </c>
      <c r="BZ162" s="14">
        <f>BY162*VLOOKUP('Données projet'!$B$12,Paramètres!$A$1:$I$89,3,0)*VLOOKUP('Données projet'!$B$12,Paramètres!$A$1:$I$89,5,0)</f>
        <v>-3.813056537183002E-14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218.24409784339861</v>
      </c>
      <c r="CE162" s="62">
        <f t="shared" si="148"/>
        <v>118.89963447540509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257.80952690600492</v>
      </c>
      <c r="T163" s="62">
        <f t="shared" si="142"/>
        <v>269.95358755269427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0.25417207660533631</v>
      </c>
      <c r="AA163" s="23">
        <f>EXP(-LN(2)/25)*AA162+(1-EXP(-LN(2)/25))/(LN(2)/25)*Calculateur!V163*Calculateur!X163*VLOOKUP('Données projet'!$B$9,Paramètres!$A$1:$I$89,3,0)*0.475*44/12</f>
        <v>0.22073137932423834</v>
      </c>
      <c r="AB163" s="23">
        <f>EXP(-LN(2)/2)*AB162+(1-EXP(-LN(2)/2))/(LN(2)/2)*V163*Y163*VLOOKUP('Données projet'!$B$9,Paramètres!$A$1:$I$89,3,0)*0.475*44/12</f>
        <v>3.5739513959210799E-19</v>
      </c>
      <c r="AC163" s="24">
        <f t="shared" si="163"/>
        <v>0.47490345592957461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3.4106051316484809E-13</v>
      </c>
      <c r="AJ163" s="14">
        <f>AI163*VLOOKUP('Données projet'!$B$10,Paramètres!$A$1:$I$89,3,0)*VLOOKUP('Données projet'!$B$10,Paramètres!$A$1:$I$89,5,0)</f>
        <v>1.9508661353029313E-13</v>
      </c>
      <c r="AK163" s="14">
        <f t="shared" si="164"/>
        <v>2.711421636700695E-12</v>
      </c>
      <c r="AL163" s="22">
        <f t="shared" si="165"/>
        <v>5.0621685358189711E-12</v>
      </c>
      <c r="AM163" s="62">
        <f t="shared" si="113"/>
        <v>293.33333333333837</v>
      </c>
      <c r="AN163" s="62">
        <f ca="1">AVERAGE(OFFSET($AM$3,0,0,'Données projet'!$E$10+1,1))-AVERAGE(OFFSET($H$3,0,0,'Données projet'!$E$10+1,1))</f>
        <v>258.09881752732008</v>
      </c>
      <c r="AO163" s="62">
        <f t="shared" si="144"/>
        <v>214.72899476643335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3.7238150834605586E-20</v>
      </c>
      <c r="AX163" s="23">
        <f t="shared" si="166"/>
        <v>3.7238150834605586E-20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-5.6843418860808015E-14</v>
      </c>
      <c r="BE163" s="14">
        <f>BD163*VLOOKUP('Données projet'!$B$11,Paramètres!$A$1:$I$89,3,0)*VLOOKUP('Données projet'!$B$11,Paramètres!$A$1:$I$89,5,0)</f>
        <v>-5.4978954722173515E-14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298.18906674058809</v>
      </c>
      <c r="BJ163" s="62">
        <f t="shared" si="146"/>
        <v>154.08406475869634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-5.6843418860808015E-14</v>
      </c>
      <c r="BZ163" s="14">
        <f>BY163*VLOOKUP('Données projet'!$B$12,Paramètres!$A$1:$I$89,3,0)*VLOOKUP('Données projet'!$B$12,Paramètres!$A$1:$I$89,5,0)</f>
        <v>-3.813056537183002E-14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218.24409784339861</v>
      </c>
      <c r="CE163" s="62">
        <f t="shared" si="148"/>
        <v>118.89963447540509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257.80952690600492</v>
      </c>
      <c r="T164" s="62">
        <f t="shared" si="142"/>
        <v>269.95358755269427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0.24918791721276448</v>
      </c>
      <c r="AA164" s="23">
        <f>EXP(-LN(2)/25)*AA163+(1-EXP(-LN(2)/25))/(LN(2)/25)*Calculateur!V164*Calculateur!X164*VLOOKUP('Données projet'!$B$9,Paramètres!$A$1:$I$89,3,0)*0.475*44/12</f>
        <v>0.21469546814885829</v>
      </c>
      <c r="AB164" s="23">
        <f>EXP(-LN(2)/2)*AB163+(1-EXP(-LN(2)/2))/(LN(2)/2)*V164*Y164*VLOOKUP('Données projet'!$B$9,Paramètres!$A$1:$I$89,3,0)*0.475*44/12</f>
        <v>2.5271652676869231E-19</v>
      </c>
      <c r="AC164" s="24">
        <f t="shared" si="163"/>
        <v>0.46388338536162277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3.4106051316484809E-13</v>
      </c>
      <c r="AJ164" s="14">
        <f>AI164*VLOOKUP('Données projet'!$B$10,Paramètres!$A$1:$I$89,3,0)*VLOOKUP('Données projet'!$B$10,Paramètres!$A$1:$I$89,5,0)</f>
        <v>1.9508661353029313E-13</v>
      </c>
      <c r="AK164" s="14">
        <f t="shared" si="164"/>
        <v>2.711421636700695E-12</v>
      </c>
      <c r="AL164" s="22">
        <f t="shared" si="165"/>
        <v>5.0621685358189711E-12</v>
      </c>
      <c r="AM164" s="62">
        <f t="shared" si="113"/>
        <v>293.33333333333837</v>
      </c>
      <c r="AN164" s="62">
        <f ca="1">AVERAGE(OFFSET($AM$3,0,0,'Données projet'!$E$10+1,1))-AVERAGE(OFFSET($H$3,0,0,'Données projet'!$E$10+1,1))</f>
        <v>258.09881752732008</v>
      </c>
      <c r="AO164" s="62">
        <f t="shared" si="144"/>
        <v>214.72899476643335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2.6331348973997107E-20</v>
      </c>
      <c r="AX164" s="23">
        <f t="shared" si="166"/>
        <v>2.6331348973997107E-20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-5.6843418860808015E-14</v>
      </c>
      <c r="BE164" s="14">
        <f>BD164*VLOOKUP('Données projet'!$B$11,Paramètres!$A$1:$I$89,3,0)*VLOOKUP('Données projet'!$B$11,Paramètres!$A$1:$I$89,5,0)</f>
        <v>-5.4978954722173515E-14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298.18906674058809</v>
      </c>
      <c r="BJ164" s="62">
        <f t="shared" si="146"/>
        <v>154.08406475869634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-5.6843418860808015E-14</v>
      </c>
      <c r="BZ164" s="14">
        <f>BY164*VLOOKUP('Données projet'!$B$12,Paramètres!$A$1:$I$89,3,0)*VLOOKUP('Données projet'!$B$12,Paramètres!$A$1:$I$89,5,0)</f>
        <v>-3.813056537183002E-14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218.24409784339861</v>
      </c>
      <c r="CE164" s="62">
        <f t="shared" si="148"/>
        <v>118.89963447540509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257.80952690600492</v>
      </c>
      <c r="T165" s="62">
        <f t="shared" si="142"/>
        <v>269.95358755269427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0.24430149414584393</v>
      </c>
      <c r="AA165" s="23">
        <f>EXP(-LN(2)/25)*AA164+(1-EXP(-LN(2)/25))/(LN(2)/25)*Calculateur!V165*Calculateur!X165*VLOOKUP('Données projet'!$B$9,Paramètres!$A$1:$I$89,3,0)*0.475*44/12</f>
        <v>0.20882460928198379</v>
      </c>
      <c r="AB165" s="23">
        <f>EXP(-LN(2)/2)*AB164+(1-EXP(-LN(2)/2))/(LN(2)/2)*V165*Y165*VLOOKUP('Données projet'!$B$9,Paramètres!$A$1:$I$89,3,0)*0.475*44/12</f>
        <v>1.7869756979605399E-19</v>
      </c>
      <c r="AC165" s="24">
        <f t="shared" si="163"/>
        <v>0.45312610342782772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3.4106051316484809E-13</v>
      </c>
      <c r="AJ165" s="14">
        <f>AI165*VLOOKUP('Données projet'!$B$10,Paramètres!$A$1:$I$89,3,0)*VLOOKUP('Données projet'!$B$10,Paramètres!$A$1:$I$89,5,0)</f>
        <v>1.9508661353029313E-13</v>
      </c>
      <c r="AK165" s="14">
        <f t="shared" si="164"/>
        <v>2.711421636700695E-12</v>
      </c>
      <c r="AL165" s="22">
        <f t="shared" si="165"/>
        <v>5.0621685358189711E-12</v>
      </c>
      <c r="AM165" s="62">
        <f t="shared" si="113"/>
        <v>293.33333333333837</v>
      </c>
      <c r="AN165" s="62">
        <f ca="1">AVERAGE(OFFSET($AM$3,0,0,'Données projet'!$E$10+1,1))-AVERAGE(OFFSET($H$3,0,0,'Données projet'!$E$10+1,1))</f>
        <v>258.09881752732008</v>
      </c>
      <c r="AO165" s="62">
        <f t="shared" si="144"/>
        <v>214.72899476643335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1.8619075417302796E-20</v>
      </c>
      <c r="AX165" s="23">
        <f t="shared" si="166"/>
        <v>1.8619075417302796E-20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-5.6843418860808015E-14</v>
      </c>
      <c r="BE165" s="14">
        <f>BD165*VLOOKUP('Données projet'!$B$11,Paramètres!$A$1:$I$89,3,0)*VLOOKUP('Données projet'!$B$11,Paramètres!$A$1:$I$89,5,0)</f>
        <v>-5.4978954722173515E-14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298.18906674058809</v>
      </c>
      <c r="BJ165" s="62">
        <f t="shared" si="146"/>
        <v>154.08406475869634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-5.6843418860808015E-14</v>
      </c>
      <c r="BZ165" s="14">
        <f>BY165*VLOOKUP('Données projet'!$B$12,Paramètres!$A$1:$I$89,3,0)*VLOOKUP('Données projet'!$B$12,Paramètres!$A$1:$I$89,5,0)</f>
        <v>-3.813056537183002E-14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218.24409784339861</v>
      </c>
      <c r="CE165" s="62">
        <f t="shared" si="148"/>
        <v>118.89963447540509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257.80952690600492</v>
      </c>
      <c r="T166" s="62">
        <f t="shared" si="142"/>
        <v>269.95358755269427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0.23951089085484192</v>
      </c>
      <c r="AA166" s="23">
        <f>EXP(-LN(2)/25)*AA165+(1-EXP(-LN(2)/25))/(LN(2)/25)*Calculateur!V166*Calculateur!X166*VLOOKUP('Données projet'!$B$9,Paramètres!$A$1:$I$89,3,0)*0.475*44/12</f>
        <v>0.20311428935955902</v>
      </c>
      <c r="AB166" s="23">
        <f>EXP(-LN(2)/2)*AB165+(1-EXP(-LN(2)/2))/(LN(2)/2)*V166*Y166*VLOOKUP('Données projet'!$B$9,Paramètres!$A$1:$I$89,3,0)*0.475*44/12</f>
        <v>1.2635826338434615E-19</v>
      </c>
      <c r="AC166" s="24">
        <f t="shared" si="163"/>
        <v>0.44262518021440095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3.4106051316484809E-13</v>
      </c>
      <c r="AJ166" s="14">
        <f>AI166*VLOOKUP('Données projet'!$B$10,Paramètres!$A$1:$I$89,3,0)*VLOOKUP('Données projet'!$B$10,Paramètres!$A$1:$I$89,5,0)</f>
        <v>1.9508661353029313E-13</v>
      </c>
      <c r="AK166" s="14">
        <f t="shared" si="164"/>
        <v>2.711421636700695E-12</v>
      </c>
      <c r="AL166" s="22">
        <f t="shared" si="165"/>
        <v>5.0621685358189711E-12</v>
      </c>
      <c r="AM166" s="62">
        <f t="shared" si="113"/>
        <v>293.33333333333837</v>
      </c>
      <c r="AN166" s="62">
        <f ca="1">AVERAGE(OFFSET($AM$3,0,0,'Données projet'!$E$10+1,1))-AVERAGE(OFFSET($H$3,0,0,'Données projet'!$E$10+1,1))</f>
        <v>258.09881752732008</v>
      </c>
      <c r="AO166" s="62">
        <f t="shared" si="144"/>
        <v>214.72899476643335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1.3165674486998555E-20</v>
      </c>
      <c r="AX166" s="23">
        <f t="shared" si="166"/>
        <v>1.3165674486998555E-20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-5.6843418860808015E-14</v>
      </c>
      <c r="BE166" s="14">
        <f>BD166*VLOOKUP('Données projet'!$B$11,Paramètres!$A$1:$I$89,3,0)*VLOOKUP('Données projet'!$B$11,Paramètres!$A$1:$I$89,5,0)</f>
        <v>-5.4978954722173515E-14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298.18906674058809</v>
      </c>
      <c r="BJ166" s="62">
        <f t="shared" si="146"/>
        <v>154.08406475869634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-5.6843418860808015E-14</v>
      </c>
      <c r="BZ166" s="14">
        <f>BY166*VLOOKUP('Données projet'!$B$12,Paramètres!$A$1:$I$89,3,0)*VLOOKUP('Données projet'!$B$12,Paramètres!$A$1:$I$89,5,0)</f>
        <v>-3.813056537183002E-14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218.24409784339861</v>
      </c>
      <c r="CE166" s="62">
        <f t="shared" si="148"/>
        <v>118.89963447540509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257.80952690600492</v>
      </c>
      <c r="T167" s="62">
        <f t="shared" si="142"/>
        <v>269.95358755269427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0.23481422837239699</v>
      </c>
      <c r="AA167" s="23">
        <f>EXP(-LN(2)/25)*AA166+(1-EXP(-LN(2)/25))/(LN(2)/25)*Calculateur!V167*Calculateur!X167*VLOOKUP('Données projet'!$B$9,Paramètres!$A$1:$I$89,3,0)*0.475*44/12</f>
        <v>0.19756011843570562</v>
      </c>
      <c r="AB167" s="23">
        <f>EXP(-LN(2)/2)*AB166+(1-EXP(-LN(2)/2))/(LN(2)/2)*V167*Y167*VLOOKUP('Données projet'!$B$9,Paramètres!$A$1:$I$89,3,0)*0.475*44/12</f>
        <v>8.9348784898026997E-20</v>
      </c>
      <c r="AC167" s="24">
        <f t="shared" si="163"/>
        <v>0.43237434680810261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3.4106051316484809E-13</v>
      </c>
      <c r="AJ167" s="14">
        <f>AI167*VLOOKUP('Données projet'!$B$10,Paramètres!$A$1:$I$89,3,0)*VLOOKUP('Données projet'!$B$10,Paramètres!$A$1:$I$89,5,0)</f>
        <v>1.9508661353029313E-13</v>
      </c>
      <c r="AK167" s="14">
        <f t="shared" si="164"/>
        <v>2.711421636700695E-12</v>
      </c>
      <c r="AL167" s="22">
        <f t="shared" si="165"/>
        <v>5.0621685358189711E-12</v>
      </c>
      <c r="AM167" s="62">
        <f t="shared" si="113"/>
        <v>293.33333333333837</v>
      </c>
      <c r="AN167" s="62">
        <f ca="1">AVERAGE(OFFSET($AM$3,0,0,'Données projet'!$E$10+1,1))-AVERAGE(OFFSET($H$3,0,0,'Données projet'!$E$10+1,1))</f>
        <v>258.09881752732008</v>
      </c>
      <c r="AO167" s="62">
        <f t="shared" si="144"/>
        <v>214.72899476643335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9.3095377086513996E-21</v>
      </c>
      <c r="AX167" s="23">
        <f t="shared" si="166"/>
        <v>9.3095377086513996E-21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-5.6843418860808015E-14</v>
      </c>
      <c r="BE167" s="14">
        <f>BD167*VLOOKUP('Données projet'!$B$11,Paramètres!$A$1:$I$89,3,0)*VLOOKUP('Données projet'!$B$11,Paramètres!$A$1:$I$89,5,0)</f>
        <v>-5.4978954722173515E-14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298.18906674058809</v>
      </c>
      <c r="BJ167" s="62">
        <f t="shared" si="146"/>
        <v>154.08406475869634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-5.6843418860808015E-14</v>
      </c>
      <c r="BZ167" s="14">
        <f>BY167*VLOOKUP('Données projet'!$B$12,Paramètres!$A$1:$I$89,3,0)*VLOOKUP('Données projet'!$B$12,Paramètres!$A$1:$I$89,5,0)</f>
        <v>-3.813056537183002E-14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218.24409784339861</v>
      </c>
      <c r="CE167" s="62">
        <f t="shared" si="148"/>
        <v>118.89963447540509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257.80952690600492</v>
      </c>
      <c r="T168" s="62">
        <f t="shared" si="142"/>
        <v>269.95358755269427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0.23020966457655154</v>
      </c>
      <c r="AA168" s="23">
        <f>EXP(-LN(2)/25)*AA167+(1-EXP(-LN(2)/25))/(LN(2)/25)*Calculateur!V168*Calculateur!X168*VLOOKUP('Données projet'!$B$9,Paramètres!$A$1:$I$89,3,0)*0.475*44/12</f>
        <v>0.19215782660784614</v>
      </c>
      <c r="AB168" s="23">
        <f>EXP(-LN(2)/2)*AB167+(1-EXP(-LN(2)/2))/(LN(2)/2)*V168*Y168*VLOOKUP('Données projet'!$B$9,Paramètres!$A$1:$I$89,3,0)*0.475*44/12</f>
        <v>6.3179131692173077E-20</v>
      </c>
      <c r="AC168" s="24">
        <f t="shared" si="163"/>
        <v>0.42236749118439765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3.4106051316484809E-13</v>
      </c>
      <c r="AJ168" s="14">
        <f>AI168*VLOOKUP('Données projet'!$B$10,Paramètres!$A$1:$I$89,3,0)*VLOOKUP('Données projet'!$B$10,Paramètres!$A$1:$I$89,5,0)</f>
        <v>1.9508661353029313E-13</v>
      </c>
      <c r="AK168" s="14">
        <f t="shared" si="164"/>
        <v>2.711421636700695E-12</v>
      </c>
      <c r="AL168" s="22">
        <f t="shared" si="165"/>
        <v>5.0621685358189711E-12</v>
      </c>
      <c r="AM168" s="62">
        <f t="shared" si="113"/>
        <v>293.33333333333837</v>
      </c>
      <c r="AN168" s="62">
        <f ca="1">AVERAGE(OFFSET($AM$3,0,0,'Données projet'!$E$10+1,1))-AVERAGE(OFFSET($H$3,0,0,'Données projet'!$E$10+1,1))</f>
        <v>258.09881752732008</v>
      </c>
      <c r="AO168" s="62">
        <f t="shared" si="144"/>
        <v>214.72899476643335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6.5828372434992784E-21</v>
      </c>
      <c r="AX168" s="23">
        <f t="shared" si="166"/>
        <v>6.5828372434992784E-21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-5.6843418860808015E-14</v>
      </c>
      <c r="BE168" s="14">
        <f>BD168*VLOOKUP('Données projet'!$B$11,Paramètres!$A$1:$I$89,3,0)*VLOOKUP('Données projet'!$B$11,Paramètres!$A$1:$I$89,5,0)</f>
        <v>-5.4978954722173515E-14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298.18906674058809</v>
      </c>
      <c r="BJ168" s="62">
        <f t="shared" si="146"/>
        <v>154.08406475869634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-5.6843418860808015E-14</v>
      </c>
      <c r="BZ168" s="14">
        <f>BY168*VLOOKUP('Données projet'!$B$12,Paramètres!$A$1:$I$89,3,0)*VLOOKUP('Données projet'!$B$12,Paramètres!$A$1:$I$89,5,0)</f>
        <v>-3.813056537183002E-14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218.24409784339861</v>
      </c>
      <c r="CE168" s="62">
        <f t="shared" si="148"/>
        <v>118.89963447540509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257.80952690600492</v>
      </c>
      <c r="T169" s="62">
        <f t="shared" si="142"/>
        <v>269.95358755269427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0.22569539346823603</v>
      </c>
      <c r="AA169" s="23">
        <f>EXP(-LN(2)/25)*AA168+(1-EXP(-LN(2)/25))/(LN(2)/25)*Calculateur!V169*Calculateur!X169*VLOOKUP('Données projet'!$B$9,Paramètres!$A$1:$I$89,3,0)*0.475*44/12</f>
        <v>0.18690326073411367</v>
      </c>
      <c r="AB169" s="23">
        <f>EXP(-LN(2)/2)*AB168+(1-EXP(-LN(2)/2))/(LN(2)/2)*V169*Y169*VLOOKUP('Données projet'!$B$9,Paramètres!$A$1:$I$89,3,0)*0.475*44/12</f>
        <v>4.4674392449013498E-20</v>
      </c>
      <c r="AC169" s="24">
        <f t="shared" si="163"/>
        <v>0.4125986542023497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3.4106051316484809E-13</v>
      </c>
      <c r="AJ169" s="14">
        <f>AI169*VLOOKUP('Données projet'!$B$10,Paramètres!$A$1:$I$89,3,0)*VLOOKUP('Données projet'!$B$10,Paramètres!$A$1:$I$89,5,0)</f>
        <v>1.9508661353029313E-13</v>
      </c>
      <c r="AK169" s="14">
        <f t="shared" si="164"/>
        <v>2.711421636700695E-12</v>
      </c>
      <c r="AL169" s="22">
        <f t="shared" si="165"/>
        <v>5.0621685358189711E-12</v>
      </c>
      <c r="AM169" s="62">
        <f t="shared" si="113"/>
        <v>293.33333333333837</v>
      </c>
      <c r="AN169" s="62">
        <f ca="1">AVERAGE(OFFSET($AM$3,0,0,'Données projet'!$E$10+1,1))-AVERAGE(OFFSET($H$3,0,0,'Données projet'!$E$10+1,1))</f>
        <v>258.09881752732008</v>
      </c>
      <c r="AO169" s="62">
        <f t="shared" si="144"/>
        <v>214.72899476643335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4.6547688543257006E-21</v>
      </c>
      <c r="AX169" s="23">
        <f t="shared" si="166"/>
        <v>4.6547688543257006E-21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-5.6843418860808015E-14</v>
      </c>
      <c r="BE169" s="14">
        <f>BD169*VLOOKUP('Données projet'!$B$11,Paramètres!$A$1:$I$89,3,0)*VLOOKUP('Données projet'!$B$11,Paramètres!$A$1:$I$89,5,0)</f>
        <v>-5.4978954722173515E-14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298.18906674058809</v>
      </c>
      <c r="BJ169" s="62">
        <f t="shared" si="146"/>
        <v>154.08406475869634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-5.6843418860808015E-14</v>
      </c>
      <c r="BZ169" s="14">
        <f>BY169*VLOOKUP('Données projet'!$B$12,Paramètres!$A$1:$I$89,3,0)*VLOOKUP('Données projet'!$B$12,Paramètres!$A$1:$I$89,5,0)</f>
        <v>-3.813056537183002E-14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218.24409784339861</v>
      </c>
      <c r="CE169" s="62">
        <f t="shared" si="148"/>
        <v>118.89963447540509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257.80952690600492</v>
      </c>
      <c r="T170" s="62">
        <f t="shared" si="142"/>
        <v>269.95358755269427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0.22126964446292108</v>
      </c>
      <c r="AA170" s="23">
        <f>EXP(-LN(2)/25)*AA169+(1-EXP(-LN(2)/25))/(LN(2)/25)*Calculateur!V170*Calculateur!X170*VLOOKUP('Données projet'!$B$9,Paramètres!$A$1:$I$89,3,0)*0.475*44/12</f>
        <v>0.18179238124052402</v>
      </c>
      <c r="AB170" s="23">
        <f>EXP(-LN(2)/2)*AB169+(1-EXP(-LN(2)/2))/(LN(2)/2)*V170*Y170*VLOOKUP('Données projet'!$B$9,Paramètres!$A$1:$I$89,3,0)*0.475*44/12</f>
        <v>3.1589565846086539E-20</v>
      </c>
      <c r="AC170" s="24">
        <f t="shared" si="163"/>
        <v>0.40306202570344507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3.4106051316484809E-13</v>
      </c>
      <c r="AJ170" s="14">
        <f>AI170*VLOOKUP('Données projet'!$B$10,Paramètres!$A$1:$I$89,3,0)*VLOOKUP('Données projet'!$B$10,Paramètres!$A$1:$I$89,5,0)</f>
        <v>1.9508661353029313E-13</v>
      </c>
      <c r="AK170" s="14">
        <f t="shared" si="164"/>
        <v>2.711421636700695E-12</v>
      </c>
      <c r="AL170" s="22">
        <f t="shared" si="165"/>
        <v>5.0621685358189711E-12</v>
      </c>
      <c r="AM170" s="62">
        <f t="shared" si="113"/>
        <v>293.33333333333837</v>
      </c>
      <c r="AN170" s="62">
        <f ca="1">AVERAGE(OFFSET($AM$3,0,0,'Données projet'!$E$10+1,1))-AVERAGE(OFFSET($H$3,0,0,'Données projet'!$E$10+1,1))</f>
        <v>258.09881752732008</v>
      </c>
      <c r="AO170" s="62">
        <f t="shared" si="144"/>
        <v>214.72899476643335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3.2914186217496399E-21</v>
      </c>
      <c r="AX170" s="23">
        <f t="shared" si="166"/>
        <v>3.2914186217496399E-21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-5.6843418860808015E-14</v>
      </c>
      <c r="BE170" s="14">
        <f>BD170*VLOOKUP('Données projet'!$B$11,Paramètres!$A$1:$I$89,3,0)*VLOOKUP('Données projet'!$B$11,Paramètres!$A$1:$I$89,5,0)</f>
        <v>-5.4978954722173515E-14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298.18906674058809</v>
      </c>
      <c r="BJ170" s="62">
        <f t="shared" si="146"/>
        <v>154.08406475869634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-5.6843418860808015E-14</v>
      </c>
      <c r="BZ170" s="14">
        <f>BY170*VLOOKUP('Données projet'!$B$12,Paramètres!$A$1:$I$89,3,0)*VLOOKUP('Données projet'!$B$12,Paramètres!$A$1:$I$89,5,0)</f>
        <v>-3.813056537183002E-14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218.24409784339861</v>
      </c>
      <c r="CE170" s="62">
        <f t="shared" si="148"/>
        <v>118.89963447540509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257.80952690600492</v>
      </c>
      <c r="T171" s="62">
        <f t="shared" si="142"/>
        <v>269.95358755269427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0.21693068169616</v>
      </c>
      <c r="AA171" s="23">
        <f>EXP(-LN(2)/25)*AA170+(1-EXP(-LN(2)/25))/(LN(2)/25)*Calculateur!V171*Calculateur!X171*VLOOKUP('Données projet'!$B$9,Paramètres!$A$1:$I$89,3,0)*0.475*44/12</f>
        <v>0.17682125901545606</v>
      </c>
      <c r="AB171" s="23">
        <f>EXP(-LN(2)/2)*AB170+(1-EXP(-LN(2)/2))/(LN(2)/2)*V171*Y171*VLOOKUP('Données projet'!$B$9,Paramètres!$A$1:$I$89,3,0)*0.475*44/12</f>
        <v>2.2337196224506749E-20</v>
      </c>
      <c r="AC171" s="24">
        <f t="shared" si="163"/>
        <v>0.39375194071161607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3.4106051316484809E-13</v>
      </c>
      <c r="AJ171" s="14">
        <f>AI171*VLOOKUP('Données projet'!$B$10,Paramètres!$A$1:$I$89,3,0)*VLOOKUP('Données projet'!$B$10,Paramètres!$A$1:$I$89,5,0)</f>
        <v>1.9508661353029313E-13</v>
      </c>
      <c r="AK171" s="14">
        <f t="shared" si="164"/>
        <v>2.711421636700695E-12</v>
      </c>
      <c r="AL171" s="22">
        <f t="shared" si="165"/>
        <v>5.0621685358189711E-12</v>
      </c>
      <c r="AM171" s="62">
        <f t="shared" si="113"/>
        <v>293.33333333333837</v>
      </c>
      <c r="AN171" s="62">
        <f ca="1">AVERAGE(OFFSET($AM$3,0,0,'Données projet'!$E$10+1,1))-AVERAGE(OFFSET($H$3,0,0,'Données projet'!$E$10+1,1))</f>
        <v>258.09881752732008</v>
      </c>
      <c r="AO171" s="62">
        <f t="shared" si="144"/>
        <v>214.72899476643335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2.3273844271628507E-21</v>
      </c>
      <c r="AX171" s="23">
        <f t="shared" si="166"/>
        <v>2.3273844271628507E-21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-5.6843418860808015E-14</v>
      </c>
      <c r="BE171" s="14">
        <f>BD171*VLOOKUP('Données projet'!$B$11,Paramètres!$A$1:$I$89,3,0)*VLOOKUP('Données projet'!$B$11,Paramètres!$A$1:$I$89,5,0)</f>
        <v>-5.4978954722173515E-14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298.18906674058809</v>
      </c>
      <c r="BJ171" s="62">
        <f t="shared" si="146"/>
        <v>154.08406475869634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-5.6843418860808015E-14</v>
      </c>
      <c r="BZ171" s="14">
        <f>BY171*VLOOKUP('Données projet'!$B$12,Paramètres!$A$1:$I$89,3,0)*VLOOKUP('Données projet'!$B$12,Paramètres!$A$1:$I$89,5,0)</f>
        <v>-3.813056537183002E-14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218.24409784339861</v>
      </c>
      <c r="CE171" s="62">
        <f t="shared" si="148"/>
        <v>118.89963447540509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257.80952690600492</v>
      </c>
      <c r="T172" s="62">
        <f t="shared" si="142"/>
        <v>269.95358755269427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0.21267680334274916</v>
      </c>
      <c r="AA172" s="23">
        <f>EXP(-LN(2)/25)*AA171+(1-EXP(-LN(2)/25))/(LN(2)/25)*Calculateur!V172*Calculateur!X172*VLOOKUP('Données projet'!$B$9,Paramètres!$A$1:$I$89,3,0)*0.475*44/12</f>
        <v>0.17198607238905253</v>
      </c>
      <c r="AB172" s="23">
        <f>EXP(-LN(2)/2)*AB171+(1-EXP(-LN(2)/2))/(LN(2)/2)*V172*Y172*VLOOKUP('Données projet'!$B$9,Paramètres!$A$1:$I$89,3,0)*0.475*44/12</f>
        <v>1.5794782923043269E-20</v>
      </c>
      <c r="AC172" s="24">
        <f t="shared" si="163"/>
        <v>0.38466287573180169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3.4106051316484809E-13</v>
      </c>
      <c r="AJ172" s="14">
        <f>AI172*VLOOKUP('Données projet'!$B$10,Paramètres!$A$1:$I$89,3,0)*VLOOKUP('Données projet'!$B$10,Paramètres!$A$1:$I$89,5,0)</f>
        <v>1.9508661353029313E-13</v>
      </c>
      <c r="AK172" s="14">
        <f t="shared" si="164"/>
        <v>2.711421636700695E-12</v>
      </c>
      <c r="AL172" s="22">
        <f t="shared" si="165"/>
        <v>5.0621685358189711E-12</v>
      </c>
      <c r="AM172" s="62">
        <f t="shared" si="113"/>
        <v>293.33333333333837</v>
      </c>
      <c r="AN172" s="62">
        <f ca="1">AVERAGE(OFFSET($AM$3,0,0,'Données projet'!$E$10+1,1))-AVERAGE(OFFSET($H$3,0,0,'Données projet'!$E$10+1,1))</f>
        <v>258.09881752732008</v>
      </c>
      <c r="AO172" s="62">
        <f t="shared" si="144"/>
        <v>214.72899476643335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1.6457093108748202E-21</v>
      </c>
      <c r="AX172" s="23">
        <f t="shared" si="166"/>
        <v>1.6457093108748202E-21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-5.6843418860808015E-14</v>
      </c>
      <c r="BE172" s="14">
        <f>BD172*VLOOKUP('Données projet'!$B$11,Paramètres!$A$1:$I$89,3,0)*VLOOKUP('Données projet'!$B$11,Paramètres!$A$1:$I$89,5,0)</f>
        <v>-5.4978954722173515E-14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298.18906674058809</v>
      </c>
      <c r="BJ172" s="62">
        <f t="shared" si="146"/>
        <v>154.08406475869634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-5.6843418860808015E-14</v>
      </c>
      <c r="BZ172" s="14">
        <f>BY172*VLOOKUP('Données projet'!$B$12,Paramètres!$A$1:$I$89,3,0)*VLOOKUP('Données projet'!$B$12,Paramètres!$A$1:$I$89,5,0)</f>
        <v>-3.813056537183002E-14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218.24409784339861</v>
      </c>
      <c r="CE172" s="62">
        <f t="shared" si="148"/>
        <v>118.89963447540509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257.80952690600492</v>
      </c>
      <c r="T173" s="62">
        <f t="shared" si="142"/>
        <v>269.95358755269427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0.20850634094923909</v>
      </c>
      <c r="AA173" s="23">
        <f>EXP(-LN(2)/25)*AA172+(1-EXP(-LN(2)/25))/(LN(2)/25)*Calculateur!V173*Calculateur!X173*VLOOKUP('Données projet'!$B$9,Paramètres!$A$1:$I$89,3,0)*0.475*44/12</f>
        <v>0.16728310419521941</v>
      </c>
      <c r="AB173" s="23">
        <f>EXP(-LN(2)/2)*AB172+(1-EXP(-LN(2)/2))/(LN(2)/2)*V173*Y173*VLOOKUP('Données projet'!$B$9,Paramètres!$A$1:$I$89,3,0)*0.475*44/12</f>
        <v>1.1168598112253375E-20</v>
      </c>
      <c r="AC173" s="24">
        <f t="shared" si="163"/>
        <v>0.3757894451444585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3.4106051316484809E-13</v>
      </c>
      <c r="AJ173" s="14">
        <f>AI173*VLOOKUP('Données projet'!$B$10,Paramètres!$A$1:$I$89,3,0)*VLOOKUP('Données projet'!$B$10,Paramètres!$A$1:$I$89,5,0)</f>
        <v>1.9508661353029313E-13</v>
      </c>
      <c r="AK173" s="14">
        <f t="shared" si="164"/>
        <v>2.711421636700695E-12</v>
      </c>
      <c r="AL173" s="22">
        <f t="shared" si="165"/>
        <v>5.0621685358189711E-12</v>
      </c>
      <c r="AM173" s="62">
        <f t="shared" si="113"/>
        <v>293.33333333333837</v>
      </c>
      <c r="AN173" s="62">
        <f ca="1">AVERAGE(OFFSET($AM$3,0,0,'Données projet'!$E$10+1,1))-AVERAGE(OFFSET($H$3,0,0,'Données projet'!$E$10+1,1))</f>
        <v>258.09881752732008</v>
      </c>
      <c r="AO173" s="62">
        <f t="shared" si="144"/>
        <v>214.72899476643335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1.1636922135814255E-21</v>
      </c>
      <c r="AX173" s="23">
        <f t="shared" si="166"/>
        <v>1.1636922135814255E-21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-5.6843418860808015E-14</v>
      </c>
      <c r="BE173" s="14">
        <f>BD173*VLOOKUP('Données projet'!$B$11,Paramètres!$A$1:$I$89,3,0)*VLOOKUP('Données projet'!$B$11,Paramètres!$A$1:$I$89,5,0)</f>
        <v>-5.4978954722173515E-14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298.18906674058809</v>
      </c>
      <c r="BJ173" s="62">
        <f t="shared" si="146"/>
        <v>154.08406475869634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-5.6843418860808015E-14</v>
      </c>
      <c r="BZ173" s="14">
        <f>BY173*VLOOKUP('Données projet'!$B$12,Paramètres!$A$1:$I$89,3,0)*VLOOKUP('Données projet'!$B$12,Paramètres!$A$1:$I$89,5,0)</f>
        <v>-3.813056537183002E-14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218.24409784339861</v>
      </c>
      <c r="CE173" s="62">
        <f t="shared" si="148"/>
        <v>118.89963447540509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257.80952690600492</v>
      </c>
      <c r="T174" s="62">
        <f t="shared" si="142"/>
        <v>269.95358755269427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0.20441765877953488</v>
      </c>
      <c r="AA174" s="23">
        <f>EXP(-LN(2)/25)*AA173+(1-EXP(-LN(2)/25))/(LN(2)/25)*Calculateur!V174*Calculateur!X174*VLOOKUP('Données projet'!$B$9,Paramètres!$A$1:$I$89,3,0)*0.475*44/12</f>
        <v>0.16270873891396501</v>
      </c>
      <c r="AB174" s="23">
        <f>EXP(-LN(2)/2)*AB173+(1-EXP(-LN(2)/2))/(LN(2)/2)*V174*Y174*VLOOKUP('Données projet'!$B$9,Paramètres!$A$1:$I$89,3,0)*0.475*44/12</f>
        <v>7.8973914615216347E-21</v>
      </c>
      <c r="AC174" s="24">
        <f t="shared" si="163"/>
        <v>0.36712639769349986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3.4106051316484809E-13</v>
      </c>
      <c r="AJ174" s="14">
        <f>AI174*VLOOKUP('Données projet'!$B$10,Paramètres!$A$1:$I$89,3,0)*VLOOKUP('Données projet'!$B$10,Paramètres!$A$1:$I$89,5,0)</f>
        <v>1.9508661353029313E-13</v>
      </c>
      <c r="AK174" s="14">
        <f t="shared" si="164"/>
        <v>2.711421636700695E-12</v>
      </c>
      <c r="AL174" s="22">
        <f t="shared" si="165"/>
        <v>5.0621685358189711E-12</v>
      </c>
      <c r="AM174" s="62">
        <f t="shared" si="113"/>
        <v>293.33333333333837</v>
      </c>
      <c r="AN174" s="62">
        <f ca="1">AVERAGE(OFFSET($AM$3,0,0,'Données projet'!$E$10+1,1))-AVERAGE(OFFSET($H$3,0,0,'Données projet'!$E$10+1,1))</f>
        <v>258.09881752732008</v>
      </c>
      <c r="AO174" s="62">
        <f t="shared" si="144"/>
        <v>214.72899476643335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8.2285465543741027E-22</v>
      </c>
      <c r="AX174" s="23">
        <f t="shared" si="166"/>
        <v>8.2285465543741027E-22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-5.6843418860808015E-14</v>
      </c>
      <c r="BE174" s="14">
        <f>BD174*VLOOKUP('Données projet'!$B$11,Paramètres!$A$1:$I$89,3,0)*VLOOKUP('Données projet'!$B$11,Paramètres!$A$1:$I$89,5,0)</f>
        <v>-5.4978954722173515E-14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298.18906674058809</v>
      </c>
      <c r="BJ174" s="62">
        <f t="shared" si="146"/>
        <v>154.08406475869634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-5.6843418860808015E-14</v>
      </c>
      <c r="BZ174" s="14">
        <f>BY174*VLOOKUP('Données projet'!$B$12,Paramètres!$A$1:$I$89,3,0)*VLOOKUP('Données projet'!$B$12,Paramètres!$A$1:$I$89,5,0)</f>
        <v>-3.813056537183002E-14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218.24409784339861</v>
      </c>
      <c r="CE174" s="62">
        <f t="shared" si="148"/>
        <v>118.89963447540509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257.80952690600492</v>
      </c>
      <c r="T175" s="62">
        <f t="shared" si="142"/>
        <v>269.95358755269427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0.20040915317332869</v>
      </c>
      <c r="AA175" s="23">
        <f>EXP(-LN(2)/25)*AA174+(1-EXP(-LN(2)/25))/(LN(2)/25)*Calculateur!V175*Calculateur!X175*VLOOKUP('Données projet'!$B$9,Paramètres!$A$1:$I$89,3,0)*0.475*44/12</f>
        <v>0.15825945989188192</v>
      </c>
      <c r="AB175" s="23">
        <f>EXP(-LN(2)/2)*AB174+(1-EXP(-LN(2)/2))/(LN(2)/2)*V175*Y175*VLOOKUP('Données projet'!$B$9,Paramètres!$A$1:$I$89,3,0)*0.475*44/12</f>
        <v>5.5842990561266873E-21</v>
      </c>
      <c r="AC175" s="24">
        <f t="shared" si="163"/>
        <v>0.35866861306521058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3.4106051316484809E-13</v>
      </c>
      <c r="AJ175" s="14">
        <f>AI175*VLOOKUP('Données projet'!$B$10,Paramètres!$A$1:$I$89,3,0)*VLOOKUP('Données projet'!$B$10,Paramètres!$A$1:$I$89,5,0)</f>
        <v>1.9508661353029313E-13</v>
      </c>
      <c r="AK175" s="14">
        <f t="shared" si="164"/>
        <v>2.711421636700695E-12</v>
      </c>
      <c r="AL175" s="22">
        <f t="shared" si="165"/>
        <v>5.0621685358189711E-12</v>
      </c>
      <c r="AM175" s="62">
        <f t="shared" si="113"/>
        <v>293.33333333333837</v>
      </c>
      <c r="AN175" s="62">
        <f ca="1">AVERAGE(OFFSET($AM$3,0,0,'Données projet'!$E$10+1,1))-AVERAGE(OFFSET($H$3,0,0,'Données projet'!$E$10+1,1))</f>
        <v>258.09881752732008</v>
      </c>
      <c r="AO175" s="62">
        <f t="shared" si="144"/>
        <v>214.72899476643335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5.8184610679071285E-22</v>
      </c>
      <c r="AX175" s="23">
        <f t="shared" si="166"/>
        <v>5.8184610679071285E-22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-5.6843418860808015E-14</v>
      </c>
      <c r="BE175" s="14">
        <f>BD175*VLOOKUP('Données projet'!$B$11,Paramètres!$A$1:$I$89,3,0)*VLOOKUP('Données projet'!$B$11,Paramètres!$A$1:$I$89,5,0)</f>
        <v>-5.4978954722173515E-14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298.18906674058809</v>
      </c>
      <c r="BJ175" s="62">
        <f t="shared" si="146"/>
        <v>154.08406475869634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-5.6843418860808015E-14</v>
      </c>
      <c r="BZ175" s="14">
        <f>BY175*VLOOKUP('Données projet'!$B$12,Paramètres!$A$1:$I$89,3,0)*VLOOKUP('Données projet'!$B$12,Paramètres!$A$1:$I$89,5,0)</f>
        <v>-3.813056537183002E-14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218.24409784339861</v>
      </c>
      <c r="CE175" s="62">
        <f t="shared" si="148"/>
        <v>118.89963447540509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257.80952690600492</v>
      </c>
      <c r="T176" s="62">
        <f t="shared" si="142"/>
        <v>269.95358755269427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0.19647925191711321</v>
      </c>
      <c r="AA176" s="23">
        <f>EXP(-LN(2)/25)*AA175+(1-EXP(-LN(2)/25))/(LN(2)/25)*Calculateur!V176*Calculateur!X176*VLOOKUP('Données projet'!$B$9,Paramètres!$A$1:$I$89,3,0)*0.475*44/12</f>
        <v>0.15393184663863513</v>
      </c>
      <c r="AB176" s="23">
        <f>EXP(-LN(2)/2)*AB175+(1-EXP(-LN(2)/2))/(LN(2)/2)*V176*Y176*VLOOKUP('Données projet'!$B$9,Paramètres!$A$1:$I$89,3,0)*0.475*44/12</f>
        <v>3.9486957307608173E-21</v>
      </c>
      <c r="AC176" s="24">
        <f t="shared" si="163"/>
        <v>0.35041109855574837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3.4106051316484809E-13</v>
      </c>
      <c r="AJ176" s="14">
        <f>AI176*VLOOKUP('Données projet'!$B$10,Paramètres!$A$1:$I$89,3,0)*VLOOKUP('Données projet'!$B$10,Paramètres!$A$1:$I$89,5,0)</f>
        <v>1.9508661353029313E-13</v>
      </c>
      <c r="AK176" s="14">
        <f t="shared" si="164"/>
        <v>2.711421636700695E-12</v>
      </c>
      <c r="AL176" s="22">
        <f t="shared" si="165"/>
        <v>5.0621685358189711E-12</v>
      </c>
      <c r="AM176" s="62">
        <f t="shared" si="113"/>
        <v>293.33333333333837</v>
      </c>
      <c r="AN176" s="62">
        <f ca="1">AVERAGE(OFFSET($AM$3,0,0,'Données projet'!$E$10+1,1))-AVERAGE(OFFSET($H$3,0,0,'Données projet'!$E$10+1,1))</f>
        <v>258.09881752732008</v>
      </c>
      <c r="AO176" s="62">
        <f t="shared" si="144"/>
        <v>214.72899476643335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4.1142732771870518E-22</v>
      </c>
      <c r="AX176" s="23">
        <f t="shared" si="166"/>
        <v>4.1142732771870518E-22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-5.6843418860808015E-14</v>
      </c>
      <c r="BE176" s="14">
        <f>BD176*VLOOKUP('Données projet'!$B$11,Paramètres!$A$1:$I$89,3,0)*VLOOKUP('Données projet'!$B$11,Paramètres!$A$1:$I$89,5,0)</f>
        <v>-5.4978954722173515E-14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298.18906674058809</v>
      </c>
      <c r="BJ176" s="62">
        <f t="shared" si="146"/>
        <v>154.08406475869634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-5.6843418860808015E-14</v>
      </c>
      <c r="BZ176" s="14">
        <f>BY176*VLOOKUP('Données projet'!$B$12,Paramètres!$A$1:$I$89,3,0)*VLOOKUP('Données projet'!$B$12,Paramètres!$A$1:$I$89,5,0)</f>
        <v>-3.813056537183002E-14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218.24409784339861</v>
      </c>
      <c r="CE176" s="62">
        <f t="shared" si="148"/>
        <v>118.89963447540509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257.80952690600492</v>
      </c>
      <c r="T177" s="62">
        <f t="shared" si="142"/>
        <v>269.95358755269427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0.19262641362752903</v>
      </c>
      <c r="AA177" s="23">
        <f>EXP(-LN(2)/25)*AA176+(1-EXP(-LN(2)/25))/(LN(2)/25)*Calculateur!V177*Calculateur!X177*VLOOKUP('Données projet'!$B$9,Paramètres!$A$1:$I$89,3,0)*0.475*44/12</f>
        <v>0.14972257219737764</v>
      </c>
      <c r="AB177" s="23">
        <f>EXP(-LN(2)/2)*AB176+(1-EXP(-LN(2)/2))/(LN(2)/2)*V177*Y177*VLOOKUP('Données projet'!$B$9,Paramètres!$A$1:$I$89,3,0)*0.475*44/12</f>
        <v>2.7921495280633437E-21</v>
      </c>
      <c r="AC177" s="24">
        <f t="shared" si="163"/>
        <v>0.34234898582490669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3.4106051316484809E-13</v>
      </c>
      <c r="AJ177" s="14">
        <f>AI177*VLOOKUP('Données projet'!$B$10,Paramètres!$A$1:$I$89,3,0)*VLOOKUP('Données projet'!$B$10,Paramètres!$A$1:$I$89,5,0)</f>
        <v>1.9508661353029313E-13</v>
      </c>
      <c r="AK177" s="14">
        <f t="shared" si="164"/>
        <v>2.711421636700695E-12</v>
      </c>
      <c r="AL177" s="22">
        <f t="shared" si="165"/>
        <v>5.0621685358189711E-12</v>
      </c>
      <c r="AM177" s="62">
        <f t="shared" si="113"/>
        <v>293.33333333333837</v>
      </c>
      <c r="AN177" s="62">
        <f ca="1">AVERAGE(OFFSET($AM$3,0,0,'Données projet'!$E$10+1,1))-AVERAGE(OFFSET($H$3,0,0,'Données projet'!$E$10+1,1))</f>
        <v>258.09881752732008</v>
      </c>
      <c r="AO177" s="62">
        <f t="shared" si="144"/>
        <v>214.72899476643335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2.9092305339535647E-22</v>
      </c>
      <c r="AX177" s="23">
        <f t="shared" si="166"/>
        <v>2.9092305339535647E-22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-5.6843418860808015E-14</v>
      </c>
      <c r="BE177" s="14">
        <f>BD177*VLOOKUP('Données projet'!$B$11,Paramètres!$A$1:$I$89,3,0)*VLOOKUP('Données projet'!$B$11,Paramètres!$A$1:$I$89,5,0)</f>
        <v>-5.4978954722173515E-14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298.18906674058809</v>
      </c>
      <c r="BJ177" s="62">
        <f t="shared" si="146"/>
        <v>154.08406475869634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-5.6843418860808015E-14</v>
      </c>
      <c r="BZ177" s="14">
        <f>BY177*VLOOKUP('Données projet'!$B$12,Paramètres!$A$1:$I$89,3,0)*VLOOKUP('Données projet'!$B$12,Paramètres!$A$1:$I$89,5,0)</f>
        <v>-3.813056537183002E-14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218.24409784339861</v>
      </c>
      <c r="CE177" s="62">
        <f t="shared" si="148"/>
        <v>118.89963447540509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257.80952690600492</v>
      </c>
      <c r="T178" s="62">
        <f t="shared" si="142"/>
        <v>269.95358755269427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0.18884912714680427</v>
      </c>
      <c r="AA178" s="23">
        <f>EXP(-LN(2)/25)*AA177+(1-EXP(-LN(2)/25))/(LN(2)/25)*Calculateur!V178*Calculateur!X178*VLOOKUP('Données projet'!$B$9,Paramètres!$A$1:$I$89,3,0)*0.475*44/12</f>
        <v>0.14562840058707247</v>
      </c>
      <c r="AB178" s="23">
        <f>EXP(-LN(2)/2)*AB177+(1-EXP(-LN(2)/2))/(LN(2)/2)*V178*Y178*VLOOKUP('Données projet'!$B$9,Paramètres!$A$1:$I$89,3,0)*0.475*44/12</f>
        <v>1.9743478653804087E-21</v>
      </c>
      <c r="AC178" s="24">
        <f t="shared" si="163"/>
        <v>0.33447752773387673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3.4106051316484809E-13</v>
      </c>
      <c r="AJ178" s="14">
        <f>AI178*VLOOKUP('Données projet'!$B$10,Paramètres!$A$1:$I$89,3,0)*VLOOKUP('Données projet'!$B$10,Paramètres!$A$1:$I$89,5,0)</f>
        <v>1.9508661353029313E-13</v>
      </c>
      <c r="AK178" s="14">
        <f t="shared" si="164"/>
        <v>2.711421636700695E-12</v>
      </c>
      <c r="AL178" s="22">
        <f t="shared" si="165"/>
        <v>5.0621685358189711E-12</v>
      </c>
      <c r="AM178" s="62">
        <f t="shared" si="113"/>
        <v>293.33333333333837</v>
      </c>
      <c r="AN178" s="62">
        <f ca="1">AVERAGE(OFFSET($AM$3,0,0,'Données projet'!$E$10+1,1))-AVERAGE(OFFSET($H$3,0,0,'Données projet'!$E$10+1,1))</f>
        <v>258.09881752732008</v>
      </c>
      <c r="AO178" s="62">
        <f t="shared" si="144"/>
        <v>214.72899476643335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2.0571366385935264E-22</v>
      </c>
      <c r="AX178" s="23">
        <f t="shared" si="166"/>
        <v>2.0571366385935264E-22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-5.6843418860808015E-14</v>
      </c>
      <c r="BE178" s="14">
        <f>BD178*VLOOKUP('Données projet'!$B$11,Paramètres!$A$1:$I$89,3,0)*VLOOKUP('Données projet'!$B$11,Paramètres!$A$1:$I$89,5,0)</f>
        <v>-5.4978954722173515E-14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298.18906674058809</v>
      </c>
      <c r="BJ178" s="62">
        <f t="shared" si="146"/>
        <v>154.08406475869634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-5.6843418860808015E-14</v>
      </c>
      <c r="BZ178" s="14">
        <f>BY178*VLOOKUP('Données projet'!$B$12,Paramètres!$A$1:$I$89,3,0)*VLOOKUP('Données projet'!$B$12,Paramètres!$A$1:$I$89,5,0)</f>
        <v>-3.813056537183002E-14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218.24409784339861</v>
      </c>
      <c r="CE178" s="62">
        <f t="shared" si="148"/>
        <v>118.89963447540509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257.80952690600492</v>
      </c>
      <c r="T179" s="62">
        <f t="shared" si="142"/>
        <v>269.95358755269427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0.18514591095004926</v>
      </c>
      <c r="AA179" s="23">
        <f>EXP(-LN(2)/25)*AA178+(1-EXP(-LN(2)/25))/(LN(2)/25)*Calculateur!V179*Calculateur!X179*VLOOKUP('Données projet'!$B$9,Paramètres!$A$1:$I$89,3,0)*0.475*44/12</f>
        <v>0.14164618431475423</v>
      </c>
      <c r="AB179" s="23">
        <f>EXP(-LN(2)/2)*AB178+(1-EXP(-LN(2)/2))/(LN(2)/2)*V179*Y179*VLOOKUP('Données projet'!$B$9,Paramètres!$A$1:$I$89,3,0)*0.475*44/12</f>
        <v>1.3960747640316718E-21</v>
      </c>
      <c r="AC179" s="24">
        <f t="shared" si="163"/>
        <v>0.32679209526480346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3.4106051316484809E-13</v>
      </c>
      <c r="AJ179" s="14">
        <f>AI179*VLOOKUP('Données projet'!$B$10,Paramètres!$A$1:$I$89,3,0)*VLOOKUP('Données projet'!$B$10,Paramètres!$A$1:$I$89,5,0)</f>
        <v>1.9508661353029313E-13</v>
      </c>
      <c r="AK179" s="14">
        <f t="shared" si="164"/>
        <v>2.711421636700695E-12</v>
      </c>
      <c r="AL179" s="22">
        <f t="shared" si="165"/>
        <v>5.0621685358189711E-12</v>
      </c>
      <c r="AM179" s="62">
        <f t="shared" si="113"/>
        <v>293.33333333333837</v>
      </c>
      <c r="AN179" s="62">
        <f ca="1">AVERAGE(OFFSET($AM$3,0,0,'Données projet'!$E$10+1,1))-AVERAGE(OFFSET($H$3,0,0,'Données projet'!$E$10+1,1))</f>
        <v>258.09881752732008</v>
      </c>
      <c r="AO179" s="62">
        <f t="shared" si="144"/>
        <v>214.72899476643335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1.4546152669767826E-22</v>
      </c>
      <c r="AX179" s="23">
        <f t="shared" si="166"/>
        <v>1.4546152669767826E-22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-5.6843418860808015E-14</v>
      </c>
      <c r="BE179" s="14">
        <f>BD179*VLOOKUP('Données projet'!$B$11,Paramètres!$A$1:$I$89,3,0)*VLOOKUP('Données projet'!$B$11,Paramètres!$A$1:$I$89,5,0)</f>
        <v>-5.4978954722173515E-14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298.18906674058809</v>
      </c>
      <c r="BJ179" s="62">
        <f t="shared" si="146"/>
        <v>154.08406475869634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-5.6843418860808015E-14</v>
      </c>
      <c r="BZ179" s="14">
        <f>BY179*VLOOKUP('Données projet'!$B$12,Paramètres!$A$1:$I$89,3,0)*VLOOKUP('Données projet'!$B$12,Paramètres!$A$1:$I$89,5,0)</f>
        <v>-3.813056537183002E-14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218.24409784339861</v>
      </c>
      <c r="CE179" s="62">
        <f t="shared" si="148"/>
        <v>118.89963447540509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257.80952690600492</v>
      </c>
      <c r="T180" s="62">
        <f t="shared" si="142"/>
        <v>269.95358755269427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0.18151531256417378</v>
      </c>
      <c r="AA180" s="23">
        <f>EXP(-LN(2)/25)*AA179+(1-EXP(-LN(2)/25))/(LN(2)/25)*Calculateur!V180*Calculateur!X180*VLOOKUP('Données projet'!$B$9,Paramètres!$A$1:$I$89,3,0)*0.475*44/12</f>
        <v>0.13777286195581817</v>
      </c>
      <c r="AB180" s="23">
        <f>EXP(-LN(2)/2)*AB179+(1-EXP(-LN(2)/2))/(LN(2)/2)*V180*Y180*VLOOKUP('Données projet'!$B$9,Paramètres!$A$1:$I$89,3,0)*0.475*44/12</f>
        <v>9.8717393269020433E-22</v>
      </c>
      <c r="AC180" s="24">
        <f t="shared" si="163"/>
        <v>0.31928817451999192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3.4106051316484809E-13</v>
      </c>
      <c r="AJ180" s="14">
        <f>AI180*VLOOKUP('Données projet'!$B$10,Paramètres!$A$1:$I$89,3,0)*VLOOKUP('Données projet'!$B$10,Paramètres!$A$1:$I$89,5,0)</f>
        <v>1.9508661353029313E-13</v>
      </c>
      <c r="AK180" s="14">
        <f t="shared" si="164"/>
        <v>2.711421636700695E-12</v>
      </c>
      <c r="AL180" s="22">
        <f t="shared" si="165"/>
        <v>5.0621685358189711E-12</v>
      </c>
      <c r="AM180" s="62">
        <f t="shared" si="113"/>
        <v>293.33333333333837</v>
      </c>
      <c r="AN180" s="62">
        <f ca="1">AVERAGE(OFFSET($AM$3,0,0,'Données projet'!$E$10+1,1))-AVERAGE(OFFSET($H$3,0,0,'Données projet'!$E$10+1,1))</f>
        <v>258.09881752732008</v>
      </c>
      <c r="AO180" s="62">
        <f t="shared" si="144"/>
        <v>214.72899476643335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1.0285683192967633E-22</v>
      </c>
      <c r="AX180" s="23">
        <f t="shared" si="166"/>
        <v>1.0285683192967633E-22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-5.6843418860808015E-14</v>
      </c>
      <c r="BE180" s="14">
        <f>BD180*VLOOKUP('Données projet'!$B$11,Paramètres!$A$1:$I$89,3,0)*VLOOKUP('Données projet'!$B$11,Paramètres!$A$1:$I$89,5,0)</f>
        <v>-5.4978954722173515E-14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298.18906674058809</v>
      </c>
      <c r="BJ180" s="62">
        <f t="shared" si="146"/>
        <v>154.08406475869634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-5.6843418860808015E-14</v>
      </c>
      <c r="BZ180" s="14">
        <f>BY180*VLOOKUP('Données projet'!$B$12,Paramètres!$A$1:$I$89,3,0)*VLOOKUP('Données projet'!$B$12,Paramètres!$A$1:$I$89,5,0)</f>
        <v>-3.813056537183002E-14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218.24409784339861</v>
      </c>
      <c r="CE180" s="62">
        <f t="shared" si="148"/>
        <v>118.89963447540509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257.80952690600492</v>
      </c>
      <c r="T181" s="62">
        <f t="shared" si="142"/>
        <v>269.95358755269427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0.17795590799819894</v>
      </c>
      <c r="AA181" s="23">
        <f>EXP(-LN(2)/25)*AA180+(1-EXP(-LN(2)/25))/(LN(2)/25)*Calculateur!V181*Calculateur!X181*VLOOKUP('Données projet'!$B$9,Paramètres!$A$1:$I$89,3,0)*0.475*44/12</f>
        <v>0.1340054558004764</v>
      </c>
      <c r="AB181" s="23">
        <f>EXP(-LN(2)/2)*AB180+(1-EXP(-LN(2)/2))/(LN(2)/2)*V181*Y181*VLOOKUP('Données projet'!$B$9,Paramètres!$A$1:$I$89,3,0)*0.475*44/12</f>
        <v>6.9803738201583591E-22</v>
      </c>
      <c r="AC181" s="24">
        <f t="shared" si="163"/>
        <v>0.31196136379867534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3.4106051316484809E-13</v>
      </c>
      <c r="AJ181" s="14">
        <f>AI181*VLOOKUP('Données projet'!$B$10,Paramètres!$A$1:$I$89,3,0)*VLOOKUP('Données projet'!$B$10,Paramètres!$A$1:$I$89,5,0)</f>
        <v>1.9508661353029313E-13</v>
      </c>
      <c r="AK181" s="14">
        <f t="shared" si="164"/>
        <v>2.711421636700695E-12</v>
      </c>
      <c r="AL181" s="22">
        <f t="shared" si="165"/>
        <v>5.0621685358189711E-12</v>
      </c>
      <c r="AM181" s="62">
        <f t="shared" si="113"/>
        <v>293.33333333333837</v>
      </c>
      <c r="AN181" s="62">
        <f ca="1">AVERAGE(OFFSET($AM$3,0,0,'Données projet'!$E$10+1,1))-AVERAGE(OFFSET($H$3,0,0,'Données projet'!$E$10+1,1))</f>
        <v>258.09881752732008</v>
      </c>
      <c r="AO181" s="62">
        <f t="shared" si="144"/>
        <v>214.72899476643335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7.2730763348839142E-23</v>
      </c>
      <c r="AX181" s="23">
        <f t="shared" si="166"/>
        <v>7.2730763348839142E-23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-5.6843418860808015E-14</v>
      </c>
      <c r="BE181" s="14">
        <f>BD181*VLOOKUP('Données projet'!$B$11,Paramètres!$A$1:$I$89,3,0)*VLOOKUP('Données projet'!$B$11,Paramètres!$A$1:$I$89,5,0)</f>
        <v>-5.4978954722173515E-14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298.18906674058809</v>
      </c>
      <c r="BJ181" s="62">
        <f t="shared" si="146"/>
        <v>154.08406475869634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-5.6843418860808015E-14</v>
      </c>
      <c r="BZ181" s="14">
        <f>BY181*VLOOKUP('Données projet'!$B$12,Paramètres!$A$1:$I$89,3,0)*VLOOKUP('Données projet'!$B$12,Paramètres!$A$1:$I$89,5,0)</f>
        <v>-3.813056537183002E-14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218.24409784339861</v>
      </c>
      <c r="CE181" s="62">
        <f t="shared" si="148"/>
        <v>118.89963447540509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257.80952690600492</v>
      </c>
      <c r="T182" s="62">
        <f t="shared" si="142"/>
        <v>269.95358755269427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0.17446630118474046</v>
      </c>
      <c r="AA182" s="23">
        <f>EXP(-LN(2)/25)*AA181+(1-EXP(-LN(2)/25))/(LN(2)/25)*Calculateur!V182*Calculateur!X182*VLOOKUP('Données projet'!$B$9,Paramètres!$A$1:$I$89,3,0)*0.475*44/12</f>
        <v>0.13034106956457173</v>
      </c>
      <c r="AB182" s="23">
        <f>EXP(-LN(2)/2)*AB181+(1-EXP(-LN(2)/2))/(LN(2)/2)*V182*Y182*VLOOKUP('Données projet'!$B$9,Paramètres!$A$1:$I$89,3,0)*0.475*44/12</f>
        <v>4.9358696634510217E-22</v>
      </c>
      <c r="AC182" s="24">
        <f t="shared" si="163"/>
        <v>0.30480737074931219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3.4106051316484809E-13</v>
      </c>
      <c r="AJ182" s="14">
        <f>AI182*VLOOKUP('Données projet'!$B$10,Paramètres!$A$1:$I$89,3,0)*VLOOKUP('Données projet'!$B$10,Paramètres!$A$1:$I$89,5,0)</f>
        <v>1.9508661353029313E-13</v>
      </c>
      <c r="AK182" s="14">
        <f t="shared" si="164"/>
        <v>2.711421636700695E-12</v>
      </c>
      <c r="AL182" s="22">
        <f t="shared" si="165"/>
        <v>5.0621685358189711E-12</v>
      </c>
      <c r="AM182" s="62">
        <f t="shared" si="113"/>
        <v>293.33333333333837</v>
      </c>
      <c r="AN182" s="62">
        <f ca="1">AVERAGE(OFFSET($AM$3,0,0,'Données projet'!$E$10+1,1))-AVERAGE(OFFSET($H$3,0,0,'Données projet'!$E$10+1,1))</f>
        <v>258.09881752732008</v>
      </c>
      <c r="AO182" s="62">
        <f t="shared" si="144"/>
        <v>214.72899476643335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5.1428415964838171E-23</v>
      </c>
      <c r="AX182" s="23">
        <f t="shared" si="166"/>
        <v>5.1428415964838171E-23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-5.6843418860808015E-14</v>
      </c>
      <c r="BE182" s="14">
        <f>BD182*VLOOKUP('Données projet'!$B$11,Paramètres!$A$1:$I$89,3,0)*VLOOKUP('Données projet'!$B$11,Paramètres!$A$1:$I$89,5,0)</f>
        <v>-5.4978954722173515E-14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298.18906674058809</v>
      </c>
      <c r="BJ182" s="62">
        <f t="shared" si="146"/>
        <v>154.08406475869634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-5.6843418860808015E-14</v>
      </c>
      <c r="BZ182" s="14">
        <f>BY182*VLOOKUP('Données projet'!$B$12,Paramètres!$A$1:$I$89,3,0)*VLOOKUP('Données projet'!$B$12,Paramètres!$A$1:$I$89,5,0)</f>
        <v>-3.813056537183002E-14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218.24409784339861</v>
      </c>
      <c r="CE182" s="62">
        <f t="shared" si="148"/>
        <v>118.89963447540509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257.80952690600492</v>
      </c>
      <c r="T183" s="62">
        <f t="shared" si="142"/>
        <v>269.95358755269427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0.17104512343244394</v>
      </c>
      <c r="AA183" s="23">
        <f>EXP(-LN(2)/25)*AA182+(1-EXP(-LN(2)/25))/(LN(2)/25)*Calculateur!V183*Calculateur!X183*VLOOKUP('Données projet'!$B$9,Paramètres!$A$1:$I$89,3,0)*0.475*44/12</f>
        <v>0.12677688616298957</v>
      </c>
      <c r="AB183" s="23">
        <f>EXP(-LN(2)/2)*AB182+(1-EXP(-LN(2)/2))/(LN(2)/2)*V183*Y183*VLOOKUP('Données projet'!$B$9,Paramètres!$A$1:$I$89,3,0)*0.475*44/12</f>
        <v>3.4901869100791796E-22</v>
      </c>
      <c r="AC183" s="24">
        <f t="shared" si="163"/>
        <v>0.29782200959543348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3.4106051316484809E-13</v>
      </c>
      <c r="AJ183" s="14">
        <f>AI183*VLOOKUP('Données projet'!$B$10,Paramètres!$A$1:$I$89,3,0)*VLOOKUP('Données projet'!$B$10,Paramètres!$A$1:$I$89,5,0)</f>
        <v>1.9508661353029313E-13</v>
      </c>
      <c r="AK183" s="14">
        <f t="shared" si="164"/>
        <v>2.711421636700695E-12</v>
      </c>
      <c r="AL183" s="22">
        <f t="shared" si="165"/>
        <v>5.0621685358189711E-12</v>
      </c>
      <c r="AM183" s="62">
        <f t="shared" si="113"/>
        <v>293.33333333333837</v>
      </c>
      <c r="AN183" s="62">
        <f ca="1">AVERAGE(OFFSET($AM$3,0,0,'Données projet'!$E$10+1,1))-AVERAGE(OFFSET($H$3,0,0,'Données projet'!$E$10+1,1))</f>
        <v>258.09881752732008</v>
      </c>
      <c r="AO183" s="62">
        <f t="shared" si="144"/>
        <v>214.72899476643335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3.6365381674419577E-23</v>
      </c>
      <c r="AX183" s="23">
        <f t="shared" si="166"/>
        <v>3.6365381674419577E-23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-5.6843418860808015E-14</v>
      </c>
      <c r="BE183" s="14">
        <f>BD183*VLOOKUP('Données projet'!$B$11,Paramètres!$A$1:$I$89,3,0)*VLOOKUP('Données projet'!$B$11,Paramètres!$A$1:$I$89,5,0)</f>
        <v>-5.4978954722173515E-14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298.18906674058809</v>
      </c>
      <c r="BJ183" s="62">
        <f t="shared" si="146"/>
        <v>154.08406475869634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-5.6843418860808015E-14</v>
      </c>
      <c r="BZ183" s="14">
        <f>BY183*VLOOKUP('Données projet'!$B$12,Paramètres!$A$1:$I$89,3,0)*VLOOKUP('Données projet'!$B$12,Paramètres!$A$1:$I$89,5,0)</f>
        <v>-3.813056537183002E-14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218.24409784339861</v>
      </c>
      <c r="CE183" s="62">
        <f t="shared" si="148"/>
        <v>118.89963447540509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257.80952690600492</v>
      </c>
      <c r="T184" s="62">
        <f t="shared" si="142"/>
        <v>269.95358755269427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0.16769103288915754</v>
      </c>
      <c r="AA184" s="23">
        <f>EXP(-LN(2)/25)*AA183+(1-EXP(-LN(2)/25))/(LN(2)/25)*Calculateur!V184*Calculateur!X184*VLOOKUP('Données projet'!$B$9,Paramètres!$A$1:$I$89,3,0)*0.475*44/12</f>
        <v>0.12331016554395594</v>
      </c>
      <c r="AB184" s="23">
        <f>EXP(-LN(2)/2)*AB183+(1-EXP(-LN(2)/2))/(LN(2)/2)*V184*Y184*VLOOKUP('Données projet'!$B$9,Paramètres!$A$1:$I$89,3,0)*0.475*44/12</f>
        <v>2.4679348317255108E-22</v>
      </c>
      <c r="AC184" s="24">
        <f t="shared" si="163"/>
        <v>0.29100119843311345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3.4106051316484809E-13</v>
      </c>
      <c r="AJ184" s="14">
        <f>AI184*VLOOKUP('Données projet'!$B$10,Paramètres!$A$1:$I$89,3,0)*VLOOKUP('Données projet'!$B$10,Paramètres!$A$1:$I$89,5,0)</f>
        <v>1.9508661353029313E-13</v>
      </c>
      <c r="AK184" s="14">
        <f t="shared" si="164"/>
        <v>2.711421636700695E-12</v>
      </c>
      <c r="AL184" s="22">
        <f t="shared" si="165"/>
        <v>5.0621685358189711E-12</v>
      </c>
      <c r="AM184" s="62">
        <f t="shared" si="113"/>
        <v>293.33333333333837</v>
      </c>
      <c r="AN184" s="62">
        <f ca="1">AVERAGE(OFFSET($AM$3,0,0,'Données projet'!$E$10+1,1))-AVERAGE(OFFSET($H$3,0,0,'Données projet'!$E$10+1,1))</f>
        <v>258.09881752732008</v>
      </c>
      <c r="AO184" s="62">
        <f t="shared" si="144"/>
        <v>214.72899476643335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2.5714207982419091E-23</v>
      </c>
      <c r="AX184" s="23">
        <f t="shared" si="166"/>
        <v>2.5714207982419091E-23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-5.6843418860808015E-14</v>
      </c>
      <c r="BE184" s="14">
        <f>BD184*VLOOKUP('Données projet'!$B$11,Paramètres!$A$1:$I$89,3,0)*VLOOKUP('Données projet'!$B$11,Paramètres!$A$1:$I$89,5,0)</f>
        <v>-5.4978954722173515E-14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298.18906674058809</v>
      </c>
      <c r="BJ184" s="62">
        <f t="shared" si="146"/>
        <v>154.08406475869634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-5.6843418860808015E-14</v>
      </c>
      <c r="BZ184" s="14">
        <f>BY184*VLOOKUP('Données projet'!$B$12,Paramètres!$A$1:$I$89,3,0)*VLOOKUP('Données projet'!$B$12,Paramètres!$A$1:$I$89,5,0)</f>
        <v>-3.813056537183002E-14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218.24409784339861</v>
      </c>
      <c r="CE184" s="62">
        <f t="shared" si="148"/>
        <v>118.89963447540509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257.80952690600492</v>
      </c>
      <c r="T185" s="62">
        <f t="shared" si="142"/>
        <v>269.95358755269427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0.16440271401563178</v>
      </c>
      <c r="AA185" s="23">
        <f>EXP(-LN(2)/25)*AA184+(1-EXP(-LN(2)/25))/(LN(2)/25)*Calculateur!V185*Calculateur!X185*VLOOKUP('Données projet'!$B$9,Paramètres!$A$1:$I$89,3,0)*0.475*44/12</f>
        <v>0.11993824258255668</v>
      </c>
      <c r="AB185" s="23">
        <f>EXP(-LN(2)/2)*AB184+(1-EXP(-LN(2)/2))/(LN(2)/2)*V185*Y185*VLOOKUP('Données projet'!$B$9,Paramètres!$A$1:$I$89,3,0)*0.475*44/12</f>
        <v>1.7450934550395898E-22</v>
      </c>
      <c r="AC185" s="24">
        <f t="shared" si="163"/>
        <v>0.28434095659818848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3.4106051316484809E-13</v>
      </c>
      <c r="AJ185" s="14">
        <f>AI185*VLOOKUP('Données projet'!$B$10,Paramètres!$A$1:$I$89,3,0)*VLOOKUP('Données projet'!$B$10,Paramètres!$A$1:$I$89,5,0)</f>
        <v>1.9508661353029313E-13</v>
      </c>
      <c r="AK185" s="14">
        <f t="shared" si="164"/>
        <v>2.711421636700695E-12</v>
      </c>
      <c r="AL185" s="22">
        <f t="shared" si="165"/>
        <v>5.0621685358189711E-12</v>
      </c>
      <c r="AM185" s="62">
        <f t="shared" si="113"/>
        <v>293.33333333333837</v>
      </c>
      <c r="AN185" s="62">
        <f ca="1">AVERAGE(OFFSET($AM$3,0,0,'Données projet'!$E$10+1,1))-AVERAGE(OFFSET($H$3,0,0,'Données projet'!$E$10+1,1))</f>
        <v>258.09881752732008</v>
      </c>
      <c r="AO185" s="62">
        <f t="shared" si="144"/>
        <v>214.72899476643335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1.8182690837209791E-23</v>
      </c>
      <c r="AX185" s="23">
        <f t="shared" si="166"/>
        <v>1.8182690837209791E-23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-5.6843418860808015E-14</v>
      </c>
      <c r="BE185" s="14">
        <f>BD185*VLOOKUP('Données projet'!$B$11,Paramètres!$A$1:$I$89,3,0)*VLOOKUP('Données projet'!$B$11,Paramètres!$A$1:$I$89,5,0)</f>
        <v>-5.4978954722173515E-14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298.18906674058809</v>
      </c>
      <c r="BJ185" s="62">
        <f t="shared" si="146"/>
        <v>154.08406475869634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-5.6843418860808015E-14</v>
      </c>
      <c r="BZ185" s="14">
        <f>BY185*VLOOKUP('Données projet'!$B$12,Paramètres!$A$1:$I$89,3,0)*VLOOKUP('Données projet'!$B$12,Paramètres!$A$1:$I$89,5,0)</f>
        <v>-3.813056537183002E-14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218.24409784339861</v>
      </c>
      <c r="CE185" s="62">
        <f t="shared" si="148"/>
        <v>118.89963447540509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257.80952690600492</v>
      </c>
      <c r="T186" s="62">
        <f t="shared" si="142"/>
        <v>269.95358755269427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0.16117887706953937</v>
      </c>
      <c r="AA186" s="23">
        <f>EXP(-LN(2)/25)*AA185+(1-EXP(-LN(2)/25))/(LN(2)/25)*Calculateur!V186*Calculateur!X186*VLOOKUP('Données projet'!$B$9,Paramètres!$A$1:$I$89,3,0)*0.475*44/12</f>
        <v>0.11665852503185861</v>
      </c>
      <c r="AB186" s="23">
        <f>EXP(-LN(2)/2)*AB185+(1-EXP(-LN(2)/2))/(LN(2)/2)*V186*Y186*VLOOKUP('Données projet'!$B$9,Paramètres!$A$1:$I$89,3,0)*0.475*44/12</f>
        <v>1.2339674158627554E-22</v>
      </c>
      <c r="AC186" s="24">
        <f t="shared" si="163"/>
        <v>0.27783740210139796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3.4106051316484809E-13</v>
      </c>
      <c r="AJ186" s="14">
        <f>AI186*VLOOKUP('Données projet'!$B$10,Paramètres!$A$1:$I$89,3,0)*VLOOKUP('Données projet'!$B$10,Paramètres!$A$1:$I$89,5,0)</f>
        <v>1.9508661353029313E-13</v>
      </c>
      <c r="AK186" s="14">
        <f t="shared" si="164"/>
        <v>2.711421636700695E-12</v>
      </c>
      <c r="AL186" s="22">
        <f t="shared" si="165"/>
        <v>5.0621685358189711E-12</v>
      </c>
      <c r="AM186" s="62">
        <f t="shared" si="113"/>
        <v>293.33333333333837</v>
      </c>
      <c r="AN186" s="62">
        <f ca="1">AVERAGE(OFFSET($AM$3,0,0,'Données projet'!$E$10+1,1))-AVERAGE(OFFSET($H$3,0,0,'Données projet'!$E$10+1,1))</f>
        <v>258.09881752732008</v>
      </c>
      <c r="AO186" s="62">
        <f t="shared" si="144"/>
        <v>214.72899476643335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1.2857103991209547E-23</v>
      </c>
      <c r="AX186" s="23">
        <f t="shared" si="166"/>
        <v>1.2857103991209547E-23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-5.6843418860808015E-14</v>
      </c>
      <c r="BE186" s="14">
        <f>BD186*VLOOKUP('Données projet'!$B$11,Paramètres!$A$1:$I$89,3,0)*VLOOKUP('Données projet'!$B$11,Paramètres!$A$1:$I$89,5,0)</f>
        <v>-5.4978954722173515E-14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298.18906674058809</v>
      </c>
      <c r="BJ186" s="62">
        <f t="shared" si="146"/>
        <v>154.08406475869634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-5.6843418860808015E-14</v>
      </c>
      <c r="BZ186" s="14">
        <f>BY186*VLOOKUP('Données projet'!$B$12,Paramètres!$A$1:$I$89,3,0)*VLOOKUP('Données projet'!$B$12,Paramètres!$A$1:$I$89,5,0)</f>
        <v>-3.813056537183002E-14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218.24409784339861</v>
      </c>
      <c r="CE186" s="62">
        <f t="shared" si="148"/>
        <v>118.89963447540509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257.80952690600492</v>
      </c>
      <c r="T187" s="62">
        <f t="shared" si="142"/>
        <v>269.95358755269427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0.15801825759961347</v>
      </c>
      <c r="AA187" s="23">
        <f>EXP(-LN(2)/25)*AA186+(1-EXP(-LN(2)/25))/(LN(2)/25)*Calculateur!V187*Calculateur!X187*VLOOKUP('Données projet'!$B$9,Paramètres!$A$1:$I$89,3,0)*0.475*44/12</f>
        <v>0.11346849153005724</v>
      </c>
      <c r="AB187" s="23">
        <f>EXP(-LN(2)/2)*AB186+(1-EXP(-LN(2)/2))/(LN(2)/2)*V187*Y187*VLOOKUP('Données projet'!$B$9,Paramètres!$A$1:$I$89,3,0)*0.475*44/12</f>
        <v>8.7254672751979489E-23</v>
      </c>
      <c r="AC187" s="24">
        <f t="shared" si="163"/>
        <v>0.27148674912967069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3.4106051316484809E-13</v>
      </c>
      <c r="AJ187" s="14">
        <f>AI187*VLOOKUP('Données projet'!$B$10,Paramètres!$A$1:$I$89,3,0)*VLOOKUP('Données projet'!$B$10,Paramètres!$A$1:$I$89,5,0)</f>
        <v>1.9508661353029313E-13</v>
      </c>
      <c r="AK187" s="14">
        <f t="shared" si="164"/>
        <v>2.711421636700695E-12</v>
      </c>
      <c r="AL187" s="22">
        <f t="shared" si="165"/>
        <v>5.0621685358189711E-12</v>
      </c>
      <c r="AM187" s="62">
        <f t="shared" si="113"/>
        <v>293.33333333333837</v>
      </c>
      <c r="AN187" s="62">
        <f ca="1">AVERAGE(OFFSET($AM$3,0,0,'Données projet'!$E$10+1,1))-AVERAGE(OFFSET($H$3,0,0,'Données projet'!$E$10+1,1))</f>
        <v>258.09881752732008</v>
      </c>
      <c r="AO187" s="62">
        <f t="shared" si="144"/>
        <v>214.72899476643335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9.0913454186048971E-24</v>
      </c>
      <c r="AX187" s="23">
        <f t="shared" si="166"/>
        <v>9.0913454186048971E-24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-5.6843418860808015E-14</v>
      </c>
      <c r="BE187" s="14">
        <f>BD187*VLOOKUP('Données projet'!$B$11,Paramètres!$A$1:$I$89,3,0)*VLOOKUP('Données projet'!$B$11,Paramètres!$A$1:$I$89,5,0)</f>
        <v>-5.4978954722173515E-14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298.18906674058809</v>
      </c>
      <c r="BJ187" s="62">
        <f t="shared" si="146"/>
        <v>154.08406475869634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-5.6843418860808015E-14</v>
      </c>
      <c r="BZ187" s="14">
        <f>BY187*VLOOKUP('Données projet'!$B$12,Paramètres!$A$1:$I$89,3,0)*VLOOKUP('Données projet'!$B$12,Paramètres!$A$1:$I$89,5,0)</f>
        <v>-3.813056537183002E-14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218.24409784339861</v>
      </c>
      <c r="CE187" s="62">
        <f t="shared" si="148"/>
        <v>118.89963447540509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257.80952690600492</v>
      </c>
      <c r="T188" s="62">
        <f t="shared" si="142"/>
        <v>269.95358755269427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0.1549196159497053</v>
      </c>
      <c r="AA188" s="23">
        <f>EXP(-LN(2)/25)*AA187+(1-EXP(-LN(2)/25))/(LN(2)/25)*Calculateur!V188*Calculateur!X188*VLOOKUP('Données projet'!$B$9,Paramètres!$A$1:$I$89,3,0)*0.475*44/12</f>
        <v>0.1103656896621192</v>
      </c>
      <c r="AB188" s="23">
        <f>EXP(-LN(2)/2)*AB187+(1-EXP(-LN(2)/2))/(LN(2)/2)*V188*Y188*VLOOKUP('Données projet'!$B$9,Paramètres!$A$1:$I$89,3,0)*0.475*44/12</f>
        <v>6.1698370793137771E-23</v>
      </c>
      <c r="AC188" s="24">
        <f t="shared" si="163"/>
        <v>0.26528530561182451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3.4106051316484809E-13</v>
      </c>
      <c r="AJ188" s="14">
        <f>AI188*VLOOKUP('Données projet'!$B$10,Paramètres!$A$1:$I$89,3,0)*VLOOKUP('Données projet'!$B$10,Paramètres!$A$1:$I$89,5,0)</f>
        <v>1.9508661353029313E-13</v>
      </c>
      <c r="AK188" s="14">
        <f t="shared" si="164"/>
        <v>2.711421636700695E-12</v>
      </c>
      <c r="AL188" s="22">
        <f t="shared" si="165"/>
        <v>5.0621685358189711E-12</v>
      </c>
      <c r="AM188" s="62">
        <f t="shared" si="113"/>
        <v>293.33333333333837</v>
      </c>
      <c r="AN188" s="62">
        <f ca="1">AVERAGE(OFFSET($AM$3,0,0,'Données projet'!$E$10+1,1))-AVERAGE(OFFSET($H$3,0,0,'Données projet'!$E$10+1,1))</f>
        <v>258.09881752732008</v>
      </c>
      <c r="AO188" s="62">
        <f t="shared" si="144"/>
        <v>214.72899476643335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6.428551995604775E-24</v>
      </c>
      <c r="AX188" s="23">
        <f t="shared" si="166"/>
        <v>6.428551995604775E-24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-5.6843418860808015E-14</v>
      </c>
      <c r="BE188" s="14">
        <f>BD188*VLOOKUP('Données projet'!$B$11,Paramètres!$A$1:$I$89,3,0)*VLOOKUP('Données projet'!$B$11,Paramètres!$A$1:$I$89,5,0)</f>
        <v>-5.4978954722173515E-14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298.18906674058809</v>
      </c>
      <c r="BJ188" s="62">
        <f t="shared" si="146"/>
        <v>154.08406475869634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-5.6843418860808015E-14</v>
      </c>
      <c r="BZ188" s="14">
        <f>BY188*VLOOKUP('Données projet'!$B$12,Paramètres!$A$1:$I$89,3,0)*VLOOKUP('Données projet'!$B$12,Paramètres!$A$1:$I$89,5,0)</f>
        <v>-3.813056537183002E-14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218.24409784339861</v>
      </c>
      <c r="CE188" s="62">
        <f t="shared" si="148"/>
        <v>118.89963447540509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257.80952690600492</v>
      </c>
      <c r="T189" s="62">
        <f t="shared" si="142"/>
        <v>269.95358755269427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0.15188173677256703</v>
      </c>
      <c r="AA189" s="23">
        <f>EXP(-LN(2)/25)*AA188+(1-EXP(-LN(2)/25))/(LN(2)/25)*Calculateur!V189*Calculateur!X189*VLOOKUP('Données projet'!$B$9,Paramètres!$A$1:$I$89,3,0)*0.475*44/12</f>
        <v>0.10734773407442917</v>
      </c>
      <c r="AB189" s="23">
        <f>EXP(-LN(2)/2)*AB188+(1-EXP(-LN(2)/2))/(LN(2)/2)*V189*Y189*VLOOKUP('Données projet'!$B$9,Paramètres!$A$1:$I$89,3,0)*0.475*44/12</f>
        <v>4.3627336375989745E-23</v>
      </c>
      <c r="AC189" s="24">
        <f t="shared" si="163"/>
        <v>0.25922947084699621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3.4106051316484809E-13</v>
      </c>
      <c r="AJ189" s="14">
        <f>AI189*VLOOKUP('Données projet'!$B$10,Paramètres!$A$1:$I$89,3,0)*VLOOKUP('Données projet'!$B$10,Paramètres!$A$1:$I$89,5,0)</f>
        <v>1.9508661353029313E-13</v>
      </c>
      <c r="AK189" s="14">
        <f t="shared" si="164"/>
        <v>2.711421636700695E-12</v>
      </c>
      <c r="AL189" s="22">
        <f t="shared" si="165"/>
        <v>5.0621685358189711E-12</v>
      </c>
      <c r="AM189" s="62">
        <f t="shared" si="113"/>
        <v>293.33333333333837</v>
      </c>
      <c r="AN189" s="62">
        <f ca="1">AVERAGE(OFFSET($AM$3,0,0,'Données projet'!$E$10+1,1))-AVERAGE(OFFSET($H$3,0,0,'Données projet'!$E$10+1,1))</f>
        <v>258.09881752732008</v>
      </c>
      <c r="AO189" s="62">
        <f t="shared" si="144"/>
        <v>214.72899476643335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4.5456727093024493E-24</v>
      </c>
      <c r="AX189" s="23">
        <f t="shared" si="166"/>
        <v>4.5456727093024493E-24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-5.6843418860808015E-14</v>
      </c>
      <c r="BE189" s="14">
        <f>BD189*VLOOKUP('Données projet'!$B$11,Paramètres!$A$1:$I$89,3,0)*VLOOKUP('Données projet'!$B$11,Paramètres!$A$1:$I$89,5,0)</f>
        <v>-5.4978954722173515E-14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298.18906674058809</v>
      </c>
      <c r="BJ189" s="62">
        <f t="shared" si="146"/>
        <v>154.08406475869634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-5.6843418860808015E-14</v>
      </c>
      <c r="BZ189" s="14">
        <f>BY189*VLOOKUP('Données projet'!$B$12,Paramètres!$A$1:$I$89,3,0)*VLOOKUP('Données projet'!$B$12,Paramètres!$A$1:$I$89,5,0)</f>
        <v>-3.813056537183002E-14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218.24409784339861</v>
      </c>
      <c r="CE189" s="62">
        <f t="shared" si="148"/>
        <v>118.89963447540509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257.80952690600492</v>
      </c>
      <c r="T190" s="62">
        <f t="shared" si="142"/>
        <v>269.95358755269427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0.1489034285531691</v>
      </c>
      <c r="AA190" s="23">
        <f>EXP(-LN(2)/25)*AA189+(1-EXP(-LN(2)/25))/(LN(2)/25)*Calculateur!V190*Calculateur!X190*VLOOKUP('Données projet'!$B$9,Paramètres!$A$1:$I$89,3,0)*0.475*44/12</f>
        <v>0.10441230464099192</v>
      </c>
      <c r="AB190" s="23">
        <f>EXP(-LN(2)/2)*AB189+(1-EXP(-LN(2)/2))/(LN(2)/2)*V190*Y190*VLOOKUP('Données projet'!$B$9,Paramètres!$A$1:$I$89,3,0)*0.475*44/12</f>
        <v>3.0849185396568885E-23</v>
      </c>
      <c r="AC190" s="24">
        <f t="shared" si="163"/>
        <v>0.25331573319416101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3.4106051316484809E-13</v>
      </c>
      <c r="AJ190" s="14">
        <f>AI190*VLOOKUP('Données projet'!$B$10,Paramètres!$A$1:$I$89,3,0)*VLOOKUP('Données projet'!$B$10,Paramètres!$A$1:$I$89,5,0)</f>
        <v>1.9508661353029313E-13</v>
      </c>
      <c r="AK190" s="14">
        <f t="shared" si="164"/>
        <v>2.711421636700695E-12</v>
      </c>
      <c r="AL190" s="22">
        <f t="shared" si="165"/>
        <v>5.0621685358189711E-12</v>
      </c>
      <c r="AM190" s="62">
        <f t="shared" si="113"/>
        <v>293.33333333333837</v>
      </c>
      <c r="AN190" s="62">
        <f ca="1">AVERAGE(OFFSET($AM$3,0,0,'Données projet'!$E$10+1,1))-AVERAGE(OFFSET($H$3,0,0,'Données projet'!$E$10+1,1))</f>
        <v>258.09881752732008</v>
      </c>
      <c r="AO190" s="62">
        <f t="shared" si="144"/>
        <v>214.72899476643335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3.2142759978023879E-24</v>
      </c>
      <c r="AX190" s="23">
        <f t="shared" si="166"/>
        <v>3.2142759978023879E-24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-5.6843418860808015E-14</v>
      </c>
      <c r="BE190" s="14">
        <f>BD190*VLOOKUP('Données projet'!$B$11,Paramètres!$A$1:$I$89,3,0)*VLOOKUP('Données projet'!$B$11,Paramètres!$A$1:$I$89,5,0)</f>
        <v>-5.4978954722173515E-14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298.18906674058809</v>
      </c>
      <c r="BJ190" s="62">
        <f t="shared" si="146"/>
        <v>154.08406475869634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-5.6843418860808015E-14</v>
      </c>
      <c r="BZ190" s="14">
        <f>BY190*VLOOKUP('Données projet'!$B$12,Paramètres!$A$1:$I$89,3,0)*VLOOKUP('Données projet'!$B$12,Paramètres!$A$1:$I$89,5,0)</f>
        <v>-3.813056537183002E-14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218.24409784339861</v>
      </c>
      <c r="CE190" s="62">
        <f t="shared" si="148"/>
        <v>118.89963447540509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257.80952690600492</v>
      </c>
      <c r="T191" s="62">
        <f t="shared" si="142"/>
        <v>269.95358755269427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0.14598352314136492</v>
      </c>
      <c r="AA191" s="23">
        <f>EXP(-LN(2)/25)*AA190+(1-EXP(-LN(2)/25))/(LN(2)/25)*Calculateur!V191*Calculateur!X191*VLOOKUP('Données projet'!$B$9,Paramètres!$A$1:$I$89,3,0)*0.475*44/12</f>
        <v>0.10155714467977954</v>
      </c>
      <c r="AB191" s="23">
        <f>EXP(-LN(2)/2)*AB190+(1-EXP(-LN(2)/2))/(LN(2)/2)*V191*Y191*VLOOKUP('Données projet'!$B$9,Paramètres!$A$1:$I$89,3,0)*0.475*44/12</f>
        <v>2.1813668187994872E-23</v>
      </c>
      <c r="AC191" s="24">
        <f t="shared" si="163"/>
        <v>0.24754066782114448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3.4106051316484809E-13</v>
      </c>
      <c r="AJ191" s="14">
        <f>AI191*VLOOKUP('Données projet'!$B$10,Paramètres!$A$1:$I$89,3,0)*VLOOKUP('Données projet'!$B$10,Paramètres!$A$1:$I$89,5,0)</f>
        <v>1.9508661353029313E-13</v>
      </c>
      <c r="AK191" s="14">
        <f t="shared" si="164"/>
        <v>2.711421636700695E-12</v>
      </c>
      <c r="AL191" s="22">
        <f t="shared" si="165"/>
        <v>5.0621685358189711E-12</v>
      </c>
      <c r="AM191" s="62">
        <f t="shared" si="113"/>
        <v>293.33333333333837</v>
      </c>
      <c r="AN191" s="62">
        <f ca="1">AVERAGE(OFFSET($AM$3,0,0,'Données projet'!$E$10+1,1))-AVERAGE(OFFSET($H$3,0,0,'Données projet'!$E$10+1,1))</f>
        <v>258.09881752732008</v>
      </c>
      <c r="AO191" s="62">
        <f t="shared" si="144"/>
        <v>214.72899476643335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2.272836354651225E-24</v>
      </c>
      <c r="AX191" s="23">
        <f t="shared" si="166"/>
        <v>2.272836354651225E-24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-5.6843418860808015E-14</v>
      </c>
      <c r="BE191" s="14">
        <f>BD191*VLOOKUP('Données projet'!$B$11,Paramètres!$A$1:$I$89,3,0)*VLOOKUP('Données projet'!$B$11,Paramètres!$A$1:$I$89,5,0)</f>
        <v>-5.4978954722173515E-14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298.18906674058809</v>
      </c>
      <c r="BJ191" s="62">
        <f t="shared" si="146"/>
        <v>154.08406475869634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-5.6843418860808015E-14</v>
      </c>
      <c r="BZ191" s="14">
        <f>BY191*VLOOKUP('Données projet'!$B$12,Paramètres!$A$1:$I$89,3,0)*VLOOKUP('Données projet'!$B$12,Paramètres!$A$1:$I$89,5,0)</f>
        <v>-3.813056537183002E-14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218.24409784339861</v>
      </c>
      <c r="CE191" s="62">
        <f t="shared" si="148"/>
        <v>118.89963447540509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257.80952690600492</v>
      </c>
      <c r="T192" s="62">
        <f t="shared" si="142"/>
        <v>269.95358755269427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0.14312087529371978</v>
      </c>
      <c r="AA192" s="23">
        <f>EXP(-LN(2)/25)*AA191+(1-EXP(-LN(2)/25))/(LN(2)/25)*Calculateur!V192*Calculateur!X192*VLOOKUP('Données projet'!$B$9,Paramètres!$A$1:$I$89,3,0)*0.475*44/12</f>
        <v>9.8780059217852836E-2</v>
      </c>
      <c r="AB192" s="23">
        <f>EXP(-LN(2)/2)*AB191+(1-EXP(-LN(2)/2))/(LN(2)/2)*V192*Y192*VLOOKUP('Données projet'!$B$9,Paramètres!$A$1:$I$89,3,0)*0.475*44/12</f>
        <v>1.5424592698284443E-23</v>
      </c>
      <c r="AC192" s="24">
        <f t="shared" si="163"/>
        <v>0.24190093451157263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3.4106051316484809E-13</v>
      </c>
      <c r="AJ192" s="14">
        <f>AI192*VLOOKUP('Données projet'!$B$10,Paramètres!$A$1:$I$89,3,0)*VLOOKUP('Données projet'!$B$10,Paramètres!$A$1:$I$89,5,0)</f>
        <v>1.9508661353029313E-13</v>
      </c>
      <c r="AK192" s="14">
        <f t="shared" si="164"/>
        <v>2.711421636700695E-12</v>
      </c>
      <c r="AL192" s="22">
        <f t="shared" si="165"/>
        <v>5.0621685358189711E-12</v>
      </c>
      <c r="AM192" s="62">
        <f t="shared" si="113"/>
        <v>293.33333333333837</v>
      </c>
      <c r="AN192" s="62">
        <f ca="1">AVERAGE(OFFSET($AM$3,0,0,'Données projet'!$E$10+1,1))-AVERAGE(OFFSET($H$3,0,0,'Données projet'!$E$10+1,1))</f>
        <v>258.09881752732008</v>
      </c>
      <c r="AO192" s="62">
        <f t="shared" si="144"/>
        <v>214.72899476643335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1.6071379989011941E-24</v>
      </c>
      <c r="AX192" s="23">
        <f t="shared" si="166"/>
        <v>1.6071379989011941E-24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-5.6843418860808015E-14</v>
      </c>
      <c r="BE192" s="14">
        <f>BD192*VLOOKUP('Données projet'!$B$11,Paramètres!$A$1:$I$89,3,0)*VLOOKUP('Données projet'!$B$11,Paramètres!$A$1:$I$89,5,0)</f>
        <v>-5.4978954722173515E-14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298.18906674058809</v>
      </c>
      <c r="BJ192" s="62">
        <f t="shared" si="146"/>
        <v>154.08406475869634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-5.6843418860808015E-14</v>
      </c>
      <c r="BZ192" s="14">
        <f>BY192*VLOOKUP('Données projet'!$B$12,Paramètres!$A$1:$I$89,3,0)*VLOOKUP('Données projet'!$B$12,Paramètres!$A$1:$I$89,5,0)</f>
        <v>-3.813056537183002E-14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218.24409784339861</v>
      </c>
      <c r="CE192" s="62">
        <f t="shared" si="148"/>
        <v>118.89963447540509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257.80952690600492</v>
      </c>
      <c r="T193" s="62">
        <f t="shared" si="142"/>
        <v>269.95358755269427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0.1403143622243242</v>
      </c>
      <c r="AA193" s="23">
        <f>EXP(-LN(2)/25)*AA192+(1-EXP(-LN(2)/25))/(LN(2)/25)*Calculateur!V193*Calculateur!X193*VLOOKUP('Données projet'!$B$9,Paramètres!$A$1:$I$89,3,0)*0.475*44/12</f>
        <v>9.6078913303923097E-2</v>
      </c>
      <c r="AB193" s="23">
        <f>EXP(-LN(2)/2)*AB192+(1-EXP(-LN(2)/2))/(LN(2)/2)*V193*Y193*VLOOKUP('Données projet'!$B$9,Paramètres!$A$1:$I$89,3,0)*0.475*44/12</f>
        <v>1.0906834093997436E-23</v>
      </c>
      <c r="AC193" s="24">
        <f t="shared" si="163"/>
        <v>0.23639327552824729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3.4106051316484809E-13</v>
      </c>
      <c r="AJ193" s="14">
        <f>AI193*VLOOKUP('Données projet'!$B$10,Paramètres!$A$1:$I$89,3,0)*VLOOKUP('Données projet'!$B$10,Paramètres!$A$1:$I$89,5,0)</f>
        <v>1.9508661353029313E-13</v>
      </c>
      <c r="AK193" s="14">
        <f t="shared" si="164"/>
        <v>2.711421636700695E-12</v>
      </c>
      <c r="AL193" s="22">
        <f t="shared" si="165"/>
        <v>5.0621685358189711E-12</v>
      </c>
      <c r="AM193" s="62">
        <f t="shared" si="113"/>
        <v>293.33333333333837</v>
      </c>
      <c r="AN193" s="62">
        <f ca="1">AVERAGE(OFFSET($AM$3,0,0,'Données projet'!$E$10+1,1))-AVERAGE(OFFSET($H$3,0,0,'Données projet'!$E$10+1,1))</f>
        <v>258.09881752732008</v>
      </c>
      <c r="AO193" s="62">
        <f t="shared" si="144"/>
        <v>214.72899476643335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1.1364181773256127E-24</v>
      </c>
      <c r="AX193" s="23">
        <f t="shared" si="166"/>
        <v>1.1364181773256127E-24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-5.6843418860808015E-14</v>
      </c>
      <c r="BE193" s="14">
        <f>BD193*VLOOKUP('Données projet'!$B$11,Paramètres!$A$1:$I$89,3,0)*VLOOKUP('Données projet'!$B$11,Paramètres!$A$1:$I$89,5,0)</f>
        <v>-5.4978954722173515E-14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298.18906674058809</v>
      </c>
      <c r="BJ193" s="62">
        <f t="shared" si="146"/>
        <v>154.08406475869634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-5.6843418860808015E-14</v>
      </c>
      <c r="BZ193" s="14">
        <f>BY193*VLOOKUP('Données projet'!$B$12,Paramètres!$A$1:$I$89,3,0)*VLOOKUP('Données projet'!$B$12,Paramètres!$A$1:$I$89,5,0)</f>
        <v>-3.813056537183002E-14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218.24409784339861</v>
      </c>
      <c r="CE193" s="62">
        <f t="shared" si="148"/>
        <v>118.89963447540509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257.80952690600492</v>
      </c>
      <c r="T194" s="62">
        <f t="shared" si="142"/>
        <v>269.95358755269427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0.13756288316441551</v>
      </c>
      <c r="AA194" s="23">
        <f>EXP(-LN(2)/25)*AA193+(1-EXP(-LN(2)/25))/(LN(2)/25)*Calculateur!V194*Calculateur!X194*VLOOKUP('Données projet'!$B$9,Paramètres!$A$1:$I$89,3,0)*0.475*44/12</f>
        <v>9.3451630367056865E-2</v>
      </c>
      <c r="AB194" s="23">
        <f>EXP(-LN(2)/2)*AB193+(1-EXP(-LN(2)/2))/(LN(2)/2)*V194*Y194*VLOOKUP('Données projet'!$B$9,Paramètres!$A$1:$I$89,3,0)*0.475*44/12</f>
        <v>7.7122963491422213E-24</v>
      </c>
      <c r="AC194" s="24">
        <f t="shared" si="163"/>
        <v>0.23101451353147237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3.4106051316484809E-13</v>
      </c>
      <c r="AJ194" s="14">
        <f>AI194*VLOOKUP('Données projet'!$B$10,Paramètres!$A$1:$I$89,3,0)*VLOOKUP('Données projet'!$B$10,Paramètres!$A$1:$I$89,5,0)</f>
        <v>1.9508661353029313E-13</v>
      </c>
      <c r="AK194" s="14">
        <f t="shared" si="164"/>
        <v>2.711421636700695E-12</v>
      </c>
      <c r="AL194" s="22">
        <f t="shared" si="165"/>
        <v>5.0621685358189711E-12</v>
      </c>
      <c r="AM194" s="62">
        <f t="shared" si="113"/>
        <v>293.33333333333837</v>
      </c>
      <c r="AN194" s="62">
        <f ca="1">AVERAGE(OFFSET($AM$3,0,0,'Données projet'!$E$10+1,1))-AVERAGE(OFFSET($H$3,0,0,'Données projet'!$E$10+1,1))</f>
        <v>258.09881752732008</v>
      </c>
      <c r="AO194" s="62">
        <f t="shared" si="144"/>
        <v>214.72899476643335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8.0356899945059725E-25</v>
      </c>
      <c r="AX194" s="23">
        <f t="shared" si="166"/>
        <v>8.0356899945059725E-25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-5.6843418860808015E-14</v>
      </c>
      <c r="BE194" s="14">
        <f>BD194*VLOOKUP('Données projet'!$B$11,Paramètres!$A$1:$I$89,3,0)*VLOOKUP('Données projet'!$B$11,Paramètres!$A$1:$I$89,5,0)</f>
        <v>-5.4978954722173515E-14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298.18906674058809</v>
      </c>
      <c r="BJ194" s="62">
        <f t="shared" si="146"/>
        <v>154.08406475869634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-5.6843418860808015E-14</v>
      </c>
      <c r="BZ194" s="14">
        <f>BY194*VLOOKUP('Données projet'!$B$12,Paramètres!$A$1:$I$89,3,0)*VLOOKUP('Données projet'!$B$12,Paramètres!$A$1:$I$89,5,0)</f>
        <v>-3.813056537183002E-14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218.24409784339861</v>
      </c>
      <c r="CE194" s="62">
        <f t="shared" si="148"/>
        <v>118.89963447540509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257.80952690600492</v>
      </c>
      <c r="T195" s="62">
        <f t="shared" si="142"/>
        <v>269.95358755269427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0.13486535893063512</v>
      </c>
      <c r="AA195" s="23">
        <f>EXP(-LN(2)/25)*AA194+(1-EXP(-LN(2)/25))/(LN(2)/25)*Calculateur!V195*Calculateur!X195*VLOOKUP('Données projet'!$B$9,Paramètres!$A$1:$I$89,3,0)*0.475*44/12</f>
        <v>9.0896190620262038E-2</v>
      </c>
      <c r="AB195" s="23">
        <f>EXP(-LN(2)/2)*AB194+(1-EXP(-LN(2)/2))/(LN(2)/2)*V195*Y195*VLOOKUP('Données projet'!$B$9,Paramètres!$A$1:$I$89,3,0)*0.475*44/12</f>
        <v>5.4534170469987181E-24</v>
      </c>
      <c r="AC195" s="24">
        <f t="shared" si="163"/>
        <v>0.22576154955089717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3.4106051316484809E-13</v>
      </c>
      <c r="AJ195" s="14">
        <f>AI195*VLOOKUP('Données projet'!$B$10,Paramètres!$A$1:$I$89,3,0)*VLOOKUP('Données projet'!$B$10,Paramètres!$A$1:$I$89,5,0)</f>
        <v>1.9508661353029313E-13</v>
      </c>
      <c r="AK195" s="14">
        <f t="shared" si="164"/>
        <v>2.711421636700695E-12</v>
      </c>
      <c r="AL195" s="22">
        <f t="shared" si="165"/>
        <v>5.0621685358189711E-12</v>
      </c>
      <c r="AM195" s="62">
        <f t="shared" si="113"/>
        <v>293.33333333333837</v>
      </c>
      <c r="AN195" s="62">
        <f ca="1">AVERAGE(OFFSET($AM$3,0,0,'Données projet'!$E$10+1,1))-AVERAGE(OFFSET($H$3,0,0,'Données projet'!$E$10+1,1))</f>
        <v>258.09881752732008</v>
      </c>
      <c r="AO195" s="62">
        <f t="shared" si="144"/>
        <v>214.72899476643335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5.6820908866280644E-25</v>
      </c>
      <c r="AX195" s="23">
        <f t="shared" si="166"/>
        <v>5.6820908866280644E-25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-5.6843418860808015E-14</v>
      </c>
      <c r="BE195" s="14">
        <f>BD195*VLOOKUP('Données projet'!$B$11,Paramètres!$A$1:$I$89,3,0)*VLOOKUP('Données projet'!$B$11,Paramètres!$A$1:$I$89,5,0)</f>
        <v>-5.4978954722173515E-14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298.18906674058809</v>
      </c>
      <c r="BJ195" s="62">
        <f t="shared" si="146"/>
        <v>154.08406475869634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-5.6843418860808015E-14</v>
      </c>
      <c r="BZ195" s="14">
        <f>BY195*VLOOKUP('Données projet'!$B$12,Paramètres!$A$1:$I$89,3,0)*VLOOKUP('Données projet'!$B$12,Paramètres!$A$1:$I$89,5,0)</f>
        <v>-3.813056537183002E-14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218.24409784339861</v>
      </c>
      <c r="CE195" s="62">
        <f t="shared" si="148"/>
        <v>118.89963447540509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257.80952690600492</v>
      </c>
      <c r="T196" s="62">
        <f t="shared" si="142"/>
        <v>269.95358755269427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0.13222073150175184</v>
      </c>
      <c r="AA196" s="23">
        <f>EXP(-LN(2)/25)*AA195+(1-EXP(-LN(2)/25))/(LN(2)/25)*Calculateur!V196*Calculateur!X196*VLOOKUP('Données projet'!$B$9,Paramètres!$A$1:$I$89,3,0)*0.475*44/12</f>
        <v>8.8410629507728059E-2</v>
      </c>
      <c r="AB196" s="23">
        <f>EXP(-LN(2)/2)*AB195+(1-EXP(-LN(2)/2))/(LN(2)/2)*V196*Y196*VLOOKUP('Données projet'!$B$9,Paramètres!$A$1:$I$89,3,0)*0.475*44/12</f>
        <v>3.8561481745711107E-24</v>
      </c>
      <c r="AC196" s="24">
        <f t="shared" si="163"/>
        <v>0.22063136100947989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3.4106051316484809E-13</v>
      </c>
      <c r="AJ196" s="14">
        <f>AI196*VLOOKUP('Données projet'!$B$10,Paramètres!$A$1:$I$89,3,0)*VLOOKUP('Données projet'!$B$10,Paramètres!$A$1:$I$89,5,0)</f>
        <v>1.9508661353029313E-13</v>
      </c>
      <c r="AK196" s="14">
        <f t="shared" si="164"/>
        <v>2.711421636700695E-12</v>
      </c>
      <c r="AL196" s="22">
        <f t="shared" si="165"/>
        <v>5.0621685358189711E-12</v>
      </c>
      <c r="AM196" s="62">
        <f t="shared" ref="AM196:AM203" si="193">AL196+(AD196+AE196)*44/12</f>
        <v>293.33333333333837</v>
      </c>
      <c r="AN196" s="62">
        <f ca="1">AVERAGE(OFFSET($AM$3,0,0,'Données projet'!$E$10+1,1))-AVERAGE(OFFSET($H$3,0,0,'Données projet'!$E$10+1,1))</f>
        <v>258.09881752732008</v>
      </c>
      <c r="AO196" s="62">
        <f t="shared" si="144"/>
        <v>214.72899476643335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4.0178449972529867E-25</v>
      </c>
      <c r="AX196" s="23">
        <f t="shared" si="166"/>
        <v>4.0178449972529867E-25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-5.6843418860808015E-14</v>
      </c>
      <c r="BE196" s="14">
        <f>BD196*VLOOKUP('Données projet'!$B$11,Paramètres!$A$1:$I$89,3,0)*VLOOKUP('Données projet'!$B$11,Paramètres!$A$1:$I$89,5,0)</f>
        <v>-5.4978954722173515E-14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298.18906674058809</v>
      </c>
      <c r="BJ196" s="62">
        <f t="shared" si="146"/>
        <v>154.08406475869634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-5.6843418860808015E-14</v>
      </c>
      <c r="BZ196" s="14">
        <f>BY196*VLOOKUP('Données projet'!$B$12,Paramètres!$A$1:$I$89,3,0)*VLOOKUP('Données projet'!$B$12,Paramètres!$A$1:$I$89,5,0)</f>
        <v>-3.813056537183002E-14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218.24409784339861</v>
      </c>
      <c r="CE196" s="62">
        <f t="shared" si="148"/>
        <v>118.89963447540509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257.80952690600492</v>
      </c>
      <c r="T197" s="62">
        <f t="shared" ref="T197:T203" si="204">$T$3</f>
        <v>269.95358755269427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0.1296279636036855</v>
      </c>
      <c r="AA197" s="23">
        <f>EXP(-LN(2)/25)*AA196+(1-EXP(-LN(2)/25))/(LN(2)/25)*Calculateur!V197*Calculateur!X197*VLOOKUP('Données projet'!$B$9,Paramètres!$A$1:$I$89,3,0)*0.475*44/12</f>
        <v>8.5993036194526293E-2</v>
      </c>
      <c r="AB197" s="23">
        <f>EXP(-LN(2)/2)*AB196+(1-EXP(-LN(2)/2))/(LN(2)/2)*V197*Y197*VLOOKUP('Données projet'!$B$9,Paramètres!$A$1:$I$89,3,0)*0.475*44/12</f>
        <v>2.726708523499359E-24</v>
      </c>
      <c r="AC197" s="24">
        <f t="shared" si="163"/>
        <v>0.21562099979821181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3.4106051316484809E-13</v>
      </c>
      <c r="AJ197" s="14">
        <f>AI197*VLOOKUP('Données projet'!$B$10,Paramètres!$A$1:$I$89,3,0)*VLOOKUP('Données projet'!$B$10,Paramètres!$A$1:$I$89,5,0)</f>
        <v>1.9508661353029313E-13</v>
      </c>
      <c r="AK197" s="14">
        <f t="shared" si="164"/>
        <v>2.711421636700695E-12</v>
      </c>
      <c r="AL197" s="22">
        <f t="shared" si="165"/>
        <v>5.0621685358189711E-12</v>
      </c>
      <c r="AM197" s="62">
        <f t="shared" si="193"/>
        <v>293.33333333333837</v>
      </c>
      <c r="AN197" s="62">
        <f ca="1">AVERAGE(OFFSET($AM$3,0,0,'Données projet'!$E$10+1,1))-AVERAGE(OFFSET($H$3,0,0,'Données projet'!$E$10+1,1))</f>
        <v>258.09881752732008</v>
      </c>
      <c r="AO197" s="62">
        <f t="shared" ref="AO197:AO203" si="205">$AO$3</f>
        <v>214.72899476643335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2.8410454433140327E-25</v>
      </c>
      <c r="AX197" s="23">
        <f t="shared" si="166"/>
        <v>2.8410454433140327E-25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-5.6843418860808015E-14</v>
      </c>
      <c r="BE197" s="14">
        <f>BD197*VLOOKUP('Données projet'!$B$11,Paramètres!$A$1:$I$89,3,0)*VLOOKUP('Données projet'!$B$11,Paramètres!$A$1:$I$89,5,0)</f>
        <v>-5.4978954722173515E-14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298.18906674058809</v>
      </c>
      <c r="BJ197" s="62">
        <f t="shared" ref="BJ197:BJ203" si="206">$BJ$3</f>
        <v>154.08406475869634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-5.6843418860808015E-14</v>
      </c>
      <c r="BZ197" s="14">
        <f>BY197*VLOOKUP('Données projet'!$B$12,Paramètres!$A$1:$I$89,3,0)*VLOOKUP('Données projet'!$B$12,Paramètres!$A$1:$I$89,5,0)</f>
        <v>-3.813056537183002E-14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218.24409784339861</v>
      </c>
      <c r="CE197" s="62">
        <f t="shared" ref="CE197:CE203" si="207">$CE$3</f>
        <v>118.89963447540509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257.80952690600492</v>
      </c>
      <c r="T198" s="62">
        <f t="shared" si="204"/>
        <v>269.95358755269427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0.12708603830266799</v>
      </c>
      <c r="AA198" s="23">
        <f>EXP(-LN(2)/25)*AA197+(1-EXP(-LN(2)/25))/(LN(2)/25)*Calculateur!V198*Calculateur!X198*VLOOKUP('Données projet'!$B$9,Paramètres!$A$1:$I$89,3,0)*0.475*44/12</f>
        <v>8.3641552097609734E-2</v>
      </c>
      <c r="AB198" s="23">
        <f>EXP(-LN(2)/2)*AB197+(1-EXP(-LN(2)/2))/(LN(2)/2)*V198*Y198*VLOOKUP('Données projet'!$B$9,Paramètres!$A$1:$I$89,3,0)*0.475*44/12</f>
        <v>1.9280740872855553E-24</v>
      </c>
      <c r="AC198" s="24">
        <f t="shared" si="163"/>
        <v>0.21072759040027772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3.4106051316484809E-13</v>
      </c>
      <c r="AJ198" s="14">
        <f>AI198*VLOOKUP('Données projet'!$B$10,Paramètres!$A$1:$I$89,3,0)*VLOOKUP('Données projet'!$B$10,Paramètres!$A$1:$I$89,5,0)</f>
        <v>1.9508661353029313E-13</v>
      </c>
      <c r="AK198" s="14">
        <f t="shared" si="164"/>
        <v>2.711421636700695E-12</v>
      </c>
      <c r="AL198" s="22">
        <f t="shared" si="165"/>
        <v>5.0621685358189711E-12</v>
      </c>
      <c r="AM198" s="62">
        <f t="shared" si="193"/>
        <v>293.33333333333837</v>
      </c>
      <c r="AN198" s="62">
        <f ca="1">AVERAGE(OFFSET($AM$3,0,0,'Données projet'!$E$10+1,1))-AVERAGE(OFFSET($H$3,0,0,'Données projet'!$E$10+1,1))</f>
        <v>258.09881752732008</v>
      </c>
      <c r="AO198" s="62">
        <f t="shared" si="205"/>
        <v>214.72899476643335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2.0089224986264938E-25</v>
      </c>
      <c r="AX198" s="23">
        <f t="shared" si="166"/>
        <v>2.0089224986264938E-25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-5.6843418860808015E-14</v>
      </c>
      <c r="BE198" s="14">
        <f>BD198*VLOOKUP('Données projet'!$B$11,Paramètres!$A$1:$I$89,3,0)*VLOOKUP('Données projet'!$B$11,Paramètres!$A$1:$I$89,5,0)</f>
        <v>-5.4978954722173515E-14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298.18906674058809</v>
      </c>
      <c r="BJ198" s="62">
        <f t="shared" si="206"/>
        <v>154.08406475869634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-5.6843418860808015E-14</v>
      </c>
      <c r="BZ198" s="14">
        <f>BY198*VLOOKUP('Données projet'!$B$12,Paramètres!$A$1:$I$89,3,0)*VLOOKUP('Données projet'!$B$12,Paramètres!$A$1:$I$89,5,0)</f>
        <v>-3.813056537183002E-14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218.24409784339861</v>
      </c>
      <c r="CE198" s="62">
        <f t="shared" si="207"/>
        <v>118.89963447540509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257.80952690600492</v>
      </c>
      <c r="T199" s="62">
        <f t="shared" si="204"/>
        <v>269.95358755269427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0.12459395860638207</v>
      </c>
      <c r="AA199" s="23">
        <f>EXP(-LN(2)/25)*AA198+(1-EXP(-LN(2)/25))/(LN(2)/25)*Calculateur!V199*Calculateur!X199*VLOOKUP('Données projet'!$B$9,Paramètres!$A$1:$I$89,3,0)*0.475*44/12</f>
        <v>8.1354369456982531E-2</v>
      </c>
      <c r="AB199" s="23">
        <f>EXP(-LN(2)/2)*AB198+(1-EXP(-LN(2)/2))/(LN(2)/2)*V199*Y199*VLOOKUP('Données projet'!$B$9,Paramètres!$A$1:$I$89,3,0)*0.475*44/12</f>
        <v>1.3633542617496795E-24</v>
      </c>
      <c r="AC199" s="24">
        <f t="shared" si="163"/>
        <v>0.20594832806336461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3.4106051316484809E-13</v>
      </c>
      <c r="AJ199" s="14">
        <f>AI199*VLOOKUP('Données projet'!$B$10,Paramètres!$A$1:$I$89,3,0)*VLOOKUP('Données projet'!$B$10,Paramètres!$A$1:$I$89,5,0)</f>
        <v>1.9508661353029313E-13</v>
      </c>
      <c r="AK199" s="14">
        <f t="shared" si="164"/>
        <v>2.711421636700695E-12</v>
      </c>
      <c r="AL199" s="22">
        <f t="shared" si="165"/>
        <v>5.0621685358189711E-12</v>
      </c>
      <c r="AM199" s="62">
        <f t="shared" si="193"/>
        <v>293.33333333333837</v>
      </c>
      <c r="AN199" s="62">
        <f ca="1">AVERAGE(OFFSET($AM$3,0,0,'Données projet'!$E$10+1,1))-AVERAGE(OFFSET($H$3,0,0,'Données projet'!$E$10+1,1))</f>
        <v>258.09881752732008</v>
      </c>
      <c r="AO199" s="62">
        <f t="shared" si="205"/>
        <v>214.72899476643335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1.4205227216570166E-25</v>
      </c>
      <c r="AX199" s="23">
        <f t="shared" si="166"/>
        <v>1.4205227216570166E-25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-5.6843418860808015E-14</v>
      </c>
      <c r="BE199" s="14">
        <f>BD199*VLOOKUP('Données projet'!$B$11,Paramètres!$A$1:$I$89,3,0)*VLOOKUP('Données projet'!$B$11,Paramètres!$A$1:$I$89,5,0)</f>
        <v>-5.4978954722173515E-14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298.18906674058809</v>
      </c>
      <c r="BJ199" s="62">
        <f t="shared" si="206"/>
        <v>154.08406475869634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-5.6843418860808015E-14</v>
      </c>
      <c r="BZ199" s="14">
        <f>BY199*VLOOKUP('Données projet'!$B$12,Paramètres!$A$1:$I$89,3,0)*VLOOKUP('Données projet'!$B$12,Paramètres!$A$1:$I$89,5,0)</f>
        <v>-3.813056537183002E-14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218.24409784339861</v>
      </c>
      <c r="CE199" s="62">
        <f t="shared" si="207"/>
        <v>118.89963447540509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257.80952690600492</v>
      </c>
      <c r="T200" s="62">
        <f t="shared" si="204"/>
        <v>269.95358755269427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0.12215074707292181</v>
      </c>
      <c r="AA200" s="23">
        <f>EXP(-LN(2)/25)*AA199+(1-EXP(-LN(2)/25))/(LN(2)/25)*Calculateur!V200*Calculateur!X200*VLOOKUP('Données projet'!$B$9,Paramètres!$A$1:$I$89,3,0)*0.475*44/12</f>
        <v>7.9129729945940988E-2</v>
      </c>
      <c r="AB200" s="23">
        <f>EXP(-LN(2)/2)*AB199+(1-EXP(-LN(2)/2))/(LN(2)/2)*V200*Y200*VLOOKUP('Données projet'!$B$9,Paramètres!$A$1:$I$89,3,0)*0.475*44/12</f>
        <v>9.6403704364277767E-25</v>
      </c>
      <c r="AC200" s="24">
        <f t="shared" si="163"/>
        <v>0.20128047701886281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3.4106051316484809E-13</v>
      </c>
      <c r="AJ200" s="14">
        <f>AI200*VLOOKUP('Données projet'!$B$10,Paramètres!$A$1:$I$89,3,0)*VLOOKUP('Données projet'!$B$10,Paramètres!$A$1:$I$89,5,0)</f>
        <v>1.9508661353029313E-13</v>
      </c>
      <c r="AK200" s="14">
        <f t="shared" si="164"/>
        <v>2.711421636700695E-12</v>
      </c>
      <c r="AL200" s="22">
        <f t="shared" si="165"/>
        <v>5.0621685358189711E-12</v>
      </c>
      <c r="AM200" s="62">
        <f t="shared" si="193"/>
        <v>293.33333333333837</v>
      </c>
      <c r="AN200" s="62">
        <f ca="1">AVERAGE(OFFSET($AM$3,0,0,'Données projet'!$E$10+1,1))-AVERAGE(OFFSET($H$3,0,0,'Données projet'!$E$10+1,1))</f>
        <v>258.09881752732008</v>
      </c>
      <c r="AO200" s="62">
        <f t="shared" si="205"/>
        <v>214.72899476643335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1.004461249313247E-25</v>
      </c>
      <c r="AX200" s="23">
        <f t="shared" si="166"/>
        <v>1.004461249313247E-25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-5.6843418860808015E-14</v>
      </c>
      <c r="BE200" s="14">
        <f>BD200*VLOOKUP('Données projet'!$B$11,Paramètres!$A$1:$I$89,3,0)*VLOOKUP('Données projet'!$B$11,Paramètres!$A$1:$I$89,5,0)</f>
        <v>-5.4978954722173515E-14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298.18906674058809</v>
      </c>
      <c r="BJ200" s="62">
        <f t="shared" si="206"/>
        <v>154.08406475869634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-5.6843418860808015E-14</v>
      </c>
      <c r="BZ200" s="14">
        <f>BY200*VLOOKUP('Données projet'!$B$12,Paramètres!$A$1:$I$89,3,0)*VLOOKUP('Données projet'!$B$12,Paramètres!$A$1:$I$89,5,0)</f>
        <v>-3.813056537183002E-14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218.24409784339861</v>
      </c>
      <c r="CE200" s="62">
        <f t="shared" si="207"/>
        <v>118.89963447540509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257.80952690600492</v>
      </c>
      <c r="T201" s="62">
        <f t="shared" si="204"/>
        <v>269.95358755269427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0.11975544542742081</v>
      </c>
      <c r="AA201" s="23">
        <f>EXP(-LN(2)/25)*AA200+(1-EXP(-LN(2)/25))/(LN(2)/25)*Calculateur!V201*Calculateur!X201*VLOOKUP('Données projet'!$B$9,Paramètres!$A$1:$I$89,3,0)*0.475*44/12</f>
        <v>7.6965923319317592E-2</v>
      </c>
      <c r="AB201" s="23">
        <f>EXP(-LN(2)/2)*AB200+(1-EXP(-LN(2)/2))/(LN(2)/2)*V201*Y201*VLOOKUP('Données projet'!$B$9,Paramètres!$A$1:$I$89,3,0)*0.475*44/12</f>
        <v>6.8167713087483976E-25</v>
      </c>
      <c r="AC201" s="24">
        <f t="shared" si="163"/>
        <v>0.1967213687467384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3.4106051316484809E-13</v>
      </c>
      <c r="AJ201" s="14">
        <f>AI201*VLOOKUP('Données projet'!$B$10,Paramètres!$A$1:$I$89,3,0)*VLOOKUP('Données projet'!$B$10,Paramètres!$A$1:$I$89,5,0)</f>
        <v>1.9508661353029313E-13</v>
      </c>
      <c r="AK201" s="14">
        <f t="shared" si="164"/>
        <v>2.711421636700695E-12</v>
      </c>
      <c r="AL201" s="22">
        <f t="shared" si="165"/>
        <v>5.0621685358189711E-12</v>
      </c>
      <c r="AM201" s="62">
        <f t="shared" si="193"/>
        <v>293.33333333333837</v>
      </c>
      <c r="AN201" s="62">
        <f ca="1">AVERAGE(OFFSET($AM$3,0,0,'Données projet'!$E$10+1,1))-AVERAGE(OFFSET($H$3,0,0,'Données projet'!$E$10+1,1))</f>
        <v>258.09881752732008</v>
      </c>
      <c r="AO201" s="62">
        <f t="shared" si="205"/>
        <v>214.72899476643335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7.1026136082850839E-26</v>
      </c>
      <c r="AX201" s="23">
        <f t="shared" si="166"/>
        <v>7.1026136082850839E-26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-5.6843418860808015E-14</v>
      </c>
      <c r="BE201" s="14">
        <f>BD201*VLOOKUP('Données projet'!$B$11,Paramètres!$A$1:$I$89,3,0)*VLOOKUP('Données projet'!$B$11,Paramètres!$A$1:$I$89,5,0)</f>
        <v>-5.4978954722173515E-14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298.18906674058809</v>
      </c>
      <c r="BJ201" s="62">
        <f t="shared" si="206"/>
        <v>154.08406475869634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-5.6843418860808015E-14</v>
      </c>
      <c r="BZ201" s="14">
        <f>BY201*VLOOKUP('Données projet'!$B$12,Paramètres!$A$1:$I$89,3,0)*VLOOKUP('Données projet'!$B$12,Paramètres!$A$1:$I$89,5,0)</f>
        <v>-3.813056537183002E-14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218.24409784339861</v>
      </c>
      <c r="CE201" s="62">
        <f t="shared" si="207"/>
        <v>118.89963447540509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257.80952690600492</v>
      </c>
      <c r="T202" s="62">
        <f t="shared" si="204"/>
        <v>269.95358755269427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0.11740711418619834</v>
      </c>
      <c r="AA202" s="23">
        <f>EXP(-LN(2)/25)*AA201+(1-EXP(-LN(2)/25))/(LN(2)/25)*Calculateur!V202*Calculateur!X202*VLOOKUP('Données projet'!$B$9,Paramètres!$A$1:$I$89,3,0)*0.475*44/12</f>
        <v>7.4861286098688848E-2</v>
      </c>
      <c r="AB202" s="23">
        <f>EXP(-LN(2)/2)*AB201+(1-EXP(-LN(2)/2))/(LN(2)/2)*V202*Y202*VLOOKUP('Données projet'!$B$9,Paramètres!$A$1:$I$89,3,0)*0.475*44/12</f>
        <v>4.8201852182138883E-25</v>
      </c>
      <c r="AC202" s="24">
        <f t="shared" si="163"/>
        <v>0.19226840028488718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3.4106051316484809E-13</v>
      </c>
      <c r="AJ202" s="14">
        <f>AI202*VLOOKUP('Données projet'!$B$10,Paramètres!$A$1:$I$89,3,0)*VLOOKUP('Données projet'!$B$10,Paramètres!$A$1:$I$89,5,0)</f>
        <v>1.9508661353029313E-13</v>
      </c>
      <c r="AK202" s="14">
        <f t="shared" si="164"/>
        <v>2.711421636700695E-12</v>
      </c>
      <c r="AL202" s="22">
        <f t="shared" si="165"/>
        <v>5.0621685358189711E-12</v>
      </c>
      <c r="AM202" s="62">
        <f t="shared" si="193"/>
        <v>293.33333333333837</v>
      </c>
      <c r="AN202" s="62">
        <f ca="1">AVERAGE(OFFSET($AM$3,0,0,'Données projet'!$E$10+1,1))-AVERAGE(OFFSET($H$3,0,0,'Données projet'!$E$10+1,1))</f>
        <v>258.09881752732008</v>
      </c>
      <c r="AO202" s="62">
        <f t="shared" si="205"/>
        <v>214.72899476643335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5.0223062465662362E-26</v>
      </c>
      <c r="AX202" s="23">
        <f t="shared" si="166"/>
        <v>5.0223062465662362E-26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-5.6843418860808015E-14</v>
      </c>
      <c r="BE202" s="14">
        <f>BD202*VLOOKUP('Données projet'!$B$11,Paramètres!$A$1:$I$89,3,0)*VLOOKUP('Données projet'!$B$11,Paramètres!$A$1:$I$89,5,0)</f>
        <v>-5.4978954722173515E-14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298.18906674058809</v>
      </c>
      <c r="BJ202" s="62">
        <f t="shared" si="206"/>
        <v>154.08406475869634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-5.6843418860808015E-14</v>
      </c>
      <c r="BZ202" s="14">
        <f>BY202*VLOOKUP('Données projet'!$B$12,Paramètres!$A$1:$I$89,3,0)*VLOOKUP('Données projet'!$B$12,Paramètres!$A$1:$I$89,5,0)</f>
        <v>-3.813056537183002E-14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218.24409784339861</v>
      </c>
      <c r="CE202" s="62">
        <f t="shared" si="207"/>
        <v>118.89963447540509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257.80952690600492</v>
      </c>
      <c r="T203" s="62">
        <f t="shared" si="204"/>
        <v>269.95358755269427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0.11510483228827562</v>
      </c>
      <c r="AA203" s="23">
        <f>EXP(-LN(2)/25)*AA202+(1-EXP(-LN(2)/25))/(LN(2)/25)*Calculateur!V203*Calculateur!X203*VLOOKUP('Données projet'!$B$9,Paramètres!$A$1:$I$89,3,0)*0.475*44/12</f>
        <v>7.281420029353626E-2</v>
      </c>
      <c r="AB203" s="23">
        <f>EXP(-LN(2)/2)*AB202+(1-EXP(-LN(2)/2))/(LN(2)/2)*V203*Y203*VLOOKUP('Données projet'!$B$9,Paramètres!$A$1:$I$89,3,0)*0.475*44/12</f>
        <v>3.4083856543741988E-25</v>
      </c>
      <c r="AC203" s="24">
        <f t="shared" si="163"/>
        <v>0.18791903258181186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3.4106051316484809E-13</v>
      </c>
      <c r="AJ203" s="14">
        <f>AI203*VLOOKUP('Données projet'!$B$10,Paramètres!$A$1:$I$89,3,0)*VLOOKUP('Données projet'!$B$10,Paramètres!$A$1:$I$89,5,0)</f>
        <v>1.9508661353029313E-13</v>
      </c>
      <c r="AK203" s="14">
        <f t="shared" si="164"/>
        <v>2.711421636700695E-12</v>
      </c>
      <c r="AL203" s="22">
        <f t="shared" si="165"/>
        <v>5.0621685358189711E-12</v>
      </c>
      <c r="AM203" s="62">
        <f t="shared" si="193"/>
        <v>293.33333333333837</v>
      </c>
      <c r="AN203" s="62">
        <f ca="1">AVERAGE(OFFSET($AM$3,0,0,'Données projet'!$E$10+1,1))-AVERAGE(OFFSET($H$3,0,0,'Données projet'!$E$10+1,1))</f>
        <v>258.09881752732008</v>
      </c>
      <c r="AO203" s="62">
        <f t="shared" si="205"/>
        <v>214.72899476643335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3.5513068041425425E-26</v>
      </c>
      <c r="AX203" s="23">
        <f t="shared" si="166"/>
        <v>3.5513068041425425E-26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-5.6843418860808015E-14</v>
      </c>
      <c r="BE203" s="14">
        <f>BD203*VLOOKUP('Données projet'!$B$11,Paramètres!$A$1:$I$89,3,0)*VLOOKUP('Données projet'!$B$11,Paramètres!$A$1:$I$89,5,0)</f>
        <v>-5.4978954722173515E-14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298.18906674058809</v>
      </c>
      <c r="BJ203" s="62">
        <f t="shared" si="206"/>
        <v>154.08406475869634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-5.6843418860808015E-14</v>
      </c>
      <c r="BZ203" s="14">
        <f>BY203*VLOOKUP('Données projet'!$B$12,Paramètres!$A$1:$I$89,3,0)*VLOOKUP('Données projet'!$B$12,Paramètres!$A$1:$I$89,5,0)</f>
        <v>-3.813056537183002E-14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218.24409784339861</v>
      </c>
      <c r="CE203" s="62">
        <f t="shared" si="207"/>
        <v>118.89963447540509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1.3292852468636394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1.201293267214846</v>
      </c>
      <c r="BA205" s="88">
        <f>EXP(LN('Données projet'!B88)/'Données projet'!A88)</f>
        <v>1.1457367676485573</v>
      </c>
      <c r="BV205" s="88">
        <f>EXP(LN('Données projet'!B114)/'Données projet'!A114)</f>
        <v>1.1457367676485573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B3" zoomScale="115" zoomScaleNormal="115" workbookViewId="0">
      <selection activeCell="N20" sqref="N20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1.25976</v>
      </c>
      <c r="C6" s="156">
        <f ca="1">IF(OR('Données projet'!B9="",'Données projet'!C9="",'Données projet'!C9=0%),0,Calculateur!S3)</f>
        <v>257.80952690600492</v>
      </c>
      <c r="D6" s="156">
        <f>IF(OR('Données projet'!B9="",'Données projet'!C9="",'Données projet'!C9=0%),0,Calculateur!T3)</f>
        <v>269.95358755269427</v>
      </c>
      <c r="E6" s="156">
        <f ca="1">MIN(C6,D6)</f>
        <v>257.80952690600492</v>
      </c>
      <c r="F6" s="156">
        <f ca="1">E6*B6</f>
        <v>324.77812961510875</v>
      </c>
      <c r="G6" s="156">
        <f ca="1">F6*(100%-'Données projet'!$C$24)*(100%-'Données projet'!$C$25)*(100%-'Données projet'!$C$26)*(100%-'Données projet'!$C$27)</f>
        <v>277.68530082091797</v>
      </c>
      <c r="H6" s="157">
        <f>IF(OR('Données projet'!B9="",'Données projet'!C9="",'Données projet'!C9=0%),0,AVERAGE(Calculateur!$AC$3:$AC$33)*B6)</f>
        <v>7.2816912932411597</v>
      </c>
      <c r="I6" s="158">
        <f>H6*(100%-'Données projet'!$C$24)*(100%-'Données projet'!$C$25)*(100%-'Données projet'!$C$26)*(100%-'Données projet'!$C$27)</f>
        <v>6.225846055721191</v>
      </c>
      <c r="J6" s="159">
        <f>IF(OR('Données projet'!B9="",'Données projet'!C9="",'Données projet'!C9=0%),0,SUM(Calculateur!$V$3:$V$33)*VLOOKUP('Données projet'!$B$9,Paramètres!$A$1:$I$89,9,0)*B6)</f>
        <v>106.91486215384616</v>
      </c>
      <c r="K6" s="160">
        <f>J6*(100%-'Données projet'!$C$24)*(100%-'Données projet'!$C$25)*(100%-'Données projet'!$C$26)*(100%-'Données projet'!$C$27)</f>
        <v>91.41220714153846</v>
      </c>
      <c r="L6" s="161">
        <f ca="1">G6+I6+K6</f>
        <v>375.32335401817761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pin sylvestre</v>
      </c>
      <c r="B7" s="163">
        <f>'Données projet'!D10</f>
        <v>0.90015999999999996</v>
      </c>
      <c r="C7" s="156">
        <f ca="1">IF(OR('Données projet'!B10="",'Données projet'!C10="",'Données projet'!C10=0%),0,Calculateur!AN3)</f>
        <v>258.09881752732008</v>
      </c>
      <c r="D7" s="156">
        <f>IF(OR('Données projet'!B10="",'Données projet'!C10="",'Données projet'!C10=0%),0,Calculateur!AO3)</f>
        <v>214.72899476643335</v>
      </c>
      <c r="E7" s="156">
        <f t="shared" ref="E7:E15" ca="1" si="0">MIN(C7,D7)</f>
        <v>214.72899476643335</v>
      </c>
      <c r="F7" s="156">
        <f t="shared" ref="F7:F15" ca="1" si="1">E7*B7</f>
        <v>193.29045192895262</v>
      </c>
      <c r="G7" s="156">
        <f ca="1">F7*(100%-'Données projet'!$C$24)*(100%-'Données projet'!$C$25)*(100%-'Données projet'!$C$26)*(100%-'Données projet'!$C$27)</f>
        <v>165.26333639925448</v>
      </c>
      <c r="H7" s="164">
        <f>IF(OR('Données projet'!B10="",'Données projet'!C10="",'Données projet'!C10=0%),0,AVERAGE(Calculateur!$AX$3:$AX$33)*B7)</f>
        <v>0.67417022355904388</v>
      </c>
      <c r="I7" s="158">
        <f>H7*(100%-'Données projet'!$C$24)*(100%-'Données projet'!$C$25)*(100%-'Données projet'!$C$26)*(100%-'Données projet'!$C$27)</f>
        <v>0.57641554114298243</v>
      </c>
      <c r="J7" s="159">
        <f>IF(OR('Données projet'!B10="",'Données projet'!C10="",'Données projet'!C10=0%),0,SUM(Calculateur!$AQ$3:$AQ$33)*VLOOKUP('Données projet'!$B$10,Paramètres!$A$1:$I$89,9,0)*B7)</f>
        <v>13.547407999999999</v>
      </c>
      <c r="K7" s="160">
        <f>J7*(100%-'Données projet'!$C$24)*(100%-'Données projet'!$C$25)*(100%-'Données projet'!$C$26)*(100%-'Données projet'!$C$27)</f>
        <v>11.583033839999999</v>
      </c>
      <c r="L7" s="161">
        <f t="shared" ref="L7:L15" ca="1" si="2">G7+I7+K7</f>
        <v>177.42278578039748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alisier torminal</v>
      </c>
      <c r="B8" s="163">
        <f>'Données projet'!D11</f>
        <v>7.8880000000000006E-2</v>
      </c>
      <c r="C8" s="156">
        <f ca="1">IF(OR('Données projet'!B11="",'Données projet'!C11="",'Données projet'!C11=0%),0,Calculateur!BI3)</f>
        <v>298.18906674058809</v>
      </c>
      <c r="D8" s="156">
        <f>IF(OR('Données projet'!B11="",'Données projet'!C11="",'Données projet'!C11=0%),0,Calculateur!BJ3)</f>
        <v>154.08406475869634</v>
      </c>
      <c r="E8" s="156">
        <f t="shared" ca="1" si="0"/>
        <v>154.08406475869634</v>
      </c>
      <c r="F8" s="156">
        <f t="shared" ca="1" si="1"/>
        <v>12.154151028165968</v>
      </c>
      <c r="G8" s="156">
        <f ca="1">F8*(100%-'Données projet'!$C$24)*(100%-'Données projet'!$C$25)*(100%-'Données projet'!$C$26)*(100%-'Données projet'!$C$27)</f>
        <v>10.391799129081903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ca="1" si="2"/>
        <v>10.391799129081903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Tilleul</v>
      </c>
      <c r="B9" s="163">
        <f>'Données projet'!D12</f>
        <v>7.8880000000000006E-2</v>
      </c>
      <c r="C9" s="156">
        <f ca="1">IF(OR('Données projet'!B12="",'Données projet'!C12="",'Données projet'!C12=0%),0,Calculateur!CD3)</f>
        <v>218.24409784339861</v>
      </c>
      <c r="D9" s="156">
        <f>IF(OR('Données projet'!B12="",'Données projet'!C12="",'Données projet'!C12=0%),0,Calculateur!CE3)</f>
        <v>118.89963447540509</v>
      </c>
      <c r="E9" s="156">
        <f t="shared" ca="1" si="0"/>
        <v>118.89963447540509</v>
      </c>
      <c r="F9" s="156">
        <f t="shared" ca="1" si="1"/>
        <v>9.3788031674199548</v>
      </c>
      <c r="G9" s="156">
        <f ca="1">F9*(100%-'Données projet'!$C$24)*(100%-'Données projet'!$C$25)*(100%-'Données projet'!$C$26)*(100%-'Données projet'!$C$27)</f>
        <v>8.0188767081440613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ca="1" si="2"/>
        <v>8.0188767081440613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539.60153573964726</v>
      </c>
      <c r="G16" s="175">
        <f t="shared" ca="1" si="3"/>
        <v>461.35931305739842</v>
      </c>
      <c r="H16" s="176">
        <f t="shared" si="3"/>
        <v>7.9558615168002031</v>
      </c>
      <c r="I16" s="176">
        <f t="shared" si="3"/>
        <v>6.8022615968641738</v>
      </c>
      <c r="J16" s="177">
        <f t="shared" si="3"/>
        <v>120.46227015384616</v>
      </c>
      <c r="K16" s="177">
        <f t="shared" si="3"/>
        <v>102.99524098153846</v>
      </c>
      <c r="L16" s="178">
        <f t="shared" ca="1" si="3"/>
        <v>571.15681563580097</v>
      </c>
      <c r="M16" s="25">
        <f ca="1">L16/2.4</f>
        <v>237.98200651491709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pin sylvestre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alisier torminal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Tilleul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F10" zoomScale="90" zoomScaleNormal="90" workbookViewId="0">
      <selection activeCell="J33" sqref="J33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1" t="s">
        <v>315</v>
      </c>
      <c r="I4" s="341"/>
      <c r="K4" s="338" t="s">
        <v>253</v>
      </c>
      <c r="L4" s="339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0" t="s">
        <v>310</v>
      </c>
      <c r="S7" s="331"/>
      <c r="T7" s="331"/>
      <c r="U7" s="331"/>
      <c r="V7" s="332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493.99309226832958</v>
      </c>
      <c r="U10" s="190">
        <f>'Données projet'!D9</f>
        <v>1.25976</v>
      </c>
      <c r="V10" s="189">
        <f>U10*T10</f>
        <v>622.31273791595083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pin sylvestre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1077.4532695979324</v>
      </c>
      <c r="U11" s="190">
        <f>'Données projet'!D10</f>
        <v>0.90015999999999996</v>
      </c>
      <c r="V11" s="189">
        <f t="shared" ref="V11" si="0">U11*T11</f>
        <v>969.88033516127473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alisier torminal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213.48522037806302</v>
      </c>
      <c r="U12" s="190">
        <f>'Données projet'!D11</f>
        <v>7.8880000000000006E-2</v>
      </c>
      <c r="V12" s="189">
        <f t="shared" ref="V12:V19" si="1">U12*T12</f>
        <v>16.839714183421613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Tilleul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213.48522037806302</v>
      </c>
      <c r="U13" s="190">
        <f>'Données projet'!D12</f>
        <v>7.8880000000000006E-2</v>
      </c>
      <c r="V13" s="189">
        <f t="shared" si="1"/>
        <v>16.839714183421613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2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2"/>
      <c r="H16" s="203"/>
      <c r="I16" s="204"/>
      <c r="J16" s="216"/>
      <c r="K16" s="225"/>
      <c r="L16" s="338" t="s">
        <v>254</v>
      </c>
      <c r="M16" s="339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2"/>
      <c r="J17" s="216"/>
      <c r="K17" s="225"/>
      <c r="L17" s="296" t="s">
        <v>289</v>
      </c>
      <c r="M17" s="298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2"/>
      <c r="J18" s="216"/>
      <c r="K18" s="225"/>
      <c r="L18" s="296" t="s">
        <v>255</v>
      </c>
      <c r="M18" s="298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2"/>
      <c r="H19" s="232" t="s">
        <v>178</v>
      </c>
      <c r="I19" s="232" t="s">
        <v>287</v>
      </c>
      <c r="J19" s="260"/>
      <c r="K19" s="183"/>
      <c r="L19" s="338" t="s">
        <v>288</v>
      </c>
      <c r="M19" s="339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2"/>
      <c r="H20" s="203">
        <v>0</v>
      </c>
      <c r="I20" s="204">
        <f>2232/2.4</f>
        <v>930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f>(600+1560)/2.4</f>
        <v>900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f>(600+1560)/2.4</f>
        <v>900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17</v>
      </c>
      <c r="B23" s="193">
        <f>'Données projet'!D36</f>
        <v>42.084615384615383</v>
      </c>
      <c r="C23" s="206">
        <v>10</v>
      </c>
      <c r="D23" s="194">
        <f>B23*C23</f>
        <v>420.84615384615381</v>
      </c>
      <c r="E23" s="206"/>
      <c r="F23" s="261"/>
      <c r="H23" s="203">
        <v>3</v>
      </c>
      <c r="I23" s="204">
        <f>(600)/2.4</f>
        <v>250</v>
      </c>
      <c r="K23" s="225"/>
      <c r="L23" s="340" t="s">
        <v>260</v>
      </c>
      <c r="M23" s="340"/>
      <c r="N23" s="340"/>
      <c r="O23" s="25"/>
      <c r="P23" s="25"/>
      <c r="Q23" s="265"/>
      <c r="R23" s="25"/>
      <c r="S23" s="185" t="s">
        <v>264</v>
      </c>
      <c r="T23" s="335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-4950.1097914933416</v>
      </c>
      <c r="U23" s="335"/>
      <c r="V23" s="33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23</v>
      </c>
      <c r="B24" s="193">
        <f>'Données projet'!D37</f>
        <v>54.099999999999994</v>
      </c>
      <c r="C24" s="206">
        <v>15</v>
      </c>
      <c r="D24" s="194">
        <f t="shared" ref="D24:D42" si="2">B24*C24</f>
        <v>811.49999999999989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6">
        <f ca="1">'Scénario référence'!$B$8*$M$30*'Données projet'!$C$5+('Scénario référence'!B9+'Scénario référence'!B10+'Scénario référence'!F8+'Scénario référence'!F9)*$N$19/(1+M4)^N16*'Données projet'!$C$5</f>
        <v>25100.105564318776</v>
      </c>
      <c r="U24" s="336"/>
      <c r="V24" s="336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25</v>
      </c>
      <c r="B25" s="193">
        <f>'Données projet'!D38</f>
        <v>0</v>
      </c>
      <c r="C25" s="206">
        <v>20</v>
      </c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500</v>
      </c>
      <c r="Q25" s="265"/>
      <c r="R25" s="25"/>
      <c r="S25" s="198" t="s">
        <v>266</v>
      </c>
      <c r="T25" s="337">
        <f ca="1">T23-T24</f>
        <v>-30050.215355812117</v>
      </c>
      <c r="U25" s="337"/>
      <c r="V25" s="337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29</v>
      </c>
      <c r="B26" s="193">
        <f>'Données projet'!D39</f>
        <v>47.661538461538463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4" t="s">
        <v>258</v>
      </c>
      <c r="M26" s="325"/>
      <c r="N26" s="325"/>
      <c r="O26" s="325"/>
      <c r="P26" s="326"/>
      <c r="Q26" s="265"/>
      <c r="R26" s="25"/>
      <c r="S26" s="198" t="s">
        <v>265</v>
      </c>
      <c r="T26" s="334" t="str">
        <f ca="1">IF(T25&lt;0,"Votre projet est additionnel","Votre projet n'est pas additionnel")</f>
        <v>Votre projet est additionnel</v>
      </c>
      <c r="U26" s="334"/>
      <c r="V26" s="33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34</v>
      </c>
      <c r="B27" s="193">
        <f>'Données projet'!D40</f>
        <v>0</v>
      </c>
      <c r="C27" s="206">
        <v>45</v>
      </c>
      <c r="D27" s="194">
        <f t="shared" si="2"/>
        <v>0</v>
      </c>
      <c r="E27" s="206"/>
      <c r="F27" s="264"/>
      <c r="G27" s="259"/>
      <c r="H27" s="203"/>
      <c r="I27" s="204"/>
      <c r="K27" s="225"/>
      <c r="L27" s="327"/>
      <c r="M27" s="328"/>
      <c r="N27" s="328"/>
      <c r="O27" s="328"/>
      <c r="P27" s="329"/>
      <c r="Q27" s="265"/>
      <c r="R27" s="25"/>
      <c r="S27" s="333" t="s">
        <v>267</v>
      </c>
      <c r="T27" s="333"/>
      <c r="U27" s="333"/>
      <c r="V27" s="333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36</v>
      </c>
      <c r="B28" s="193">
        <f>'Données projet'!D41</f>
        <v>64.553846153846152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44</v>
      </c>
      <c r="B29" s="193">
        <f>'Données projet'!D42</f>
        <v>64.476923076923072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52</v>
      </c>
      <c r="B30" s="193">
        <f>'Données projet'!D43</f>
        <v>61.784615384615378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10819.011019102922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60</v>
      </c>
      <c r="B31" s="193">
        <f>'Données projet'!D44</f>
        <v>353.5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500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478.46889952153111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457.86497561869015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438.14830202745469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419.28067179660746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401.22552325034206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383.94786913908342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367.41422884122812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351.59256348442892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336.45221386069755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321.96384101502161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308.09936939236519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pin sylvestre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294.83193243288542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282.13582050993818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269.98643110998876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258.36022115788398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247.23466139510438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236.58819272258791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226.40018442352914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216.65089418519537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207.32142984229228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25</v>
      </c>
      <c r="B54" s="193">
        <f>'Données projet'!D62</f>
        <v>12</v>
      </c>
      <c r="C54" s="292">
        <v>8</v>
      </c>
      <c r="D54" s="191">
        <f>B54*C54</f>
        <v>96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198.39371276774378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30</v>
      </c>
      <c r="B55" s="193">
        <f>'Données projet'!D63</f>
        <v>23</v>
      </c>
      <c r="C55" s="292">
        <v>12</v>
      </c>
      <c r="D55" s="191">
        <f t="shared" ref="D55:D73" si="4">B55*C55</f>
        <v>276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189.85044283994625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35</v>
      </c>
      <c r="B56" s="193">
        <f>'Données projet'!D64</f>
        <v>28</v>
      </c>
      <c r="C56" s="292">
        <v>15</v>
      </c>
      <c r="D56" s="191">
        <f t="shared" si="4"/>
        <v>420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181.67506491860885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40</v>
      </c>
      <c r="B57" s="193">
        <f>'Données projet'!D65</f>
        <v>37</v>
      </c>
      <c r="C57" s="292">
        <v>20</v>
      </c>
      <c r="D57" s="191">
        <f t="shared" si="4"/>
        <v>740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173.85173676421903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50</v>
      </c>
      <c r="B58" s="193">
        <f>'Données projet'!D66</f>
        <v>65</v>
      </c>
      <c r="C58" s="292">
        <v>25</v>
      </c>
      <c r="D58" s="191">
        <f t="shared" si="4"/>
        <v>1625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166.3652983389656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60</v>
      </c>
      <c r="B59" s="193">
        <f>'Données projet'!D67</f>
        <v>60</v>
      </c>
      <c r="C59" s="292">
        <v>30</v>
      </c>
      <c r="D59" s="191">
        <f t="shared" si="4"/>
        <v>1800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159.2012424296322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70</v>
      </c>
      <c r="B60" s="193">
        <f>'Données projet'!D68</f>
        <v>52</v>
      </c>
      <c r="C60" s="292">
        <v>32</v>
      </c>
      <c r="D60" s="191">
        <f t="shared" si="4"/>
        <v>1664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152.34568653553319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80</v>
      </c>
      <c r="B61" s="193">
        <f>'Données projet'!D69</f>
        <v>395</v>
      </c>
      <c r="C61" s="204">
        <v>38</v>
      </c>
      <c r="D61" s="191">
        <f t="shared" si="4"/>
        <v>15010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145.78534596701746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139.50750810240902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133.50000775350151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127.75120359186744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122.24995559030384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116.98560343569747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111.94794587148084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107.12722092964674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102.51408701401604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98.099604798101481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93.875219902489462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89.832746318171743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85.964350543705038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82.262536405459372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78.720130531540079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alisier torminal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75.330268451234531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72.08638129304741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68.98218305554775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66.011658426361507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63.169051125704783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60.448852751870632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57.845792107053235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55.354824982826074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52.971124385479499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25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50.690071182277045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30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48.507245150504346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35</v>
      </c>
      <c r="B87" s="193">
        <f>'Données projet'!D90</f>
        <v>13</v>
      </c>
      <c r="C87" s="292">
        <v>4</v>
      </c>
      <c r="D87" s="191">
        <f t="shared" si="6"/>
        <v>52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46.4184164119659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40</v>
      </c>
      <c r="B88" s="193">
        <f>'Données projet'!D91</f>
        <v>14</v>
      </c>
      <c r="C88" s="292">
        <v>8</v>
      </c>
      <c r="D88" s="191">
        <f t="shared" si="6"/>
        <v>112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44.419537236330996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45</v>
      </c>
      <c r="B89" s="193">
        <f>'Données projet'!D92</f>
        <v>14</v>
      </c>
      <c r="C89" s="292">
        <v>10</v>
      </c>
      <c r="D89" s="191">
        <f t="shared" si="6"/>
        <v>140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42.506734197445944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50</v>
      </c>
      <c r="B90" s="193">
        <f>'Données projet'!D93</f>
        <v>14</v>
      </c>
      <c r="C90" s="292">
        <v>10</v>
      </c>
      <c r="D90" s="191">
        <f t="shared" si="6"/>
        <v>140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40.676300667412391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55</v>
      </c>
      <c r="B91" s="193">
        <f>'Données projet'!D94</f>
        <v>14</v>
      </c>
      <c r="C91" s="292">
        <v>10</v>
      </c>
      <c r="D91" s="191">
        <f t="shared" si="6"/>
        <v>140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38.924689633887461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60</v>
      </c>
      <c r="B92" s="193">
        <f>'Données projet'!D95</f>
        <v>14</v>
      </c>
      <c r="C92" s="292">
        <v>12</v>
      </c>
      <c r="D92" s="191">
        <f t="shared" si="6"/>
        <v>168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37.248506826686565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65</v>
      </c>
      <c r="B93" s="193">
        <f>'Données projet'!D96</f>
        <v>14</v>
      </c>
      <c r="C93" s="292">
        <v>12</v>
      </c>
      <c r="D93" s="191">
        <f t="shared" si="6"/>
        <v>168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35.644504140369925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70</v>
      </c>
      <c r="B94" s="193">
        <f>'Données projet'!D97</f>
        <v>14</v>
      </c>
      <c r="C94" s="292">
        <v>12</v>
      </c>
      <c r="D94" s="191">
        <f t="shared" si="6"/>
        <v>168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str">
        <f>IF(O93+1&lt;=MIN('Données projet'!$E$9:$E$18),O93+1,"STOP")</f>
        <v>STOP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75</v>
      </c>
      <c r="B95" s="193">
        <f>'Données projet'!D98</f>
        <v>14</v>
      </c>
      <c r="C95" s="292">
        <v>15</v>
      </c>
      <c r="D95" s="191">
        <f t="shared" si="6"/>
        <v>210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80</v>
      </c>
      <c r="B96" s="193">
        <f>'Données projet'!D99</f>
        <v>14</v>
      </c>
      <c r="C96" s="292">
        <v>15</v>
      </c>
      <c r="D96" s="191">
        <f t="shared" si="6"/>
        <v>210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85</v>
      </c>
      <c r="B97" s="193">
        <f>'Données projet'!D100</f>
        <v>14</v>
      </c>
      <c r="C97" s="292">
        <v>17</v>
      </c>
      <c r="D97" s="191">
        <f t="shared" si="6"/>
        <v>238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90</v>
      </c>
      <c r="B98" s="193">
        <f>'Données projet'!D101</f>
        <v>14</v>
      </c>
      <c r="C98" s="292">
        <v>17</v>
      </c>
      <c r="D98" s="191">
        <f t="shared" si="6"/>
        <v>238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95</v>
      </c>
      <c r="B99" s="193">
        <f>'Données projet'!D102</f>
        <v>14</v>
      </c>
      <c r="C99" s="292">
        <v>17</v>
      </c>
      <c r="D99" s="191">
        <f t="shared" si="6"/>
        <v>238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100</v>
      </c>
      <c r="B100" s="193">
        <f>'Données projet'!D103</f>
        <v>13</v>
      </c>
      <c r="C100" s="292">
        <v>20</v>
      </c>
      <c r="D100" s="191">
        <f t="shared" si="6"/>
        <v>260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105</v>
      </c>
      <c r="B101" s="193">
        <f>'Données projet'!D104</f>
        <v>13</v>
      </c>
      <c r="C101" s="292">
        <v>20</v>
      </c>
      <c r="D101" s="191">
        <f t="shared" si="6"/>
        <v>260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110</v>
      </c>
      <c r="B102" s="193">
        <f>'Données projet'!D105</f>
        <v>13</v>
      </c>
      <c r="C102" s="292">
        <v>20</v>
      </c>
      <c r="D102" s="191">
        <f t="shared" si="6"/>
        <v>260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115</v>
      </c>
      <c r="B103" s="193">
        <f>'Données projet'!D106</f>
        <v>13</v>
      </c>
      <c r="C103" s="204">
        <v>40</v>
      </c>
      <c r="D103" s="191">
        <f t="shared" si="6"/>
        <v>520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120</v>
      </c>
      <c r="B104" s="193">
        <f>'Données projet'!D107</f>
        <v>222</v>
      </c>
      <c r="C104" s="204">
        <v>60</v>
      </c>
      <c r="D104" s="191">
        <f t="shared" si="6"/>
        <v>13320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Tilleul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25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30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35</v>
      </c>
      <c r="B118" s="193">
        <f>'Données projet'!D116</f>
        <v>13</v>
      </c>
      <c r="C118" s="292">
        <v>4</v>
      </c>
      <c r="D118" s="191">
        <f t="shared" si="8"/>
        <v>52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40</v>
      </c>
      <c r="B119" s="193">
        <f>'Données projet'!D117</f>
        <v>14</v>
      </c>
      <c r="C119" s="292">
        <v>8</v>
      </c>
      <c r="D119" s="191">
        <f t="shared" si="8"/>
        <v>112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45</v>
      </c>
      <c r="B120" s="193">
        <f>'Données projet'!D118</f>
        <v>14</v>
      </c>
      <c r="C120" s="292">
        <v>10</v>
      </c>
      <c r="D120" s="191">
        <f t="shared" si="8"/>
        <v>140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50</v>
      </c>
      <c r="B121" s="193">
        <f>'Données projet'!D119</f>
        <v>14</v>
      </c>
      <c r="C121" s="292">
        <v>10</v>
      </c>
      <c r="D121" s="191">
        <f t="shared" si="8"/>
        <v>140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55</v>
      </c>
      <c r="B122" s="193">
        <f>'Données projet'!D120</f>
        <v>14</v>
      </c>
      <c r="C122" s="292">
        <v>10</v>
      </c>
      <c r="D122" s="191">
        <f t="shared" si="8"/>
        <v>140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60</v>
      </c>
      <c r="B123" s="193">
        <f>'Données projet'!D121</f>
        <v>14</v>
      </c>
      <c r="C123" s="292">
        <v>12</v>
      </c>
      <c r="D123" s="191">
        <f t="shared" si="8"/>
        <v>168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65</v>
      </c>
      <c r="B124" s="193">
        <f>'Données projet'!D122</f>
        <v>14</v>
      </c>
      <c r="C124" s="292">
        <v>12</v>
      </c>
      <c r="D124" s="191">
        <f t="shared" si="8"/>
        <v>168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70</v>
      </c>
      <c r="B125" s="193">
        <f>'Données projet'!D123</f>
        <v>14</v>
      </c>
      <c r="C125" s="292">
        <v>12</v>
      </c>
      <c r="D125" s="191">
        <f t="shared" si="8"/>
        <v>168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75</v>
      </c>
      <c r="B126" s="193">
        <f>'Données projet'!D124</f>
        <v>14</v>
      </c>
      <c r="C126" s="292">
        <v>15</v>
      </c>
      <c r="D126" s="191">
        <f t="shared" si="8"/>
        <v>210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80</v>
      </c>
      <c r="B127" s="193">
        <f>'Données projet'!D125</f>
        <v>14</v>
      </c>
      <c r="C127" s="292">
        <v>15</v>
      </c>
      <c r="D127" s="191">
        <f t="shared" si="8"/>
        <v>210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85</v>
      </c>
      <c r="B128" s="193">
        <f>'Données projet'!D126</f>
        <v>14</v>
      </c>
      <c r="C128" s="292">
        <v>17</v>
      </c>
      <c r="D128" s="191">
        <f t="shared" si="8"/>
        <v>238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90</v>
      </c>
      <c r="B129" s="193">
        <f>'Données projet'!D127</f>
        <v>14</v>
      </c>
      <c r="C129" s="292">
        <v>17</v>
      </c>
      <c r="D129" s="191">
        <f t="shared" si="8"/>
        <v>238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95</v>
      </c>
      <c r="B130" s="193">
        <f>'Données projet'!D128</f>
        <v>14</v>
      </c>
      <c r="C130" s="292">
        <v>17</v>
      </c>
      <c r="D130" s="191">
        <f t="shared" si="8"/>
        <v>238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100</v>
      </c>
      <c r="B131" s="193">
        <f>'Données projet'!D129</f>
        <v>13</v>
      </c>
      <c r="C131" s="292">
        <v>20</v>
      </c>
      <c r="D131" s="191">
        <f t="shared" si="8"/>
        <v>260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105</v>
      </c>
      <c r="B132" s="193">
        <f>'Données projet'!D130</f>
        <v>13</v>
      </c>
      <c r="C132" s="292">
        <v>20</v>
      </c>
      <c r="D132" s="191">
        <f t="shared" si="8"/>
        <v>260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110</v>
      </c>
      <c r="B133" s="193">
        <f>'Données projet'!D131</f>
        <v>13</v>
      </c>
      <c r="C133" s="292">
        <v>20</v>
      </c>
      <c r="D133" s="191">
        <f t="shared" si="8"/>
        <v>260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115</v>
      </c>
      <c r="B134" s="193">
        <f>'Données projet'!D132</f>
        <v>13</v>
      </c>
      <c r="C134" s="204">
        <v>40</v>
      </c>
      <c r="D134" s="191">
        <f t="shared" si="8"/>
        <v>520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120</v>
      </c>
      <c r="B135" s="193">
        <f>'Données projet'!D133</f>
        <v>222</v>
      </c>
      <c r="C135" s="204">
        <v>60</v>
      </c>
      <c r="D135" s="191">
        <f t="shared" si="8"/>
        <v>13320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2025-09-09T08:20:13Z</dcterms:modified>
</cp:coreProperties>
</file>