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livier.Gleizes\Documents\C+FOR\A.S.O\Tour de France 2025\Gournay-en-Bray\"/>
    </mc:Choice>
  </mc:AlternateContent>
  <bookViews>
    <workbookView xWindow="0" yWindow="0" windowWidth="11748" windowHeight="5316" tabRatio="866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6" i="1" l="1"/>
  <c r="B236" i="1"/>
  <c r="B235" i="1"/>
  <c r="D234" i="1"/>
  <c r="B234" i="1"/>
  <c r="B233" i="1"/>
  <c r="D232" i="1"/>
  <c r="B232" i="1"/>
  <c r="B231" i="1"/>
  <c r="D230" i="1"/>
  <c r="B230" i="1"/>
  <c r="B229" i="1"/>
  <c r="D228" i="1"/>
  <c r="B228" i="1"/>
  <c r="B227" i="1"/>
  <c r="D226" i="1"/>
  <c r="B226" i="1"/>
  <c r="B225" i="1"/>
  <c r="D224" i="1"/>
  <c r="B224" i="1"/>
  <c r="B223" i="1"/>
  <c r="D222" i="1"/>
  <c r="B222" i="1"/>
  <c r="B221" i="1"/>
  <c r="B220" i="1"/>
  <c r="B250" i="1" l="1"/>
  <c r="D249" i="1"/>
  <c r="B249" i="1"/>
  <c r="B248" i="1"/>
  <c r="D247" i="1"/>
  <c r="B247" i="1"/>
  <c r="B246" i="1"/>
  <c r="B245" i="1"/>
  <c r="B244" i="1"/>
  <c r="B276" i="1" l="1"/>
  <c r="D275" i="1"/>
  <c r="B275" i="1"/>
  <c r="B274" i="1"/>
  <c r="D273" i="1"/>
  <c r="B273" i="1"/>
  <c r="B272" i="1"/>
  <c r="D271" i="1"/>
  <c r="B271" i="1"/>
  <c r="B270" i="1"/>
  <c r="B185" i="1" l="1"/>
  <c r="B184" i="1"/>
  <c r="D184" i="1"/>
  <c r="D183" i="1"/>
  <c r="B183" i="1"/>
  <c r="D182" i="1"/>
  <c r="B182" i="1"/>
  <c r="B181" i="1"/>
  <c r="D180" i="1"/>
  <c r="B180" i="1"/>
  <c r="B179" i="1"/>
  <c r="D178" i="1"/>
  <c r="B178" i="1"/>
  <c r="B177" i="1"/>
  <c r="D176" i="1"/>
  <c r="B176" i="1"/>
  <c r="B175" i="1"/>
  <c r="D174" i="1"/>
  <c r="B174" i="1"/>
  <c r="B173" i="1"/>
  <c r="D172" i="1"/>
  <c r="B172" i="1"/>
  <c r="B171" i="1"/>
  <c r="D170" i="1"/>
  <c r="B170" i="1"/>
  <c r="B169" i="1"/>
  <c r="D168" i="1"/>
  <c r="D185" i="1"/>
  <c r="B168" i="1"/>
  <c r="B167" i="1"/>
  <c r="B166" i="1"/>
  <c r="B133" i="1"/>
  <c r="B132" i="1"/>
  <c r="B131" i="1"/>
  <c r="B130" i="1"/>
  <c r="B129" i="1"/>
  <c r="B128" i="1"/>
  <c r="D132" i="1"/>
  <c r="D131" i="1"/>
  <c r="D130" i="1"/>
  <c r="D129" i="1"/>
  <c r="D128" i="1"/>
  <c r="D127" i="1"/>
  <c r="B127" i="1"/>
  <c r="D126" i="1"/>
  <c r="B126" i="1"/>
  <c r="B124" i="1"/>
  <c r="B122" i="1"/>
  <c r="B120" i="1"/>
  <c r="B118" i="1"/>
  <c r="D124" i="1"/>
  <c r="D122" i="1"/>
  <c r="D120" i="1"/>
  <c r="D118" i="1"/>
  <c r="D116" i="1"/>
  <c r="B116" i="1"/>
  <c r="D133" i="1"/>
  <c r="D142" i="1"/>
  <c r="B142" i="1"/>
  <c r="B141" i="1"/>
  <c r="B75" i="1" l="1"/>
  <c r="D74" i="1"/>
  <c r="B74" i="1"/>
  <c r="B73" i="1"/>
  <c r="D72" i="1"/>
  <c r="B72" i="1"/>
  <c r="B71" i="1"/>
  <c r="D70" i="1"/>
  <c r="B70" i="1"/>
  <c r="B69" i="1"/>
  <c r="D68" i="1"/>
  <c r="B68" i="1"/>
  <c r="B67" i="1"/>
  <c r="D66" i="1"/>
  <c r="B66" i="1"/>
  <c r="B65" i="1"/>
  <c r="D64" i="1"/>
  <c r="B64" i="1"/>
  <c r="B63" i="1"/>
  <c r="B199" i="1"/>
  <c r="D198" i="1"/>
  <c r="B198" i="1"/>
  <c r="B197" i="1"/>
  <c r="D196" i="1"/>
  <c r="B196" i="1"/>
  <c r="B195" i="1"/>
  <c r="D194" i="1"/>
  <c r="B194" i="1"/>
  <c r="B193" i="1"/>
  <c r="D101" i="1"/>
  <c r="B101" i="1"/>
  <c r="D100" i="1"/>
  <c r="B100" i="1"/>
  <c r="B99" i="1"/>
  <c r="D98" i="1"/>
  <c r="B98" i="1"/>
  <c r="B97" i="1"/>
  <c r="D96" i="1"/>
  <c r="B96" i="1"/>
  <c r="B95" i="1"/>
  <c r="D94" i="1"/>
  <c r="B94" i="1"/>
  <c r="B93" i="1"/>
  <c r="D92" i="1"/>
  <c r="B92" i="1"/>
  <c r="B91" i="1"/>
  <c r="D90" i="1"/>
  <c r="B90" i="1"/>
  <c r="B89" i="1"/>
  <c r="B88" i="1"/>
  <c r="D49" i="1"/>
  <c r="B49" i="1"/>
  <c r="D48" i="1"/>
  <c r="B48" i="1"/>
  <c r="B47" i="1"/>
  <c r="D46" i="1"/>
  <c r="B46" i="1"/>
  <c r="B45" i="1"/>
  <c r="D44" i="1"/>
  <c r="B44" i="1"/>
  <c r="B43" i="1"/>
  <c r="D42" i="1"/>
  <c r="B42" i="1"/>
  <c r="B41" i="1"/>
  <c r="D40" i="1"/>
  <c r="B40" i="1"/>
  <c r="B39" i="1"/>
  <c r="D38" i="1"/>
  <c r="B38" i="1"/>
  <c r="B37" i="1"/>
  <c r="B3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A4" i="2" l="1"/>
  <c r="EC4" i="2"/>
  <c r="GL4" i="2"/>
  <c r="FR4" i="2"/>
  <c r="FQ4" i="2"/>
  <c r="BQ4" i="2"/>
  <c r="B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A5" i="2"/>
  <c r="FR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HI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HH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B14" i="2"/>
  <c r="HG14" i="2"/>
  <c r="HH14" i="2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FS20" i="2"/>
  <c r="HG20" i="2"/>
  <c r="HH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B21" i="2"/>
  <c r="EV21" i="2"/>
  <c r="EW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HG22" i="2"/>
  <c r="EC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FR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HI28" i="2"/>
  <c r="EC28" i="2"/>
  <c r="HG28" i="2"/>
  <c r="EV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B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EV33" i="2" s="1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W33" i="2"/>
  <c r="HG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CM35" i="2"/>
  <c r="HH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FS38" i="2"/>
  <c r="HH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EX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HH44" i="2"/>
  <c r="FS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B45" i="2"/>
  <c r="HI45" i="2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HI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EC48" i="2"/>
  <c r="HI48" i="2"/>
  <c r="HH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EC50" i="2"/>
  <c r="HG50" i="2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H57" i="2"/>
  <c r="HI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HH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HH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G70" i="2"/>
  <c r="HI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HG74" i="2"/>
  <c r="FS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HI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V78" i="2"/>
  <c r="HI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W85" i="2"/>
  <c r="HH85" i="2"/>
  <c r="HI85" i="2"/>
  <c r="EV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HG87" i="2"/>
  <c r="EX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X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FS105" i="2"/>
  <c r="HH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B107" i="2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FS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HI112" i="2"/>
  <c r="FQ112" i="2"/>
  <c r="EB112" i="2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EC113" i="2"/>
  <c r="FS113" i="2"/>
  <c r="EX113" i="2"/>
  <c r="HG113" i="2"/>
  <c r="HI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HI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S118" i="2"/>
  <c r="HH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FR120" i="2"/>
  <c r="EX120" i="2"/>
  <c r="HH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HI121" i="2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EW122" i="2"/>
  <c r="HH122" i="2"/>
  <c r="FS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FS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HI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FS128" i="2"/>
  <c r="EX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EX130" i="2"/>
  <c r="EW130" i="2"/>
  <c r="HH130" i="2"/>
  <c r="HG130" i="2"/>
  <c r="HI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EV134" i="2"/>
  <c r="HG134" i="2"/>
  <c r="HI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HH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B140" i="2"/>
  <c r="EX140" i="2"/>
  <c r="HH140" i="2"/>
  <c r="HG140" i="2"/>
  <c r="FR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H141" i="2"/>
  <c r="HG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EA144" i="2"/>
  <c r="HH144" i="2"/>
  <c r="HG144" i="2"/>
  <c r="FR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B145" i="2"/>
  <c r="EA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HI146" i="2"/>
  <c r="HH146" i="2"/>
  <c r="HG146" i="2"/>
  <c r="EA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FS150" i="2"/>
  <c r="EV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HG154" i="2"/>
  <c r="HH154" i="2"/>
  <c r="EX154" i="2"/>
  <c r="AA154" i="2"/>
  <c r="EV154" i="2"/>
  <c r="EY154" i="2" s="1"/>
  <c r="EC154" i="2"/>
  <c r="EA154" i="2"/>
  <c r="FS154" i="2"/>
  <c r="HI154" i="2"/>
  <c r="HJ154" i="2" s="1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HG155" i="2"/>
  <c r="EA155" i="2"/>
  <c r="ED154" i="2"/>
  <c r="DI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AX152" i="2"/>
  <c r="HH156" i="2" l="1"/>
  <c r="HG156" i="2"/>
  <c r="EB156" i="2"/>
  <c r="EX156" i="2"/>
  <c r="HI156" i="2"/>
  <c r="FS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H157" i="2" l="1"/>
  <c r="HG157" i="2"/>
  <c r="EB157" i="2"/>
  <c r="EA157" i="2"/>
  <c r="EC157" i="2"/>
  <c r="CN156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HG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D158" i="2"/>
  <c r="EA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HG160" i="2"/>
  <c r="HI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FS161" i="2" l="1"/>
  <c r="EX161" i="2"/>
  <c r="ED160" i="2"/>
  <c r="EB161" i="2"/>
  <c r="EA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B162" i="2"/>
  <c r="EY161" i="2"/>
  <c r="EW162" i="2"/>
  <c r="EC162" i="2"/>
  <c r="DI161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B163" i="2"/>
  <c r="HI163" i="2"/>
  <c r="EV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 l="1"/>
  <c r="EA164" i="2"/>
  <c r="EV164" i="2"/>
  <c r="EY163" i="2"/>
  <c r="FR164" i="2"/>
  <c r="FS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HH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EC166" i="2"/>
  <c r="ED165" i="2"/>
  <c r="CN165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J166" i="2" l="1"/>
  <c r="EB167" i="2"/>
  <c r="EA167" i="2"/>
  <c r="EY166" i="2"/>
  <c r="HH167" i="2"/>
  <c r="HI167" i="2"/>
  <c r="FR167" i="2"/>
  <c r="DG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HH168" i="2"/>
  <c r="EB168" i="2"/>
  <c r="EC168" i="2"/>
  <c r="DG168" i="2"/>
  <c r="EW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B172" i="2"/>
  <c r="EW172" i="2"/>
  <c r="EY171" i="2"/>
  <c r="HG172" i="2"/>
  <c r="HI172" i="2"/>
  <c r="EC172" i="2"/>
  <c r="ED172" i="2" s="1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B173" i="2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EB175" i="2"/>
  <c r="EA175" i="2"/>
  <c r="HI175" i="2"/>
  <c r="FS175" i="2"/>
  <c r="EW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HH177" i="2"/>
  <c r="EC177" i="2"/>
  <c r="FS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Q178" i="2"/>
  <c r="FS178" i="2"/>
  <c r="HG178" i="2"/>
  <c r="EB178" i="2"/>
  <c r="ED177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A179" i="2" l="1"/>
  <c r="EB179" i="2"/>
  <c r="ED178" i="2"/>
  <c r="EV179" i="2"/>
  <c r="HI179" i="2"/>
  <c r="HG179" i="2"/>
  <c r="DF179" i="2"/>
  <c r="FS179" i="2"/>
  <c r="EX179" i="2"/>
  <c r="AW179" i="2"/>
  <c r="EC179" i="2"/>
  <c r="ED179" i="2" s="1"/>
  <c r="FQ179" i="2"/>
  <c r="EW179" i="2"/>
  <c r="EY179" i="2" s="1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HG180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D180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FS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FS183" i="2" l="1"/>
  <c r="ED182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EY184" i="2" s="1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A185" i="2"/>
  <c r="EV185" i="2"/>
  <c r="HH185" i="2"/>
  <c r="HG185" i="2"/>
  <c r="EW185" i="2"/>
  <c r="EB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D185" i="2"/>
  <c r="EB186" i="2"/>
  <c r="HG186" i="2"/>
  <c r="FS186" i="2"/>
  <c r="FR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EB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B189" i="2" l="1"/>
  <c r="EY188" i="2"/>
  <c r="EC189" i="2"/>
  <c r="FS189" i="2"/>
  <c r="HI189" i="2"/>
  <c r="EX189" i="2"/>
  <c r="EY189" i="2" s="1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H190" i="2" l="1"/>
  <c r="ED189" i="2"/>
  <c r="EB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I191" i="2"/>
  <c r="HG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G192" i="2" l="1"/>
  <c r="EA192" i="2"/>
  <c r="EC192" i="2"/>
  <c r="EB192" i="2"/>
  <c r="EV192" i="2"/>
  <c r="HI192" i="2"/>
  <c r="AW192" i="2"/>
  <c r="EX192" i="2"/>
  <c r="EY192" i="2" s="1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HI193" i="2" l="1"/>
  <c r="ED192" i="2"/>
  <c r="EB193" i="2"/>
  <c r="FQ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I194" i="2" l="1"/>
  <c r="EA194" i="2"/>
  <c r="ED193" i="2"/>
  <c r="CN193" i="2"/>
  <c r="FQ194" i="2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I195" i="2" l="1"/>
  <c r="HG195" i="2"/>
  <c r="ED194" i="2"/>
  <c r="EB195" i="2"/>
  <c r="EA195" i="2"/>
  <c r="FQ195" i="2"/>
  <c r="EY194" i="2"/>
  <c r="DH195" i="2"/>
  <c r="A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H197" i="2" l="1"/>
  <c r="HG197" i="2"/>
  <c r="EA197" i="2"/>
  <c r="EW197" i="2"/>
  <c r="EY196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W198" i="2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A199" i="2" l="1"/>
  <c r="FS199" i="2"/>
  <c r="EW199" i="2"/>
  <c r="HH199" i="2"/>
  <c r="HG199" i="2"/>
  <c r="EB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J199" i="2" l="1"/>
  <c r="EX200" i="2"/>
  <c r="HI200" i="2"/>
  <c r="FS200" i="2"/>
  <c r="EC200" i="2"/>
  <c r="HH200" i="2"/>
  <c r="GN200" i="2"/>
  <c r="HG200" i="2"/>
  <c r="DG200" i="2"/>
  <c r="DF200" i="2"/>
  <c r="DI200" i="2" s="1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HJ200" i="2" l="1"/>
  <c r="ED200" i="2"/>
  <c r="EA201" i="2"/>
  <c r="FS201" i="2"/>
  <c r="HH201" i="2"/>
  <c r="HG201" i="2"/>
  <c r="EB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S202" i="2" l="1"/>
  <c r="HI202" i="2"/>
  <c r="ED201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AH92" i="2" a="1"/>
  <c r="AH9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116" i="2" a="1"/>
  <c r="CS116" i="2" s="1"/>
  <c r="EI195" i="2" a="1"/>
  <c r="EI195" i="2" s="1"/>
  <c r="CS137" i="2" a="1"/>
  <c r="CS137" i="2" s="1"/>
  <c r="AH151" i="2" a="1"/>
  <c r="AH151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FD60" i="2" a="1"/>
  <c r="FD60" i="2" s="1"/>
  <c r="FD44" i="2" a="1"/>
  <c r="FD44" i="2" s="1"/>
  <c r="FD48" i="2" a="1"/>
  <c r="FD48" i="2" s="1"/>
  <c r="FD14" i="2" a="1"/>
  <c r="FD14" i="2" s="1"/>
  <c r="FD137" i="2" a="1"/>
  <c r="FD13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CS56" i="2" a="1"/>
  <c r="CS56" i="2" s="1"/>
  <c r="CS114" i="2" a="1"/>
  <c r="CS114" i="2" s="1"/>
  <c r="DN70" i="2" a="1"/>
  <c r="DN70" i="2" s="1"/>
  <c r="DN6" i="2" a="1"/>
  <c r="DN6" i="2" s="1"/>
  <c r="DO6" i="2" s="1"/>
  <c r="CS24" i="2" a="1"/>
  <c r="CS24" i="2" s="1"/>
  <c r="CS134" i="2" a="1"/>
  <c r="CS134" i="2" s="1"/>
  <c r="CS72" i="2" a="1"/>
  <c r="CS72" i="2" s="1"/>
  <c r="FD82" i="2" a="1"/>
  <c r="FD82" i="2" s="1"/>
  <c r="HJ202" i="2"/>
  <c r="EY202" i="2"/>
  <c r="AX200" i="2"/>
  <c r="FD187" i="2" l="1" a="1"/>
  <c r="FD187" i="2" s="1"/>
  <c r="FD194" i="2" a="1"/>
  <c r="FD194" i="2" s="1"/>
  <c r="FD19" i="2" a="1"/>
  <c r="FD19" i="2" s="1"/>
  <c r="FD188" i="2" a="1"/>
  <c r="FD188" i="2" s="1"/>
  <c r="FD160" i="2" a="1"/>
  <c r="FD160" i="2" s="1"/>
  <c r="FD107" i="2" a="1"/>
  <c r="FD107" i="2" s="1"/>
  <c r="FD43" i="2" a="1"/>
  <c r="FD43" i="2" s="1"/>
  <c r="FD64" i="2" a="1"/>
  <c r="FD64" i="2" s="1"/>
  <c r="FD159" i="2" a="1"/>
  <c r="FD159" i="2" s="1"/>
  <c r="FD167" i="2" a="1"/>
  <c r="FD167" i="2" s="1"/>
  <c r="FD131" i="2" a="1"/>
  <c r="FD131" i="2" s="1"/>
  <c r="FD189" i="2" a="1"/>
  <c r="FD189" i="2" s="1"/>
  <c r="DN133" i="2" a="1"/>
  <c r="DN133" i="2" s="1"/>
  <c r="DN187" i="2" a="1"/>
  <c r="DN187" i="2" s="1"/>
  <c r="DN38" i="2" a="1"/>
  <c r="DN38" i="2" s="1"/>
  <c r="DN65" i="2" a="1"/>
  <c r="DN65" i="2" s="1"/>
  <c r="DN55" i="2" a="1"/>
  <c r="DN55" i="2" s="1"/>
  <c r="DN80" i="2" a="1"/>
  <c r="DN80" i="2" s="1"/>
  <c r="DN110" i="2" a="1"/>
  <c r="DN110" i="2" s="1"/>
  <c r="DN168" i="2" a="1"/>
  <c r="DN168" i="2" s="1"/>
  <c r="DN45" i="2" a="1"/>
  <c r="DN45" i="2" s="1"/>
  <c r="DN31" i="2" a="1"/>
  <c r="DN31" i="2" s="1"/>
  <c r="DN132" i="2" a="1"/>
  <c r="DN132" i="2" s="1"/>
  <c r="DN167" i="2" a="1"/>
  <c r="DN167" i="2" s="1"/>
  <c r="DN30" i="2" a="1"/>
  <c r="DN30" i="2" s="1"/>
  <c r="DN16" i="2" a="1"/>
  <c r="DN16" i="2" s="1"/>
  <c r="DN46" i="2" a="1"/>
  <c r="DN46" i="2" s="1"/>
  <c r="DN162" i="2" a="1"/>
  <c r="DN162" i="2" s="1"/>
  <c r="DN49" i="2" a="1"/>
  <c r="DN49" i="2" s="1"/>
  <c r="DN176" i="2" a="1"/>
  <c r="DN176" i="2" s="1"/>
  <c r="DN164" i="2" a="1"/>
  <c r="DN164" i="2" s="1"/>
  <c r="DN190" i="2" a="1"/>
  <c r="DN190" i="2" s="1"/>
  <c r="DN135" i="2" a="1"/>
  <c r="DN135" i="2" s="1"/>
  <c r="DN123" i="2" a="1"/>
  <c r="DN123" i="2" s="1"/>
  <c r="DN115" i="2" a="1"/>
  <c r="DN115" i="2" s="1"/>
  <c r="DN63" i="2" a="1"/>
  <c r="DN63" i="2" s="1"/>
  <c r="DN150" i="2" a="1"/>
  <c r="DN150" i="2" s="1"/>
  <c r="DN192" i="2" a="1"/>
  <c r="DN192" i="2" s="1"/>
  <c r="DN153" i="2" a="1"/>
  <c r="DN153" i="2" s="1"/>
  <c r="DN170" i="2" a="1"/>
  <c r="DN170" i="2" s="1"/>
  <c r="DN114" i="2" a="1"/>
  <c r="DN114" i="2" s="1"/>
  <c r="DN103" i="2" a="1"/>
  <c r="DN103" i="2" s="1"/>
  <c r="DN129" i="2" a="1"/>
  <c r="DN129" i="2" s="1"/>
  <c r="DN29" i="2" a="1"/>
  <c r="DN29" i="2" s="1"/>
  <c r="DN41" i="2" a="1"/>
  <c r="DN41" i="2" s="1"/>
  <c r="DN43" i="2" a="1"/>
  <c r="DN43" i="2" s="1"/>
  <c r="DN137" i="2" a="1"/>
  <c r="DN137" i="2" s="1"/>
  <c r="DN66" i="2" a="1"/>
  <c r="DN66" i="2" s="1"/>
  <c r="DN188" i="2" a="1"/>
  <c r="DN188" i="2" s="1"/>
  <c r="DN86" i="2" a="1"/>
  <c r="DN86" i="2" s="1"/>
  <c r="DN177" i="2" a="1"/>
  <c r="DN177" i="2" s="1"/>
  <c r="DN186" i="2" a="1"/>
  <c r="DN186" i="2" s="1"/>
  <c r="DN56" i="2" a="1"/>
  <c r="DN56" i="2" s="1"/>
  <c r="DN124" i="2" a="1"/>
  <c r="DN124" i="2" s="1"/>
  <c r="DN155" i="2" a="1"/>
  <c r="DN155" i="2" s="1"/>
  <c r="DN50" i="2" a="1"/>
  <c r="DN50" i="2" s="1"/>
  <c r="DN113" i="2" a="1"/>
  <c r="DN113" i="2" s="1"/>
  <c r="DN25" i="2" a="1"/>
  <c r="DN25" i="2" s="1"/>
  <c r="DN184" i="2" a="1"/>
  <c r="DN184" i="2" s="1"/>
  <c r="DN152" i="2" a="1"/>
  <c r="DN152" i="2" s="1"/>
  <c r="FY80" i="2" a="1"/>
  <c r="FY80" i="2" s="1"/>
  <c r="FY42" i="2" a="1"/>
  <c r="FY42" i="2" s="1"/>
  <c r="FY58" i="2" a="1"/>
  <c r="FY58" i="2" s="1"/>
  <c r="FY34" i="2" a="1"/>
  <c r="FY34" i="2" s="1"/>
  <c r="FY164" i="2" a="1"/>
  <c r="FY164" i="2" s="1"/>
  <c r="FY62" i="2" a="1"/>
  <c r="FY62" i="2" s="1"/>
  <c r="FY121" i="2" a="1"/>
  <c r="FY121" i="2" s="1"/>
  <c r="FY167" i="2" a="1"/>
  <c r="FY167" i="2" s="1"/>
  <c r="FY142" i="2" a="1"/>
  <c r="FY142" i="2" s="1"/>
  <c r="FY190" i="2" a="1"/>
  <c r="FY190" i="2" s="1"/>
  <c r="FY30" i="2" a="1"/>
  <c r="FY30" i="2" s="1"/>
  <c r="FY28" i="2" a="1"/>
  <c r="FY28" i="2" s="1"/>
  <c r="FY196" i="2" a="1"/>
  <c r="FY196" i="2" s="1"/>
  <c r="FY82" i="2" a="1"/>
  <c r="FY82" i="2" s="1"/>
  <c r="FY182" i="2" a="1"/>
  <c r="FY182" i="2" s="1"/>
  <c r="FY115" i="2" a="1"/>
  <c r="FY115" i="2" s="1"/>
  <c r="FY86" i="2" a="1"/>
  <c r="FY86" i="2" s="1"/>
  <c r="FY188" i="2" a="1"/>
  <c r="FY188" i="2" s="1"/>
  <c r="FY172" i="2" a="1"/>
  <c r="FY172" i="2" s="1"/>
  <c r="FY104" i="2" a="1"/>
  <c r="FY104" i="2" s="1"/>
  <c r="FY92" i="2" a="1"/>
  <c r="FY92" i="2" s="1"/>
  <c r="FY111" i="2" a="1"/>
  <c r="FY111" i="2" s="1"/>
  <c r="FY149" i="2" a="1"/>
  <c r="FY149" i="2" s="1"/>
  <c r="FY24" i="2" a="1"/>
  <c r="FY24" i="2" s="1"/>
  <c r="FY124" i="2" a="1"/>
  <c r="FY124" i="2" s="1"/>
  <c r="FY169" i="2" a="1"/>
  <c r="FY169" i="2" s="1"/>
  <c r="FY159" i="2" a="1"/>
  <c r="FY159" i="2" s="1"/>
  <c r="FY102" i="2" a="1"/>
  <c r="FY102" i="2" s="1"/>
  <c r="FY69" i="2" a="1"/>
  <c r="FY69" i="2" s="1"/>
  <c r="FY72" i="2" a="1"/>
  <c r="FY72" i="2" s="1"/>
  <c r="FY178" i="2" a="1"/>
  <c r="FY178" i="2" s="1"/>
  <c r="FY55" i="2" a="1"/>
  <c r="FY55" i="2" s="1"/>
  <c r="FY126" i="2" a="1"/>
  <c r="FY126" i="2" s="1"/>
  <c r="FY66" i="2" a="1"/>
  <c r="FY66" i="2" s="1"/>
  <c r="FY140" i="2" a="1"/>
  <c r="FY140" i="2" s="1"/>
  <c r="FY78" i="2" a="1"/>
  <c r="FY78" i="2" s="1"/>
  <c r="FY174" i="2" a="1"/>
  <c r="FY174" i="2" s="1"/>
  <c r="FY99" i="2" a="1"/>
  <c r="FY99" i="2" s="1"/>
  <c r="FY116" i="2" a="1"/>
  <c r="FY116" i="2" s="1"/>
  <c r="FY29" i="2" a="1"/>
  <c r="FY29" i="2" s="1"/>
  <c r="FY90" i="2" a="1"/>
  <c r="FY90" i="2" s="1"/>
  <c r="FY73" i="2" a="1"/>
  <c r="FY73" i="2" s="1"/>
  <c r="FY152" i="2" a="1"/>
  <c r="FY152" i="2" s="1"/>
  <c r="FY186" i="2" a="1"/>
  <c r="FY186" i="2" s="1"/>
  <c r="FY173" i="2" a="1"/>
  <c r="FY173" i="2" s="1"/>
  <c r="FY57" i="2" a="1"/>
  <c r="FY57" i="2" s="1"/>
  <c r="FY143" i="2" a="1"/>
  <c r="FY143" i="2" s="1"/>
  <c r="FY191" i="2" a="1"/>
  <c r="FY191" i="2" s="1"/>
  <c r="FY110" i="2" a="1"/>
  <c r="FY110" i="2" s="1"/>
  <c r="FY153" i="2" a="1"/>
  <c r="FY153" i="2" s="1"/>
  <c r="FY54" i="2" a="1"/>
  <c r="FY54" i="2" s="1"/>
  <c r="FY50" i="2" a="1"/>
  <c r="FY50" i="2" s="1"/>
  <c r="FY109" i="2" a="1"/>
  <c r="FY109" i="2" s="1"/>
  <c r="FY120" i="2" a="1"/>
  <c r="FY120" i="2" s="1"/>
  <c r="FY71" i="2" a="1"/>
  <c r="FY71" i="2" s="1"/>
  <c r="FY18" i="2" a="1"/>
  <c r="FY18" i="2" s="1"/>
  <c r="FY133" i="2" a="1"/>
  <c r="FY133" i="2" s="1"/>
  <c r="FY79" i="2" a="1"/>
  <c r="FY79" i="2" s="1"/>
  <c r="FY47" i="2" a="1"/>
  <c r="FY47" i="2" s="1"/>
  <c r="FY35" i="2" a="1"/>
  <c r="FY35" i="2" s="1"/>
  <c r="FY165" i="2" a="1"/>
  <c r="FY165" i="2" s="1"/>
  <c r="FY146" i="2" a="1"/>
  <c r="FY146" i="2" s="1"/>
  <c r="FY32" i="2" a="1"/>
  <c r="FY32" i="2" s="1"/>
  <c r="FY22" i="2" a="1"/>
  <c r="FY22" i="2" s="1"/>
  <c r="BX107" i="2" a="1"/>
  <c r="BX107" i="2" s="1"/>
  <c r="CS66" i="2" a="1"/>
  <c r="CS66" i="2" s="1"/>
  <c r="CS185" i="2" a="1"/>
  <c r="CS185" i="2" s="1"/>
  <c r="CS77" i="2" a="1"/>
  <c r="CS77" i="2" s="1"/>
  <c r="CS38" i="2" a="1"/>
  <c r="CS38" i="2" s="1"/>
  <c r="CS129" i="2" a="1"/>
  <c r="CS129" i="2" s="1"/>
  <c r="CS52" i="2" a="1"/>
  <c r="CS52" i="2" s="1"/>
  <c r="FS203" i="2"/>
  <c r="EI166" i="2" a="1"/>
  <c r="EI166" i="2" s="1"/>
  <c r="EI198" i="2" a="1"/>
  <c r="EI198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T203" i="2" l="1"/>
  <c r="ED203" i="2"/>
  <c r="FZ10" i="2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GZ8" i="2" l="1"/>
  <c r="GZ94" i="2"/>
  <c r="GZ177" i="2"/>
  <c r="GZ85" i="2"/>
  <c r="GZ89" i="2"/>
  <c r="GZ80" i="2"/>
  <c r="GZ75" i="2"/>
  <c r="GZ37" i="2"/>
  <c r="GZ181" i="2"/>
  <c r="GZ175" i="2"/>
  <c r="GZ180" i="2"/>
  <c r="GZ106" i="2"/>
  <c r="GZ153" i="2"/>
  <c r="GZ120" i="2"/>
  <c r="GZ82" i="2"/>
  <c r="GZ112" i="2"/>
  <c r="GZ32" i="2"/>
  <c r="GZ69" i="2"/>
  <c r="GZ87" i="2"/>
  <c r="GZ119" i="2"/>
  <c r="GZ199" i="2"/>
  <c r="GZ34" i="2"/>
  <c r="GZ53" i="2"/>
  <c r="GZ201" i="2"/>
  <c r="GZ104" i="2"/>
  <c r="GZ142" i="2"/>
  <c r="GZ114" i="2"/>
  <c r="GZ27" i="2"/>
  <c r="GZ122" i="2"/>
  <c r="GZ44" i="2"/>
  <c r="GZ42" i="2"/>
  <c r="GZ83" i="2"/>
  <c r="GZ103" i="2"/>
  <c r="GZ108" i="2"/>
  <c r="GZ18" i="2"/>
  <c r="GZ59" i="2"/>
  <c r="GZ164" i="2"/>
  <c r="GZ96" i="2"/>
  <c r="GZ62" i="2"/>
  <c r="GZ192" i="2"/>
  <c r="GZ23" i="2"/>
  <c r="GZ124" i="2"/>
  <c r="GZ150" i="2"/>
  <c r="GZ54" i="2"/>
  <c r="GZ131" i="2"/>
  <c r="GZ165" i="2"/>
  <c r="GZ182" i="2"/>
  <c r="GZ91" i="2"/>
  <c r="GZ93" i="2"/>
  <c r="GZ193" i="2"/>
  <c r="GZ19" i="2"/>
  <c r="GZ30" i="2"/>
  <c r="GZ178" i="2"/>
  <c r="GZ24" i="2"/>
  <c r="GZ195" i="2"/>
  <c r="GZ154" i="2"/>
  <c r="GZ167" i="2"/>
  <c r="GZ60" i="2"/>
  <c r="GZ115" i="2"/>
  <c r="GZ152" i="2"/>
  <c r="GZ12" i="2"/>
  <c r="GZ191" i="2"/>
  <c r="GZ68" i="2"/>
  <c r="GZ110" i="2"/>
  <c r="GZ139" i="2"/>
  <c r="GZ187" i="2"/>
  <c r="GZ78" i="2"/>
  <c r="GZ148" i="2"/>
  <c r="GZ90" i="2"/>
  <c r="GZ151" i="2"/>
  <c r="GZ13" i="2"/>
  <c r="GZ166" i="2"/>
  <c r="GZ66" i="2"/>
  <c r="GZ133" i="2"/>
  <c r="GZ14" i="2"/>
  <c r="GZ143" i="2"/>
  <c r="GZ92" i="2"/>
  <c r="GZ7" i="2"/>
  <c r="GZ48" i="2"/>
  <c r="GZ70" i="2"/>
  <c r="GZ147" i="2"/>
  <c r="GZ123" i="2"/>
  <c r="GZ105" i="2"/>
  <c r="GZ158" i="2"/>
  <c r="GZ146" i="2"/>
  <c r="GZ98" i="2"/>
  <c r="GZ129" i="2"/>
  <c r="GZ46" i="2"/>
  <c r="GZ140" i="2"/>
  <c r="GZ77" i="2"/>
  <c r="GZ134" i="2"/>
  <c r="GZ171" i="2"/>
  <c r="GZ15" i="2"/>
  <c r="GZ162" i="2"/>
  <c r="GZ186" i="2"/>
  <c r="GZ57" i="2"/>
  <c r="GZ33" i="2"/>
  <c r="GZ198" i="2"/>
  <c r="GZ168" i="2"/>
  <c r="GZ200" i="2"/>
  <c r="GZ88" i="2"/>
  <c r="GZ31" i="2"/>
  <c r="GZ174" i="2"/>
  <c r="GZ101" i="2"/>
  <c r="GZ36" i="2"/>
  <c r="GZ170" i="2"/>
  <c r="GZ116" i="2"/>
  <c r="GZ189" i="2"/>
  <c r="GZ40" i="2"/>
  <c r="GZ149" i="2"/>
  <c r="GZ99" i="2"/>
  <c r="GZ202" i="2"/>
  <c r="GZ109" i="2"/>
  <c r="GZ74" i="2"/>
  <c r="GZ11" i="2"/>
  <c r="GZ9" i="2"/>
  <c r="GZ102" i="2"/>
  <c r="GZ111" i="2"/>
  <c r="GZ5" i="2"/>
  <c r="GZ107" i="2"/>
  <c r="GZ194" i="2"/>
  <c r="GZ184" i="2"/>
  <c r="GZ84" i="2"/>
  <c r="GZ58" i="2"/>
  <c r="GZ28" i="2"/>
  <c r="GZ65" i="2"/>
  <c r="GZ160" i="2"/>
  <c r="GZ17" i="2"/>
  <c r="GZ176" i="2"/>
  <c r="GZ196" i="2"/>
  <c r="GZ188" i="2"/>
  <c r="GZ197" i="2"/>
  <c r="GZ173" i="2"/>
  <c r="GZ113" i="2"/>
  <c r="GZ45" i="2"/>
  <c r="GZ43" i="2"/>
  <c r="GZ21" i="2"/>
  <c r="GZ49" i="2"/>
  <c r="GZ127" i="2"/>
  <c r="GZ71" i="2"/>
  <c r="GZ145" i="2"/>
  <c r="GZ86" i="2"/>
  <c r="GZ63" i="2"/>
  <c r="GZ38" i="2"/>
  <c r="GZ6" i="2"/>
  <c r="GZ156" i="2"/>
  <c r="GZ130" i="2"/>
  <c r="GZ179" i="2"/>
  <c r="GZ64" i="2"/>
  <c r="GZ190" i="2"/>
  <c r="GZ157" i="2"/>
  <c r="GZ203" i="2"/>
  <c r="GZ95" i="2"/>
  <c r="GZ41" i="2"/>
  <c r="GZ4" i="2"/>
  <c r="GZ39" i="2"/>
  <c r="GZ20" i="2"/>
  <c r="GZ125" i="2"/>
  <c r="GZ50" i="2"/>
  <c r="GZ128" i="2"/>
  <c r="GZ72" i="2"/>
  <c r="GZ163" i="2"/>
  <c r="GZ132" i="2"/>
  <c r="GZ10" i="2"/>
  <c r="GZ138" i="2"/>
  <c r="GZ118" i="2"/>
  <c r="GZ136" i="2"/>
  <c r="GZ81" i="2"/>
  <c r="GZ35" i="2"/>
  <c r="GZ61" i="2"/>
  <c r="GZ155" i="2"/>
  <c r="GZ183" i="2"/>
  <c r="GZ161" i="2"/>
  <c r="GZ126" i="2"/>
  <c r="GZ55" i="2"/>
  <c r="GZ169" i="2"/>
  <c r="GZ137" i="2"/>
  <c r="GZ172" i="2"/>
  <c r="GZ51" i="2"/>
  <c r="GZ26" i="2"/>
  <c r="GZ79" i="2"/>
  <c r="GZ135" i="2"/>
  <c r="GZ16" i="2"/>
  <c r="GZ159" i="2"/>
  <c r="GZ117" i="2"/>
  <c r="GZ97" i="2"/>
  <c r="GZ185" i="2"/>
  <c r="GZ73" i="2"/>
  <c r="GZ56" i="2"/>
  <c r="GZ121" i="2"/>
  <c r="GZ29" i="2"/>
  <c r="GZ76" i="2"/>
  <c r="GZ47" i="2"/>
  <c r="GZ22" i="2"/>
  <c r="GZ25" i="2"/>
  <c r="GZ141" i="2"/>
  <c r="GZ144" i="2"/>
  <c r="GZ67" i="2"/>
  <c r="GZ52" i="2"/>
  <c r="GZ100" i="2"/>
  <c r="GZ3" i="2"/>
  <c r="C15" i="4" s="1"/>
  <c r="E15" i="4" s="1"/>
  <c r="F15" i="4" s="1"/>
  <c r="G15" i="4" s="1"/>
  <c r="L15" i="4" s="1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CD53" i="2" l="1"/>
  <c r="CD60" i="2"/>
  <c r="CD69" i="2"/>
  <c r="CD179" i="2"/>
  <c r="CD149" i="2"/>
  <c r="CD7" i="2"/>
  <c r="CD118" i="2"/>
  <c r="CD197" i="2"/>
  <c r="CD10" i="2"/>
  <c r="CD35" i="2"/>
  <c r="CD45" i="2"/>
  <c r="CD190" i="2"/>
  <c r="CD157" i="2"/>
  <c r="CD112" i="2"/>
  <c r="CD44" i="2"/>
  <c r="CD50" i="2"/>
  <c r="CD28" i="2"/>
  <c r="CD185" i="2"/>
  <c r="CD109" i="2"/>
  <c r="CD63" i="2"/>
  <c r="CD177" i="2"/>
  <c r="CD165" i="2"/>
  <c r="CD133" i="2"/>
  <c r="CD161" i="2"/>
  <c r="CD90" i="2"/>
  <c r="CD127" i="2"/>
  <c r="CD176" i="2"/>
  <c r="CD132" i="2"/>
  <c r="CD170" i="2"/>
  <c r="CD114" i="2"/>
  <c r="CD97" i="2"/>
  <c r="CD22" i="2"/>
  <c r="CD104" i="2"/>
  <c r="CD21" i="2"/>
  <c r="CD57" i="2"/>
  <c r="CD151" i="2"/>
  <c r="CD42" i="2"/>
  <c r="CD194" i="2"/>
  <c r="CD141" i="2"/>
  <c r="CD56" i="2"/>
  <c r="CD106" i="2"/>
  <c r="CD41" i="2"/>
  <c r="CD17" i="2"/>
  <c r="CD154" i="2"/>
  <c r="CD111" i="2"/>
  <c r="CD143" i="2"/>
  <c r="CD203" i="2"/>
  <c r="CD82" i="2"/>
  <c r="CD120" i="2"/>
  <c r="CD13" i="2"/>
  <c r="CD102" i="2"/>
  <c r="CD54" i="2"/>
  <c r="CD136" i="2"/>
  <c r="CD14" i="2"/>
  <c r="CD122" i="2"/>
  <c r="CD66" i="2"/>
  <c r="CD100" i="2"/>
  <c r="CD9" i="2"/>
  <c r="CD119" i="2"/>
  <c r="CD46" i="2"/>
  <c r="CD150" i="2"/>
  <c r="CD11" i="2"/>
  <c r="CD162" i="2"/>
  <c r="CD164" i="2"/>
  <c r="CD23" i="2"/>
  <c r="CD146" i="2"/>
  <c r="CD34" i="2"/>
  <c r="CD108" i="2"/>
  <c r="CD95" i="2"/>
  <c r="CD196" i="2"/>
  <c r="CD48" i="2"/>
  <c r="CD139" i="2"/>
  <c r="CD191" i="2"/>
  <c r="CD96" i="2"/>
  <c r="CD147" i="2"/>
  <c r="CD58" i="2"/>
  <c r="CD68" i="2"/>
  <c r="CD172" i="2"/>
  <c r="CD180" i="2"/>
  <c r="CD70" i="2"/>
  <c r="CD84" i="2"/>
  <c r="CD18" i="2"/>
  <c r="CD24" i="2"/>
  <c r="CD155" i="2"/>
  <c r="CD88" i="2"/>
  <c r="CD85" i="2"/>
  <c r="CD140" i="2"/>
  <c r="CD27" i="2"/>
  <c r="CD195" i="2"/>
  <c r="CD159" i="2"/>
  <c r="CD76" i="2"/>
  <c r="CD47" i="2"/>
  <c r="CD173" i="2"/>
  <c r="CD168" i="2"/>
  <c r="CD199" i="2"/>
  <c r="CD51" i="2"/>
  <c r="CD158" i="2"/>
  <c r="CD67" i="2"/>
  <c r="CD163" i="2"/>
  <c r="CD175" i="2"/>
  <c r="CD186" i="2"/>
  <c r="CD6" i="2"/>
  <c r="CD99" i="2"/>
  <c r="CD148" i="2"/>
  <c r="CD77" i="2"/>
  <c r="CD115" i="2"/>
  <c r="CD167" i="2"/>
  <c r="CD8" i="2"/>
  <c r="CD160" i="2"/>
  <c r="CD103" i="2"/>
  <c r="CD64" i="2"/>
  <c r="CD110" i="2"/>
  <c r="CD74" i="2"/>
  <c r="CD94" i="2"/>
  <c r="CD182" i="2"/>
  <c r="CD61" i="2"/>
  <c r="CD188" i="2"/>
  <c r="CD174" i="2"/>
  <c r="CD134" i="2"/>
  <c r="CD152" i="2"/>
  <c r="CD59" i="2"/>
  <c r="CD138" i="2"/>
  <c r="CD135" i="2"/>
  <c r="CD201" i="2"/>
  <c r="CD153" i="2"/>
  <c r="CD89" i="2"/>
  <c r="CD83" i="2"/>
  <c r="CD16" i="2"/>
  <c r="CD32" i="2"/>
  <c r="CD20" i="2"/>
  <c r="CD202" i="2"/>
  <c r="CD192" i="2"/>
  <c r="CD43" i="2"/>
  <c r="CD65" i="2"/>
  <c r="CD40" i="2"/>
  <c r="CD93" i="2"/>
  <c r="CD105" i="2"/>
  <c r="CD49" i="2"/>
  <c r="CD121" i="2"/>
  <c r="CD80" i="2"/>
  <c r="CD113" i="2"/>
  <c r="CD198" i="2"/>
  <c r="CD3" i="2"/>
  <c r="C9" i="4" s="1"/>
  <c r="E9" i="4" s="1"/>
  <c r="F9" i="4" s="1"/>
  <c r="G9" i="4" s="1"/>
  <c r="L9" i="4" s="1"/>
  <c r="CD39" i="2"/>
  <c r="CD124" i="2"/>
  <c r="CD101" i="2"/>
  <c r="CD166" i="2"/>
  <c r="CD12" i="2"/>
  <c r="CD130" i="2"/>
  <c r="CD178" i="2"/>
  <c r="CD128" i="2"/>
  <c r="CD129" i="2"/>
  <c r="CD125" i="2"/>
  <c r="CD98" i="2"/>
  <c r="CD71" i="2"/>
  <c r="CD81" i="2"/>
  <c r="CD183" i="2"/>
  <c r="CD78" i="2"/>
  <c r="CD184" i="2"/>
  <c r="CD200" i="2"/>
  <c r="CD156" i="2"/>
  <c r="CD126" i="2"/>
  <c r="CD131" i="2"/>
  <c r="CD142" i="2"/>
  <c r="CD75" i="2"/>
  <c r="CD72" i="2"/>
  <c r="CD137" i="2"/>
  <c r="CD37" i="2"/>
  <c r="CD25" i="2"/>
  <c r="CD117" i="2"/>
  <c r="CD169" i="2"/>
  <c r="CD73" i="2"/>
  <c r="CD33" i="2"/>
  <c r="CD171" i="2"/>
  <c r="CD87" i="2"/>
  <c r="CD107" i="2"/>
  <c r="CD92" i="2"/>
  <c r="CD144" i="2"/>
  <c r="CD193" i="2"/>
  <c r="CD29" i="2"/>
  <c r="CD55" i="2"/>
  <c r="CD187" i="2"/>
  <c r="CD86" i="2"/>
  <c r="CD181" i="2"/>
  <c r="CD4" i="2"/>
  <c r="CD38" i="2"/>
  <c r="CD91" i="2"/>
  <c r="CD189" i="2"/>
  <c r="CD5" i="2"/>
  <c r="CD26" i="2"/>
  <c r="CD52" i="2"/>
  <c r="CD62" i="2"/>
  <c r="CD36" i="2"/>
  <c r="CD30" i="2"/>
  <c r="CD145" i="2"/>
  <c r="CD19" i="2"/>
  <c r="CD15" i="2"/>
  <c r="CD31" i="2"/>
  <c r="CD116" i="2"/>
  <c r="CD123" i="2"/>
  <c r="CD79" i="2"/>
  <c r="FJ203" i="2"/>
  <c r="FJ196" i="2"/>
  <c r="FJ29" i="2"/>
  <c r="FJ167" i="2"/>
  <c r="FJ139" i="2"/>
  <c r="FJ145" i="2"/>
  <c r="FJ46" i="2"/>
  <c r="FJ14" i="2"/>
  <c r="FJ34" i="2"/>
  <c r="FJ175" i="2"/>
  <c r="FJ168" i="2"/>
  <c r="FJ109" i="2"/>
  <c r="FJ155" i="2"/>
  <c r="FJ141" i="2"/>
  <c r="FJ33" i="2"/>
  <c r="FJ186" i="2"/>
  <c r="FJ57" i="2"/>
  <c r="FJ197" i="2"/>
  <c r="FJ154" i="2"/>
  <c r="FJ94" i="2"/>
  <c r="FJ153" i="2"/>
  <c r="FJ130" i="2"/>
  <c r="FJ161" i="2"/>
  <c r="FJ107" i="2"/>
  <c r="FJ22" i="2"/>
  <c r="FJ96" i="2"/>
  <c r="FJ177" i="2"/>
  <c r="FJ20" i="2"/>
  <c r="FJ181" i="2"/>
  <c r="FJ110" i="2"/>
  <c r="FJ62" i="2"/>
  <c r="FJ65" i="2"/>
  <c r="FJ172" i="2"/>
  <c r="FJ21" i="2"/>
  <c r="FJ47" i="2"/>
  <c r="FJ134" i="2"/>
  <c r="FJ119" i="2"/>
  <c r="FJ151" i="2"/>
  <c r="FJ55" i="2"/>
  <c r="FJ45" i="2"/>
  <c r="FJ125" i="2"/>
  <c r="FJ87" i="2"/>
  <c r="FJ13" i="2"/>
  <c r="FJ124" i="2"/>
  <c r="FJ48" i="2"/>
  <c r="FJ67" i="2"/>
  <c r="FJ90" i="2"/>
  <c r="FJ129" i="2"/>
  <c r="FJ82" i="2"/>
  <c r="FJ93" i="2"/>
  <c r="FJ127" i="2"/>
  <c r="FJ157" i="2"/>
  <c r="FJ138" i="2"/>
  <c r="FJ89" i="2"/>
  <c r="FJ174" i="2"/>
  <c r="FJ59" i="2"/>
  <c r="FJ121" i="2"/>
  <c r="FJ194" i="2"/>
  <c r="FJ27" i="2"/>
  <c r="FJ202" i="2"/>
  <c r="FJ42" i="2"/>
  <c r="FJ64" i="2"/>
  <c r="FJ111" i="2"/>
  <c r="FJ144" i="2"/>
  <c r="FJ92" i="2"/>
  <c r="FJ147" i="2"/>
  <c r="FJ179" i="2"/>
  <c r="FJ30" i="2"/>
  <c r="FJ123" i="2"/>
  <c r="FJ126" i="2"/>
  <c r="FJ113" i="2"/>
  <c r="FJ51" i="2"/>
  <c r="FJ187" i="2"/>
  <c r="FJ83" i="2"/>
  <c r="FJ54" i="2"/>
  <c r="FJ142" i="2"/>
  <c r="FJ106" i="2"/>
  <c r="FJ200" i="2"/>
  <c r="FJ66" i="2"/>
  <c r="FJ39" i="2"/>
  <c r="FJ131" i="2"/>
  <c r="FJ148" i="2"/>
  <c r="FJ32" i="2"/>
  <c r="FJ24" i="2"/>
  <c r="FJ28" i="2"/>
  <c r="FJ199" i="2"/>
  <c r="FJ140" i="2"/>
  <c r="FJ163" i="2"/>
  <c r="FJ81" i="2"/>
  <c r="FJ8" i="2"/>
  <c r="FJ162" i="2"/>
  <c r="FJ112" i="2"/>
  <c r="FJ69" i="2"/>
  <c r="FJ195" i="2"/>
  <c r="FJ165" i="2"/>
  <c r="FJ103" i="2"/>
  <c r="FJ173" i="2"/>
  <c r="FJ63" i="2"/>
  <c r="FJ77" i="2"/>
  <c r="FJ158" i="2"/>
  <c r="FJ68" i="2"/>
  <c r="FJ105" i="2"/>
  <c r="FJ143" i="2"/>
  <c r="FJ49" i="2"/>
  <c r="FJ104" i="2"/>
  <c r="FJ193" i="2"/>
  <c r="FJ137" i="2"/>
  <c r="FJ122" i="2"/>
  <c r="FJ136" i="2"/>
  <c r="FJ182" i="2"/>
  <c r="FJ84" i="2"/>
  <c r="FJ88" i="2"/>
  <c r="FJ80" i="2"/>
  <c r="FJ115" i="2"/>
  <c r="FJ40" i="2"/>
  <c r="FJ73" i="2"/>
  <c r="FJ18" i="2"/>
  <c r="FJ56" i="2"/>
  <c r="FJ164" i="2"/>
  <c r="FJ169" i="2"/>
  <c r="FJ176" i="2"/>
  <c r="FJ26" i="2"/>
  <c r="FJ75" i="2"/>
  <c r="FJ146" i="2"/>
  <c r="FJ152" i="2"/>
  <c r="FJ70" i="2"/>
  <c r="FJ170" i="2"/>
  <c r="FJ41" i="2"/>
  <c r="FJ60" i="2"/>
  <c r="FJ120" i="2"/>
  <c r="FJ99" i="2"/>
  <c r="FJ10" i="2"/>
  <c r="FJ36" i="2"/>
  <c r="FJ15" i="2"/>
  <c r="FJ171" i="2"/>
  <c r="FJ159" i="2"/>
  <c r="FJ95" i="2"/>
  <c r="FJ133" i="2"/>
  <c r="FJ35" i="2"/>
  <c r="FJ180" i="2"/>
  <c r="FJ156" i="2"/>
  <c r="FJ97" i="2"/>
  <c r="FJ183" i="2"/>
  <c r="FJ72" i="2"/>
  <c r="FJ5" i="2"/>
  <c r="FJ185" i="2"/>
  <c r="FJ37" i="2"/>
  <c r="FJ44" i="2"/>
  <c r="FJ108" i="2"/>
  <c r="FJ38" i="2"/>
  <c r="FJ16" i="2"/>
  <c r="FJ53" i="2"/>
  <c r="FJ17" i="2"/>
  <c r="FJ3" i="2"/>
  <c r="C13" i="4" s="1"/>
  <c r="E13" i="4" s="1"/>
  <c r="F13" i="4" s="1"/>
  <c r="G13" i="4" s="1"/>
  <c r="L13" i="4" s="1"/>
  <c r="FJ166" i="2"/>
  <c r="FJ132" i="2"/>
  <c r="FJ117" i="2"/>
  <c r="FJ61" i="2"/>
  <c r="FJ79" i="2"/>
  <c r="FJ98" i="2"/>
  <c r="FJ12" i="2"/>
  <c r="FJ118" i="2"/>
  <c r="FJ101" i="2"/>
  <c r="FJ114" i="2"/>
  <c r="FJ71" i="2"/>
  <c r="FJ23" i="2"/>
  <c r="FJ58" i="2"/>
  <c r="FJ9" i="2"/>
  <c r="FJ184" i="2"/>
  <c r="FJ198" i="2"/>
  <c r="FJ25" i="2"/>
  <c r="FJ86" i="2"/>
  <c r="FJ135" i="2"/>
  <c r="FJ52" i="2"/>
  <c r="FJ149" i="2"/>
  <c r="FJ190" i="2"/>
  <c r="FJ85" i="2"/>
  <c r="FJ160" i="2"/>
  <c r="FJ11" i="2"/>
  <c r="FJ7" i="2"/>
  <c r="FJ100" i="2"/>
  <c r="FJ6" i="2"/>
  <c r="FJ116" i="2"/>
  <c r="FJ31" i="2"/>
  <c r="FJ191" i="2"/>
  <c r="FJ189" i="2"/>
  <c r="FJ178" i="2"/>
  <c r="FJ201" i="2"/>
  <c r="FJ150" i="2"/>
  <c r="FJ74" i="2"/>
  <c r="FJ192" i="2"/>
  <c r="FJ102" i="2"/>
  <c r="FJ128" i="2"/>
  <c r="FJ50" i="2"/>
  <c r="FJ78" i="2"/>
  <c r="FJ4" i="2"/>
  <c r="FJ43" i="2"/>
  <c r="FJ91" i="2"/>
  <c r="FJ188" i="2"/>
  <c r="FJ76" i="2"/>
  <c r="FJ19" i="2"/>
  <c r="EO4" i="2"/>
  <c r="EO114" i="2"/>
  <c r="EO57" i="2"/>
  <c r="EO143" i="2"/>
  <c r="EO179" i="2"/>
  <c r="EO160" i="2"/>
  <c r="EO174" i="2"/>
  <c r="EO188" i="2"/>
  <c r="EO62" i="2"/>
  <c r="EO21" i="2"/>
  <c r="EO30" i="2"/>
  <c r="EO37" i="2"/>
  <c r="EO195" i="2"/>
  <c r="EO11" i="2"/>
  <c r="EO77" i="2"/>
  <c r="EO35" i="2"/>
  <c r="EO157" i="2"/>
  <c r="EO167" i="2"/>
  <c r="EO152" i="2"/>
  <c r="EO124" i="2"/>
  <c r="EO95" i="2"/>
  <c r="EO141" i="2"/>
  <c r="EO93" i="2"/>
  <c r="EO79" i="2"/>
  <c r="EO51" i="2"/>
  <c r="EO45" i="2"/>
  <c r="EO86" i="2"/>
  <c r="EO54" i="2"/>
  <c r="EO123" i="2"/>
  <c r="EO187" i="2"/>
  <c r="EO129" i="2"/>
  <c r="EO47" i="2"/>
  <c r="EO111" i="2"/>
  <c r="EO50" i="2"/>
  <c r="EO65" i="2"/>
  <c r="EO117" i="2"/>
  <c r="EO103" i="2"/>
  <c r="EO48" i="2"/>
  <c r="EO19" i="2"/>
  <c r="EO16" i="2"/>
  <c r="EO142" i="2"/>
  <c r="EO14" i="2"/>
  <c r="EO193" i="2"/>
  <c r="EO126" i="2"/>
  <c r="EO158" i="2"/>
  <c r="EO46" i="2"/>
  <c r="EO198" i="2"/>
  <c r="EO55" i="2"/>
  <c r="EO173" i="2"/>
  <c r="EO186" i="2"/>
  <c r="EO182" i="2"/>
  <c r="EO36" i="2"/>
  <c r="EO139" i="2"/>
  <c r="EO154" i="2"/>
  <c r="EO10" i="2"/>
  <c r="EO12" i="2"/>
  <c r="EO102" i="2"/>
  <c r="EO130" i="2"/>
  <c r="EO134" i="2"/>
  <c r="EO66" i="2"/>
  <c r="EO43" i="2"/>
  <c r="EO140" i="2"/>
  <c r="EO120" i="2"/>
  <c r="EO170" i="2"/>
  <c r="EO171" i="2"/>
  <c r="EO104" i="2"/>
  <c r="EO26" i="2"/>
  <c r="EO112" i="2"/>
  <c r="EO202" i="2"/>
  <c r="EO41" i="2"/>
  <c r="EO83" i="2"/>
  <c r="EO56" i="2"/>
  <c r="EO119" i="2"/>
  <c r="EO106" i="2"/>
  <c r="EO34" i="2"/>
  <c r="EO42" i="2"/>
  <c r="EO203" i="2"/>
  <c r="EO6" i="2"/>
  <c r="EO3" i="2"/>
  <c r="C12" i="4" s="1"/>
  <c r="E12" i="4" s="1"/>
  <c r="F12" i="4" s="1"/>
  <c r="G12" i="4" s="1"/>
  <c r="L12" i="4" s="1"/>
  <c r="EO33" i="2"/>
  <c r="EO128" i="2"/>
  <c r="EO8" i="2"/>
  <c r="EO59" i="2"/>
  <c r="EO118" i="2"/>
  <c r="EO17" i="2"/>
  <c r="EO105" i="2"/>
  <c r="EO53" i="2"/>
  <c r="EO144" i="2"/>
  <c r="EO28" i="2"/>
  <c r="EO150" i="2"/>
  <c r="EO156" i="2"/>
  <c r="EO151" i="2"/>
  <c r="EO176" i="2"/>
  <c r="EO18" i="2"/>
  <c r="EO109" i="2"/>
  <c r="EO107" i="2"/>
  <c r="EO133" i="2"/>
  <c r="EO70" i="2"/>
  <c r="EO60" i="2"/>
  <c r="EO49" i="2"/>
  <c r="EO96" i="2"/>
  <c r="EO44" i="2"/>
  <c r="EO175" i="2"/>
  <c r="EO164" i="2"/>
  <c r="EO39" i="2"/>
  <c r="EO81" i="2"/>
  <c r="EO135" i="2"/>
  <c r="EO82" i="2"/>
  <c r="EO177" i="2"/>
  <c r="EO88" i="2"/>
  <c r="EO67" i="2"/>
  <c r="EO169" i="2"/>
  <c r="EO166" i="2"/>
  <c r="EO148" i="2"/>
  <c r="EO101" i="2"/>
  <c r="EO149" i="2"/>
  <c r="EO97" i="2"/>
  <c r="EO40" i="2"/>
  <c r="EO75" i="2"/>
  <c r="EO183" i="2"/>
  <c r="EO145" i="2"/>
  <c r="EO125" i="2"/>
  <c r="EO32" i="2"/>
  <c r="EO121" i="2"/>
  <c r="EO24" i="2"/>
  <c r="EO23" i="2"/>
  <c r="EO27" i="2"/>
  <c r="EO131" i="2"/>
  <c r="EO58" i="2"/>
  <c r="EO7" i="2"/>
  <c r="EO78" i="2"/>
  <c r="EO200" i="2"/>
  <c r="EO69" i="2"/>
  <c r="EO84" i="2"/>
  <c r="EO147" i="2"/>
  <c r="EO31" i="2"/>
  <c r="EO168" i="2"/>
  <c r="EO132" i="2"/>
  <c r="EO189" i="2"/>
  <c r="EO76" i="2"/>
  <c r="EO92" i="2"/>
  <c r="EO61" i="2"/>
  <c r="EO146" i="2"/>
  <c r="EO127" i="2"/>
  <c r="EO190" i="2"/>
  <c r="EO178" i="2"/>
  <c r="EO159" i="2"/>
  <c r="EO194" i="2"/>
  <c r="EO80" i="2"/>
  <c r="EO22" i="2"/>
  <c r="EO110" i="2"/>
  <c r="EO64" i="2"/>
  <c r="EO155" i="2"/>
  <c r="EO71" i="2"/>
  <c r="EO73" i="2"/>
  <c r="EO25" i="2"/>
  <c r="EO113" i="2"/>
  <c r="EO15" i="2"/>
  <c r="EO153" i="2"/>
  <c r="EO63" i="2"/>
  <c r="EO197" i="2"/>
  <c r="EO13" i="2"/>
  <c r="EO136" i="2"/>
  <c r="EO185" i="2"/>
  <c r="EO122" i="2"/>
  <c r="EO52" i="2"/>
  <c r="EO20" i="2"/>
  <c r="EO91" i="2"/>
  <c r="EO89" i="2"/>
  <c r="EO98" i="2"/>
  <c r="EO74" i="2"/>
  <c r="EO138" i="2"/>
  <c r="EO68" i="2"/>
  <c r="EO191" i="2"/>
  <c r="EO115" i="2"/>
  <c r="EO184" i="2"/>
  <c r="EO108" i="2"/>
  <c r="EO116" i="2"/>
  <c r="EO85" i="2"/>
  <c r="EO201" i="2"/>
  <c r="EO196" i="2"/>
  <c r="EO90" i="2"/>
  <c r="EO87" i="2"/>
  <c r="EO162" i="2"/>
  <c r="EO38" i="2"/>
  <c r="EO100" i="2"/>
  <c r="EO163" i="2"/>
  <c r="EO180" i="2"/>
  <c r="EO72" i="2"/>
  <c r="EO161" i="2"/>
  <c r="EO172" i="2"/>
  <c r="EO165" i="2"/>
  <c r="EO5" i="2"/>
  <c r="EO192" i="2"/>
  <c r="EO29" i="2"/>
  <c r="EO94" i="2"/>
  <c r="EO181" i="2"/>
  <c r="EO199" i="2"/>
  <c r="EO137" i="2"/>
  <c r="EO9" i="2"/>
  <c r="EO99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41" i="2" l="1"/>
  <c r="BI78" i="2"/>
  <c r="BI85" i="2"/>
  <c r="BI163" i="2"/>
  <c r="BI118" i="2"/>
  <c r="BI43" i="2"/>
  <c r="BI76" i="2"/>
  <c r="BI23" i="2"/>
  <c r="BI4" i="2"/>
  <c r="BI96" i="2"/>
  <c r="BI161" i="2"/>
  <c r="BI129" i="2"/>
  <c r="BI47" i="2"/>
  <c r="BI62" i="2"/>
  <c r="BI65" i="2"/>
  <c r="BI54" i="2"/>
  <c r="BI187" i="2"/>
  <c r="BI156" i="2"/>
  <c r="BI7" i="2"/>
  <c r="BI190" i="2"/>
  <c r="BI31" i="2"/>
  <c r="BI49" i="2"/>
  <c r="BI63" i="2"/>
  <c r="BI193" i="2"/>
  <c r="BI109" i="2"/>
  <c r="BI88" i="2"/>
  <c r="BI120" i="2"/>
  <c r="BI9" i="2"/>
  <c r="BI189" i="2"/>
  <c r="BI16" i="2"/>
  <c r="BI122" i="2"/>
  <c r="BI98" i="2"/>
  <c r="BI116" i="2"/>
  <c r="BI111" i="2"/>
  <c r="BI19" i="2"/>
  <c r="BI41" i="2"/>
  <c r="BI106" i="2"/>
  <c r="BI86" i="2"/>
  <c r="BI30" i="2"/>
  <c r="BI73" i="2"/>
  <c r="BI139" i="2"/>
  <c r="BI165" i="2"/>
  <c r="BI8" i="2"/>
  <c r="BI3" i="2"/>
  <c r="C8" i="4" s="1"/>
  <c r="E8" i="4" s="1"/>
  <c r="F8" i="4" s="1"/>
  <c r="G8" i="4" s="1"/>
  <c r="L8" i="4" s="1"/>
  <c r="BI42" i="2"/>
  <c r="BI68" i="2"/>
  <c r="BI170" i="2"/>
  <c r="BI66" i="2"/>
  <c r="BI13" i="2"/>
  <c r="BI26" i="2"/>
  <c r="BI135" i="2"/>
  <c r="BI174" i="2"/>
  <c r="BI132" i="2"/>
  <c r="BI143" i="2"/>
  <c r="BI18" i="2"/>
  <c r="BI115" i="2"/>
  <c r="BI79" i="2"/>
  <c r="BI60" i="2"/>
  <c r="BI89" i="2"/>
  <c r="BI160" i="2"/>
  <c r="BI178" i="2"/>
  <c r="BI5" i="2"/>
  <c r="BI183" i="2"/>
  <c r="BI6" i="2"/>
  <c r="BI148" i="2"/>
  <c r="BI99" i="2"/>
  <c r="BI124" i="2"/>
  <c r="BI150" i="2"/>
  <c r="BI84" i="2"/>
  <c r="BI72" i="2"/>
  <c r="BI87" i="2"/>
  <c r="BI10" i="2"/>
  <c r="BI34" i="2"/>
  <c r="BI112" i="2"/>
  <c r="BI90" i="2"/>
  <c r="BI29" i="2"/>
  <c r="BI51" i="2"/>
  <c r="BI158" i="2"/>
  <c r="BI55" i="2"/>
  <c r="BI144" i="2"/>
  <c r="BI123" i="2"/>
  <c r="BI104" i="2"/>
  <c r="BI36" i="2"/>
  <c r="BI155" i="2"/>
  <c r="BI201" i="2"/>
  <c r="BI22" i="2"/>
  <c r="BI185" i="2"/>
  <c r="BI82" i="2"/>
  <c r="BI191" i="2"/>
  <c r="BI32" i="2"/>
  <c r="BI164" i="2"/>
  <c r="BI172" i="2"/>
  <c r="BI52" i="2"/>
  <c r="BI11" i="2"/>
  <c r="BI108" i="2"/>
  <c r="BI145" i="2"/>
  <c r="BI67" i="2"/>
  <c r="BI17" i="2"/>
  <c r="BI74" i="2"/>
  <c r="BI93" i="2"/>
  <c r="BI12" i="2"/>
  <c r="BI83" i="2"/>
  <c r="BI186" i="2"/>
  <c r="BI125" i="2"/>
  <c r="BI71" i="2"/>
  <c r="BI151" i="2"/>
  <c r="BI119" i="2"/>
  <c r="BI107" i="2"/>
  <c r="BI35" i="2"/>
  <c r="BI140" i="2"/>
  <c r="BI81" i="2"/>
  <c r="BI199" i="2"/>
  <c r="BI77" i="2"/>
  <c r="BI146" i="2"/>
  <c r="BI192" i="2"/>
  <c r="BI138" i="2"/>
  <c r="BI94" i="2"/>
  <c r="BI182" i="2"/>
  <c r="BI59" i="2"/>
  <c r="BI179" i="2"/>
  <c r="BI177" i="2"/>
  <c r="BI53" i="2"/>
  <c r="BI188" i="2"/>
  <c r="BI25" i="2"/>
  <c r="BI157" i="2"/>
  <c r="BI50" i="2"/>
  <c r="BI198" i="2"/>
  <c r="BI114" i="2"/>
  <c r="BI100" i="2"/>
  <c r="BI181" i="2"/>
  <c r="BI101" i="2"/>
  <c r="BI75" i="2"/>
  <c r="BI21" i="2"/>
  <c r="BI203" i="2"/>
  <c r="BI168" i="2"/>
  <c r="BI69" i="2"/>
  <c r="BI45" i="2"/>
  <c r="BI58" i="2"/>
  <c r="BI134" i="2"/>
  <c r="BI175" i="2"/>
  <c r="BI95" i="2"/>
  <c r="BI169" i="2"/>
  <c r="BI46" i="2"/>
  <c r="BI173" i="2"/>
  <c r="BI128" i="2"/>
  <c r="BI113" i="2"/>
  <c r="BI196" i="2"/>
  <c r="BI91" i="2"/>
  <c r="BI202" i="2"/>
  <c r="BI176" i="2"/>
  <c r="BI33" i="2"/>
  <c r="BI39" i="2"/>
  <c r="BI149" i="2"/>
  <c r="BI147" i="2"/>
  <c r="BI61" i="2"/>
  <c r="BI48" i="2"/>
  <c r="BI131" i="2"/>
  <c r="BI121" i="2"/>
  <c r="BI20" i="2"/>
  <c r="BI102" i="2"/>
  <c r="BI130" i="2"/>
  <c r="BI154" i="2"/>
  <c r="BI126" i="2"/>
  <c r="BI136" i="2"/>
  <c r="BI110" i="2"/>
  <c r="BI14" i="2"/>
  <c r="BI38" i="2"/>
  <c r="BI200" i="2"/>
  <c r="BI97" i="2"/>
  <c r="BI137" i="2"/>
  <c r="BI180" i="2"/>
  <c r="BI162" i="2"/>
  <c r="BI184" i="2"/>
  <c r="BI105" i="2"/>
  <c r="BI37" i="2"/>
  <c r="BI57" i="2"/>
  <c r="BI195" i="2"/>
  <c r="BI24" i="2"/>
  <c r="BI159" i="2"/>
  <c r="BI44" i="2"/>
  <c r="BI152" i="2"/>
  <c r="BI166" i="2"/>
  <c r="BI153" i="2"/>
  <c r="BI171" i="2"/>
  <c r="BI15" i="2"/>
  <c r="BI194" i="2"/>
  <c r="BI40" i="2"/>
  <c r="BI70" i="2"/>
  <c r="BI56" i="2"/>
  <c r="BI117" i="2"/>
  <c r="BI127" i="2"/>
  <c r="BI64" i="2"/>
  <c r="BI28" i="2"/>
  <c r="BI133" i="2"/>
  <c r="BI167" i="2"/>
  <c r="BI103" i="2"/>
  <c r="BI27" i="2"/>
  <c r="BI197" i="2"/>
  <c r="BI142" i="2"/>
  <c r="BI80" i="2"/>
  <c r="BI92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<sst xmlns="http://schemas.openxmlformats.org/spreadsheetml/2006/main" count="1179" uniqueCount="324">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</sst>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224.39984380548495</c:v>
                </c:pt>
                <c:pt idx="27">
                  <c:v>242.32965686946352</c:v>
                </c:pt>
                <c:pt idx="28">
                  <c:v>260.22929949690081</c:v>
                </c:pt>
                <c:pt idx="29">
                  <c:v>278.10113875777256</c:v>
                </c:pt>
                <c:pt idx="30">
                  <c:v>295.94721255485501</c:v>
                </c:pt>
                <c:pt idx="31">
                  <c:v>208.0004464477073</c:v>
                </c:pt>
                <c:pt idx="32">
                  <c:v>229.08024217931526</c:v>
                </c:pt>
                <c:pt idx="33">
                  <c:v>250.11566977871595</c:v>
                </c:pt>
                <c:pt idx="34">
                  <c:v>271.11098488765992</c:v>
                </c:pt>
                <c:pt idx="35">
                  <c:v>292.06972985560316</c:v>
                </c:pt>
                <c:pt idx="36">
                  <c:v>313.76929290842918</c:v>
                </c:pt>
                <c:pt idx="37">
                  <c:v>335.43558947776108</c:v>
                </c:pt>
                <c:pt idx="38">
                  <c:v>357.07106927741569</c:v>
                </c:pt>
                <c:pt idx="39">
                  <c:v>378.67786100909785</c:v>
                </c:pt>
                <c:pt idx="40">
                  <c:v>400.25783072357075</c:v>
                </c:pt>
                <c:pt idx="41">
                  <c:v>314.15647495690467</c:v>
                </c:pt>
                <c:pt idx="42">
                  <c:v>336.20880231759611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402.18336673633206</c:v>
                </c:pt>
                <c:pt idx="46">
                  <c:v>423.35133170920318</c:v>
                </c:pt>
                <c:pt idx="47">
                  <c:v>444.49652417922852</c:v>
                </c:pt>
                <c:pt idx="48">
                  <c:v>465.62017905920681</c:v>
                </c:pt>
                <c:pt idx="49">
                  <c:v>486.72341015001922</c:v>
                </c:pt>
                <c:pt idx="50">
                  <c:v>507.80722686130622</c:v>
                </c:pt>
                <c:pt idx="51">
                  <c:v>419.8890759024078</c:v>
                </c:pt>
                <c:pt idx="52">
                  <c:v>439.50055712660463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516.23552610410309</c:v>
                </c:pt>
                <c:pt idx="57">
                  <c:v>534.23177896582058</c:v>
                </c:pt>
                <c:pt idx="58">
                  <c:v>552.21528751868721</c:v>
                </c:pt>
                <c:pt idx="59">
                  <c:v>570.18652494495905</c:v>
                </c:pt>
                <c:pt idx="60">
                  <c:v>588.14593218796961</c:v>
                </c:pt>
                <c:pt idx="61">
                  <c:v>497.84269099902514</c:v>
                </c:pt>
                <c:pt idx="62">
                  <c:v>514.70332559574479</c:v>
                </c:pt>
                <c:pt idx="63">
                  <c:v>531.5523056174153</c:v>
                </c:pt>
                <c:pt idx="64">
                  <c:v>548.39005229891836</c:v>
                </c:pt>
                <c:pt idx="65">
                  <c:v>565.21695891368051</c:v>
                </c:pt>
                <c:pt idx="66">
                  <c:v>580.8871438306777</c:v>
                </c:pt>
                <c:pt idx="67">
                  <c:v>596.54851588925385</c:v>
                </c:pt>
                <c:pt idx="68">
                  <c:v>612.20133890996374</c:v>
                </c:pt>
                <c:pt idx="69">
                  <c:v>627.84586213083389</c:v>
                </c:pt>
                <c:pt idx="70">
                  <c:v>643.4823213641663</c:v>
                </c:pt>
                <c:pt idx="71">
                  <c:v>551.06777546888077</c:v>
                </c:pt>
                <c:pt idx="72">
                  <c:v>565.59926555628579</c:v>
                </c:pt>
                <c:pt idx="73">
                  <c:v>580.12295123245474</c:v>
                </c:pt>
                <c:pt idx="74">
                  <c:v>594.63905531968828</c:v>
                </c:pt>
                <c:pt idx="75">
                  <c:v>609.14778887966042</c:v>
                </c:pt>
                <c:pt idx="76">
                  <c:v>622.88628757946447</c:v>
                </c:pt>
                <c:pt idx="77">
                  <c:v>636.61851280143765</c:v>
                </c:pt>
                <c:pt idx="78">
                  <c:v>650.34461886630652</c:v>
                </c:pt>
                <c:pt idx="79">
                  <c:v>664.06475305298818</c:v>
                </c:pt>
                <c:pt idx="80">
                  <c:v>677.77905606178604</c:v>
                </c:pt>
                <c:pt idx="81">
                  <c:v>583.56165301259614</c:v>
                </c:pt>
                <c:pt idx="82">
                  <c:v>596.16663396016554</c:v>
                </c:pt>
                <c:pt idx="83">
                  <c:v>608.76607282046439</c:v>
                </c:pt>
                <c:pt idx="84">
                  <c:v>621.36010041874761</c:v>
                </c:pt>
                <c:pt idx="85">
                  <c:v>633.94884184664022</c:v>
                </c:pt>
                <c:pt idx="86">
                  <c:v>646.53241682467012</c:v>
                </c:pt>
                <c:pt idx="87">
                  <c:v>659.11094003512619</c:v>
                </c:pt>
                <c:pt idx="88">
                  <c:v>671.68452142819672</c:v>
                </c:pt>
                <c:pt idx="89">
                  <c:v>684.25326650400723</c:v>
                </c:pt>
                <c:pt idx="90">
                  <c:v>696.81727657286899</c:v>
                </c:pt>
                <c:pt idx="91">
                  <c:v>601.32161215624581</c:v>
                </c:pt>
                <c:pt idx="92">
                  <c:v>612.58301041135371</c:v>
                </c:pt>
                <c:pt idx="93">
                  <c:v>623.84011521480932</c:v>
                </c:pt>
                <c:pt idx="94">
                  <c:v>635.09301493951591</c:v>
                </c:pt>
                <c:pt idx="95">
                  <c:v>646.34179457229243</c:v>
                </c:pt>
                <c:pt idx="96">
                  <c:v>657.5865359015296</c:v>
                </c:pt>
                <c:pt idx="97">
                  <c:v>668.82731769134716</c:v>
                </c:pt>
                <c:pt idx="98">
                  <c:v>680.06421584344059</c:v>
                </c:pt>
                <c:pt idx="99">
                  <c:v>691.29730354767992</c:v>
                </c:pt>
                <c:pt idx="100">
                  <c:v>702.52665142241437</c:v>
                </c:pt>
                <c:pt idx="101">
                  <c:v>607.62089481714156</c:v>
                </c:pt>
                <c:pt idx="102">
                  <c:v>617.5442922766041</c:v>
                </c:pt>
                <c:pt idx="103">
                  <c:v>627.46438526884378</c:v>
                </c:pt>
                <c:pt idx="104">
                  <c:v>637.38123339273818</c:v>
                </c:pt>
                <c:pt idx="105">
                  <c:v>647.29489424172436</c:v>
                </c:pt>
                <c:pt idx="106">
                  <c:v>657.20542350161361</c:v>
                </c:pt>
                <c:pt idx="107">
                  <c:v>667.11287504220047</c:v>
                </c:pt>
                <c:pt idx="108">
                  <c:v>677.01730100315001</c:v>
                </c:pt>
                <c:pt idx="109">
                  <c:v>686.91875187459846</c:v>
                </c:pt>
                <c:pt idx="110">
                  <c:v>696.81727657286831</c:v>
                </c:pt>
                <c:pt idx="111">
                  <c:v>608.19348941446731</c:v>
                </c:pt>
                <c:pt idx="112">
                  <c:v>616.78107210210862</c:v>
                </c:pt>
                <c:pt idx="113">
                  <c:v>625.36617664098833</c:v>
                </c:pt>
                <c:pt idx="114">
                  <c:v>633.94884184663977</c:v>
                </c:pt>
                <c:pt idx="115">
                  <c:v>642.52910539795437</c:v>
                </c:pt>
                <c:pt idx="116">
                  <c:v>651.10700388552482</c:v>
                </c:pt>
                <c:pt idx="117">
                  <c:v>659.68257285730908</c:v>
                </c:pt>
                <c:pt idx="118">
                  <c:v>668.25584686179945</c:v>
                </c:pt>
                <c:pt idx="119">
                  <c:v>676.82685948885739</c:v>
                </c:pt>
                <c:pt idx="120">
                  <c:v>685.39564340837785</c:v>
                </c:pt>
                <c:pt idx="121">
                  <c:v>603.54878720323211</c:v>
                </c:pt>
                <c:pt idx="122">
                  <c:v>611.31075286882106</c:v>
                </c:pt>
                <c:pt idx="123">
                  <c:v>619.07067399707273</c:v>
                </c:pt>
                <c:pt idx="124">
                  <c:v>626.82857983087058</c:v>
                </c:pt>
                <c:pt idx="125">
                  <c:v>634.58449883019921</c:v>
                </c:pt>
                <c:pt idx="126">
                  <c:v>642.33845870262405</c:v>
                </c:pt>
                <c:pt idx="127">
                  <c:v>650.09048643222127</c:v>
                </c:pt>
                <c:pt idx="128">
                  <c:v>657.84060830705721</c:v>
                </c:pt>
                <c:pt idx="129">
                  <c:v>665.58884994530615</c:v>
                </c:pt>
                <c:pt idx="130">
                  <c:v>673.33523632008735</c:v>
                </c:pt>
                <c:pt idx="131">
                  <c:v>681.07979178310245</c:v>
                </c:pt>
                <c:pt idx="132">
                  <c:v>688.8225400871396</c:v>
                </c:pt>
                <c:pt idx="133">
                  <c:v>696.5635044075143</c:v>
                </c:pt>
                <c:pt idx="134">
                  <c:v>704.30270736250952</c:v>
                </c:pt>
                <c:pt idx="135">
                  <c:v>712.04017103286799</c:v>
                </c:pt>
                <c:pt idx="136">
                  <c:v>595.02095762588726</c:v>
                </c:pt>
                <c:pt idx="137">
                  <c:v>601.89433065861647</c:v>
                </c:pt>
                <c:pt idx="138">
                  <c:v>608.76607282046393</c:v>
                </c:pt>
                <c:pt idx="139">
                  <c:v>615.63620511984993</c:v>
                </c:pt>
                <c:pt idx="140">
                  <c:v>622.50474805800343</c:v>
                </c:pt>
                <c:pt idx="141">
                  <c:v>629.37172164679021</c:v>
                </c:pt>
                <c:pt idx="142">
                  <c:v>636.237145425721</c:v>
                </c:pt>
                <c:pt idx="143">
                  <c:v>643.1010384781888</c:v>
                </c:pt>
                <c:pt idx="144">
                  <c:v>649.96341944697565</c:v>
                </c:pt>
                <c:pt idx="145">
                  <c:v>656.82430654907159</c:v>
                </c:pt>
                <c:pt idx="146">
                  <c:v>663.68371758984233</c:v>
                </c:pt>
                <c:pt idx="147">
                  <c:v>670.54166997657933</c:v>
                </c:pt>
                <c:pt idx="148">
                  <c:v>677.39818073146876</c:v>
                </c:pt>
                <c:pt idx="149">
                  <c:v>684.25326650400712</c:v>
                </c:pt>
                <c:pt idx="150">
                  <c:v>691.10694358289345</c:v>
                </c:pt>
                <c:pt idx="151">
                  <c:v>1.5435705246133045E-12</c:v>
                </c:pt>
                <c:pt idx="152">
                  <c:v>1.5435705246133045E-12</c:v>
                </c:pt>
                <c:pt idx="153">
                  <c:v>1.5435705246133045E-12</c:v>
                </c:pt>
                <c:pt idx="154">
                  <c:v>1.5435705246133045E-12</c:v>
                </c:pt>
                <c:pt idx="155">
                  <c:v>1.5435705246133045E-12</c:v>
                </c:pt>
                <c:pt idx="156">
                  <c:v>1.5435705246133045E-12</c:v>
                </c:pt>
                <c:pt idx="157">
                  <c:v>1.5435705246133045E-12</c:v>
                </c:pt>
                <c:pt idx="158">
                  <c:v>1.5435705246133045E-12</c:v>
                </c:pt>
                <c:pt idx="159">
                  <c:v>1.5435705246133045E-12</c:v>
                </c:pt>
                <c:pt idx="160">
                  <c:v>1.5435705246133045E-12</c:v>
                </c:pt>
                <c:pt idx="161">
                  <c:v>1.5435705246133045E-12</c:v>
                </c:pt>
                <c:pt idx="162">
                  <c:v>1.5435705246133045E-12</c:v>
                </c:pt>
                <c:pt idx="163">
                  <c:v>1.5435705246133045E-12</c:v>
                </c:pt>
                <c:pt idx="164">
                  <c:v>1.5435705246133045E-12</c:v>
                </c:pt>
                <c:pt idx="165">
                  <c:v>1.5435705246133045E-12</c:v>
                </c:pt>
                <c:pt idx="166">
                  <c:v>1.5435705246133045E-12</c:v>
                </c:pt>
                <c:pt idx="167">
                  <c:v>1.5435705246133045E-12</c:v>
                </c:pt>
                <c:pt idx="168">
                  <c:v>1.5435705246133045E-12</c:v>
                </c:pt>
                <c:pt idx="169">
                  <c:v>1.5435705246133045E-12</c:v>
                </c:pt>
                <c:pt idx="170">
                  <c:v>1.5435705246133045E-12</c:v>
                </c:pt>
                <c:pt idx="171">
                  <c:v>1.5435705246133045E-12</c:v>
                </c:pt>
                <c:pt idx="172">
                  <c:v>1.5435705246133045E-12</c:v>
                </c:pt>
                <c:pt idx="173">
                  <c:v>1.5435705246133045E-12</c:v>
                </c:pt>
                <c:pt idx="174">
                  <c:v>1.5435705246133045E-12</c:v>
                </c:pt>
                <c:pt idx="175">
                  <c:v>1.5435705246133045E-12</c:v>
                </c:pt>
                <c:pt idx="176">
                  <c:v>1.5435705246133045E-12</c:v>
                </c:pt>
                <c:pt idx="177">
                  <c:v>1.5435705246133045E-12</c:v>
                </c:pt>
                <c:pt idx="178">
                  <c:v>1.5435705246133045E-12</c:v>
                </c:pt>
                <c:pt idx="179">
                  <c:v>1.5435705246133045E-12</c:v>
                </c:pt>
                <c:pt idx="180">
                  <c:v>1.5435705246133045E-12</c:v>
                </c:pt>
                <c:pt idx="181">
                  <c:v>1.5435705246133045E-12</c:v>
                </c:pt>
                <c:pt idx="182">
                  <c:v>1.5435705246133045E-12</c:v>
                </c:pt>
                <c:pt idx="183">
                  <c:v>1.5435705246133045E-12</c:v>
                </c:pt>
                <c:pt idx="184">
                  <c:v>1.5435705246133045E-12</c:v>
                </c:pt>
                <c:pt idx="185">
                  <c:v>1.5435705246133045E-12</c:v>
                </c:pt>
                <c:pt idx="186">
                  <c:v>1.5435705246133045E-12</c:v>
                </c:pt>
                <c:pt idx="187">
                  <c:v>1.5435705246133045E-12</c:v>
                </c:pt>
                <c:pt idx="188">
                  <c:v>1.5435705246133045E-12</c:v>
                </c:pt>
                <c:pt idx="189">
                  <c:v>1.5435705246133045E-12</c:v>
                </c:pt>
                <c:pt idx="190">
                  <c:v>1.5435705246133045E-12</c:v>
                </c:pt>
                <c:pt idx="191">
                  <c:v>1.5435705246133045E-12</c:v>
                </c:pt>
                <c:pt idx="192">
                  <c:v>1.5435705246133045E-12</c:v>
                </c:pt>
                <c:pt idx="193">
                  <c:v>1.5435705246133045E-12</c:v>
                </c:pt>
                <c:pt idx="194">
                  <c:v>1.5435705246133045E-12</c:v>
                </c:pt>
                <c:pt idx="195">
                  <c:v>1.5435705246133045E-12</c:v>
                </c:pt>
                <c:pt idx="196">
                  <c:v>1.5435705246133045E-12</c:v>
                </c:pt>
                <c:pt idx="197">
                  <c:v>1.5435705246133045E-12</c:v>
                </c:pt>
                <c:pt idx="198">
                  <c:v>1.5435705246133045E-12</c:v>
                </c:pt>
                <c:pt idx="199">
                  <c:v>1.5435705246133045E-12</c:v>
                </c:pt>
                <c:pt idx="200">
                  <c:v>1.5435705246133045E-12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12420752"/>
        <c:axId val="-2012416400"/>
      </c:scatterChart>
      <c:valAx>
        <c:axId val="-20124207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12416400"/>
        <c:crosses val="autoZero"/>
        <c:crossBetween val="midCat"/>
      </c:valAx>
      <c:valAx>
        <c:axId val="-2012416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124207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2.226622737697221</c:v>
                </c:pt>
                <c:pt idx="2">
                  <c:v>2.8625265097424397</c:v>
                </c:pt>
                <c:pt idx="3">
                  <c:v>3.6807673232046039</c:v>
                </c:pt>
                <c:pt idx="4">
                  <c:v>4.7338249191760466</c:v>
                </c:pt>
                <c:pt idx="5">
                  <c:v>6.0893366647592657</c:v>
                </c:pt>
                <c:pt idx="6">
                  <c:v>7.8344897360718626</c:v>
                </c:pt>
                <c:pt idx="7">
                  <c:v>10.081689817520575</c:v>
                </c:pt>
                <c:pt idx="8">
                  <c:v>12.975878330143091</c:v>
                </c:pt>
                <c:pt idx="9">
                  <c:v>16.70397888629628</c:v>
                </c:pt>
                <c:pt idx="10">
                  <c:v>21.507094176298665</c:v>
                </c:pt>
                <c:pt idx="11">
                  <c:v>27.696256162013025</c:v>
                </c:pt>
                <c:pt idx="12">
                  <c:v>35.672767364515572</c:v>
                </c:pt>
                <c:pt idx="13">
                  <c:v>45.954474822239945</c:v>
                </c:pt>
                <c:pt idx="14">
                  <c:v>59.209711195430032</c:v>
                </c:pt>
                <c:pt idx="15">
                  <c:v>76.301145689172856</c:v>
                </c:pt>
                <c:pt idx="16">
                  <c:v>88.457340034120918</c:v>
                </c:pt>
                <c:pt idx="17">
                  <c:v>100.57156022593183</c:v>
                </c:pt>
                <c:pt idx="18">
                  <c:v>112.64958590196655</c:v>
                </c:pt>
                <c:pt idx="19">
                  <c:v>124.69585112217392</c:v>
                </c:pt>
                <c:pt idx="20">
                  <c:v>136.71386058122562</c:v>
                </c:pt>
                <c:pt idx="21">
                  <c:v>113.40336758500625</c:v>
                </c:pt>
                <c:pt idx="22">
                  <c:v>125.82369159890273</c:v>
                </c:pt>
                <c:pt idx="23">
                  <c:v>138.21427227726235</c:v>
                </c:pt>
                <c:pt idx="24">
                  <c:v>150.57815464878283</c:v>
                </c:pt>
                <c:pt idx="25">
                  <c:v>162.91784180635725</c:v>
                </c:pt>
                <c:pt idx="26">
                  <c:v>174.6759892646526</c:v>
                </c:pt>
                <c:pt idx="27">
                  <c:v>186.41554721296791</c:v>
                </c:pt>
                <c:pt idx="28">
                  <c:v>198.13785215720918</c:v>
                </c:pt>
                <c:pt idx="29">
                  <c:v>209.8440693666619</c:v>
                </c:pt>
                <c:pt idx="30">
                  <c:v>221.53522335108485</c:v>
                </c:pt>
                <c:pt idx="31">
                  <c:v>185.2982570323903</c:v>
                </c:pt>
                <c:pt idx="32">
                  <c:v>196.46424765821197</c:v>
                </c:pt>
                <c:pt idx="33">
                  <c:v>207.61550464114839</c:v>
                </c:pt>
                <c:pt idx="34">
                  <c:v>218.7529314533075</c:v>
                </c:pt>
                <c:pt idx="35">
                  <c:v>229.8773319666974</c:v>
                </c:pt>
                <c:pt idx="36">
                  <c:v>240.24898910471029</c:v>
                </c:pt>
                <c:pt idx="37">
                  <c:v>250.61045481310325</c:v>
                </c:pt>
                <c:pt idx="38">
                  <c:v>260.96221015972299</c:v>
                </c:pt>
                <c:pt idx="39">
                  <c:v>271.30469489980919</c:v>
                </c:pt>
                <c:pt idx="40">
                  <c:v>281.63831249761358</c:v>
                </c:pt>
                <c:pt idx="41">
                  <c:v>241.5447193683236</c:v>
                </c:pt>
                <c:pt idx="42">
                  <c:v>251.35018250509077</c:v>
                </c:pt>
                <c:pt idx="43">
                  <c:v>261.14697743122923</c:v>
                </c:pt>
                <c:pt idx="44">
                  <c:v>270.93547543188362</c:v>
                </c:pt>
                <c:pt idx="45">
                  <c:v>280.71601875158382</c:v>
                </c:pt>
                <c:pt idx="46">
                  <c:v>289.75160586553034</c:v>
                </c:pt>
                <c:pt idx="47">
                  <c:v>298.78089686477716</c:v>
                </c:pt>
                <c:pt idx="48">
                  <c:v>307.80410900253173</c:v>
                </c:pt>
                <c:pt idx="49">
                  <c:v>316.82144574470937</c:v>
                </c:pt>
                <c:pt idx="50">
                  <c:v>325.8330980209808</c:v>
                </c:pt>
                <c:pt idx="51">
                  <c:v>287.17066187581446</c:v>
                </c:pt>
                <c:pt idx="52">
                  <c:v>295.46473202474721</c:v>
                </c:pt>
                <c:pt idx="53">
                  <c:v>303.75360952955964</c:v>
                </c:pt>
                <c:pt idx="54">
                  <c:v>312.03745619949137</c:v>
                </c:pt>
                <c:pt idx="55">
                  <c:v>320.31642454362617</c:v>
                </c:pt>
                <c:pt idx="56">
                  <c:v>328.03918745937807</c:v>
                </c:pt>
                <c:pt idx="57">
                  <c:v>335.75793717547276</c:v>
                </c:pt>
                <c:pt idx="58">
                  <c:v>343.47277904595654</c:v>
                </c:pt>
                <c:pt idx="59">
                  <c:v>351.1838133017921</c:v>
                </c:pt>
                <c:pt idx="60">
                  <c:v>358.89113540947909</c:v>
                </c:pt>
                <c:pt idx="61">
                  <c:v>323.07502170283419</c:v>
                </c:pt>
                <c:pt idx="62">
                  <c:v>330.42874810515195</c:v>
                </c:pt>
                <c:pt idx="63">
                  <c:v>337.77886455023247</c:v>
                </c:pt>
                <c:pt idx="64">
                  <c:v>345.12546074519736</c:v>
                </c:pt>
                <c:pt idx="65">
                  <c:v>352.46862226287652</c:v>
                </c:pt>
                <c:pt idx="66">
                  <c:v>359.62497583302707</c:v>
                </c:pt>
                <c:pt idx="67">
                  <c:v>366.77821443674179</c:v>
                </c:pt>
                <c:pt idx="68">
                  <c:v>373.92840744681308</c:v>
                </c:pt>
                <c:pt idx="69">
                  <c:v>381.0756213642569</c:v>
                </c:pt>
                <c:pt idx="70">
                  <c:v>388.21991999001654</c:v>
                </c:pt>
                <c:pt idx="71">
                  <c:v>355.40494358786822</c:v>
                </c:pt>
                <c:pt idx="72">
                  <c:v>362.00973132142713</c:v>
                </c:pt>
                <c:pt idx="73">
                  <c:v>368.61188489876866</c:v>
                </c:pt>
                <c:pt idx="74">
                  <c:v>375.21145820009173</c:v>
                </c:pt>
                <c:pt idx="75">
                  <c:v>381.80850305381119</c:v>
                </c:pt>
                <c:pt idx="76">
                  <c:v>387.85361564101663</c:v>
                </c:pt>
                <c:pt idx="77">
                  <c:v>393.89668264259575</c:v>
                </c:pt>
                <c:pt idx="78">
                  <c:v>399.93773989825166</c:v>
                </c:pt>
                <c:pt idx="79">
                  <c:v>405.97682207564725</c:v>
                </c:pt>
                <c:pt idx="80">
                  <c:v>412.01396272598703</c:v>
                </c:pt>
                <c:pt idx="81">
                  <c:v>380.34270900980056</c:v>
                </c:pt>
                <c:pt idx="82">
                  <c:v>386.2051529766095</c:v>
                </c:pt>
                <c:pt idx="83">
                  <c:v>392.06566407054515</c:v>
                </c:pt>
                <c:pt idx="84">
                  <c:v>397.9242752879988</c:v>
                </c:pt>
                <c:pt idx="85">
                  <c:v>403.78101857356387</c:v>
                </c:pt>
                <c:pt idx="86">
                  <c:v>409.27004647130326</c:v>
                </c:pt>
                <c:pt idx="87">
                  <c:v>414.75748456475031</c:v>
                </c:pt>
                <c:pt idx="88">
                  <c:v>420.24335687514667</c:v>
                </c:pt>
                <c:pt idx="89">
                  <c:v>425.72768674484382</c:v>
                </c:pt>
                <c:pt idx="90">
                  <c:v>431.21049686518558</c:v>
                </c:pt>
                <c:pt idx="91">
                  <c:v>401.76797181151136</c:v>
                </c:pt>
                <c:pt idx="92">
                  <c:v>407.07462745738621</c:v>
                </c:pt>
                <c:pt idx="93">
                  <c:v>412.37978836079861</c:v>
                </c:pt>
                <c:pt idx="94">
                  <c:v>417.6834764831122</c:v>
                </c:pt>
                <c:pt idx="95">
                  <c:v>422.98571318193194</c:v>
                </c:pt>
                <c:pt idx="96">
                  <c:v>428.10375641326408</c:v>
                </c:pt>
                <c:pt idx="97">
                  <c:v>433.22048417506704</c:v>
                </c:pt>
                <c:pt idx="98">
                  <c:v>438.33591421069946</c:v>
                </c:pt>
                <c:pt idx="99">
                  <c:v>443.45006381522575</c:v>
                </c:pt>
                <c:pt idx="100">
                  <c:v>448.56294985189817</c:v>
                </c:pt>
                <c:pt idx="101">
                  <c:v>421.15751834664781</c:v>
                </c:pt>
                <c:pt idx="102">
                  <c:v>425.72768674484382</c:v>
                </c:pt>
                <c:pt idx="103">
                  <c:v>430.29679977258542</c:v>
                </c:pt>
                <c:pt idx="104">
                  <c:v>434.86487022897177</c:v>
                </c:pt>
                <c:pt idx="105">
                  <c:v>439.43191062199884</c:v>
                </c:pt>
                <c:pt idx="106">
                  <c:v>444.18055307943456</c:v>
                </c:pt>
                <c:pt idx="107">
                  <c:v>448.92810808361338</c:v>
                </c:pt>
                <c:pt idx="108">
                  <c:v>453.67458876784752</c:v>
                </c:pt>
                <c:pt idx="109">
                  <c:v>458.42000796797294</c:v>
                </c:pt>
                <c:pt idx="110">
                  <c:v>463.16437823216773</c:v>
                </c:pt>
                <c:pt idx="111">
                  <c:v>3.1457867471021712E-12</c:v>
                </c:pt>
                <c:pt idx="112">
                  <c:v>3.1457867471021712E-12</c:v>
                </c:pt>
                <c:pt idx="113">
                  <c:v>3.1457867471021712E-12</c:v>
                </c:pt>
                <c:pt idx="114">
                  <c:v>3.1457867471021712E-12</c:v>
                </c:pt>
                <c:pt idx="115">
                  <c:v>3.1457867471021712E-12</c:v>
                </c:pt>
                <c:pt idx="116">
                  <c:v>3.1457867471021712E-12</c:v>
                </c:pt>
                <c:pt idx="117">
                  <c:v>3.1457867471021712E-12</c:v>
                </c:pt>
                <c:pt idx="118">
                  <c:v>3.1457867471021712E-12</c:v>
                </c:pt>
                <c:pt idx="119">
                  <c:v>3.1457867471021712E-12</c:v>
                </c:pt>
                <c:pt idx="120">
                  <c:v>3.1457867471021712E-12</c:v>
                </c:pt>
                <c:pt idx="121">
                  <c:v>3.1457867471021712E-12</c:v>
                </c:pt>
                <c:pt idx="122">
                  <c:v>3.1457867471021712E-12</c:v>
                </c:pt>
                <c:pt idx="123">
                  <c:v>3.1457867471021712E-12</c:v>
                </c:pt>
                <c:pt idx="124">
                  <c:v>3.1457867471021712E-12</c:v>
                </c:pt>
                <c:pt idx="125">
                  <c:v>3.1457867471021712E-12</c:v>
                </c:pt>
                <c:pt idx="126">
                  <c:v>3.1457867471021712E-12</c:v>
                </c:pt>
                <c:pt idx="127">
                  <c:v>3.1457867471021712E-12</c:v>
                </c:pt>
                <c:pt idx="128">
                  <c:v>3.1457867471021712E-12</c:v>
                </c:pt>
                <c:pt idx="129">
                  <c:v>3.1457867471021712E-12</c:v>
                </c:pt>
                <c:pt idx="130">
                  <c:v>3.1457867471021712E-12</c:v>
                </c:pt>
                <c:pt idx="131">
                  <c:v>3.1457867471021712E-12</c:v>
                </c:pt>
                <c:pt idx="132">
                  <c:v>3.1457867471021712E-12</c:v>
                </c:pt>
                <c:pt idx="133">
                  <c:v>3.1457867471021712E-12</c:v>
                </c:pt>
                <c:pt idx="134">
                  <c:v>3.1457867471021712E-12</c:v>
                </c:pt>
                <c:pt idx="135">
                  <c:v>3.1457867471021712E-12</c:v>
                </c:pt>
                <c:pt idx="136">
                  <c:v>3.1457867471021712E-12</c:v>
                </c:pt>
                <c:pt idx="137">
                  <c:v>3.1457867471021712E-12</c:v>
                </c:pt>
                <c:pt idx="138">
                  <c:v>3.1457867471021712E-12</c:v>
                </c:pt>
                <c:pt idx="139">
                  <c:v>3.1457867471021712E-12</c:v>
                </c:pt>
                <c:pt idx="140">
                  <c:v>3.1457867471021712E-12</c:v>
                </c:pt>
                <c:pt idx="141">
                  <c:v>3.1457867471021712E-12</c:v>
                </c:pt>
                <c:pt idx="142">
                  <c:v>3.1457867471021712E-12</c:v>
                </c:pt>
                <c:pt idx="143">
                  <c:v>3.1457867471021712E-12</c:v>
                </c:pt>
                <c:pt idx="144">
                  <c:v>3.1457867471021712E-12</c:v>
                </c:pt>
                <c:pt idx="145">
                  <c:v>3.1457867471021712E-12</c:v>
                </c:pt>
                <c:pt idx="146">
                  <c:v>3.1457867471021712E-12</c:v>
                </c:pt>
                <c:pt idx="147">
                  <c:v>3.1457867471021712E-12</c:v>
                </c:pt>
                <c:pt idx="148">
                  <c:v>3.1457867471021712E-12</c:v>
                </c:pt>
                <c:pt idx="149">
                  <c:v>3.1457867471021712E-12</c:v>
                </c:pt>
                <c:pt idx="150">
                  <c:v>3.1457867471021712E-12</c:v>
                </c:pt>
                <c:pt idx="151">
                  <c:v>3.1457867471021712E-12</c:v>
                </c:pt>
                <c:pt idx="152">
                  <c:v>3.1457867471021712E-12</c:v>
                </c:pt>
                <c:pt idx="153">
                  <c:v>3.1457867471021712E-12</c:v>
                </c:pt>
                <c:pt idx="154">
                  <c:v>3.1457867471021712E-12</c:v>
                </c:pt>
                <c:pt idx="155">
                  <c:v>3.1457867471021712E-12</c:v>
                </c:pt>
                <c:pt idx="156">
                  <c:v>3.1457867471021712E-12</c:v>
                </c:pt>
                <c:pt idx="157">
                  <c:v>3.1457867471021712E-12</c:v>
                </c:pt>
                <c:pt idx="158">
                  <c:v>3.1457867471021712E-12</c:v>
                </c:pt>
                <c:pt idx="159">
                  <c:v>3.1457867471021712E-12</c:v>
                </c:pt>
                <c:pt idx="160">
                  <c:v>3.1457867471021712E-12</c:v>
                </c:pt>
                <c:pt idx="161">
                  <c:v>3.1457867471021712E-12</c:v>
                </c:pt>
                <c:pt idx="162">
                  <c:v>3.1457867471021712E-12</c:v>
                </c:pt>
                <c:pt idx="163">
                  <c:v>3.1457867471021712E-12</c:v>
                </c:pt>
                <c:pt idx="164">
                  <c:v>3.1457867471021712E-12</c:v>
                </c:pt>
                <c:pt idx="165">
                  <c:v>3.1457867471021712E-12</c:v>
                </c:pt>
                <c:pt idx="166">
                  <c:v>3.1457867471021712E-12</c:v>
                </c:pt>
                <c:pt idx="167">
                  <c:v>3.1457867471021712E-12</c:v>
                </c:pt>
                <c:pt idx="168">
                  <c:v>3.1457867471021712E-12</c:v>
                </c:pt>
                <c:pt idx="169">
                  <c:v>3.1457867471021712E-12</c:v>
                </c:pt>
                <c:pt idx="170">
                  <c:v>3.1457867471021712E-12</c:v>
                </c:pt>
                <c:pt idx="171">
                  <c:v>3.1457867471021712E-12</c:v>
                </c:pt>
                <c:pt idx="172">
                  <c:v>3.1457867471021712E-12</c:v>
                </c:pt>
                <c:pt idx="173">
                  <c:v>3.1457867471021712E-12</c:v>
                </c:pt>
                <c:pt idx="174">
                  <c:v>3.1457867471021712E-12</c:v>
                </c:pt>
                <c:pt idx="175">
                  <c:v>3.1457867471021712E-12</c:v>
                </c:pt>
                <c:pt idx="176">
                  <c:v>3.1457867471021712E-12</c:v>
                </c:pt>
                <c:pt idx="177">
                  <c:v>3.1457867471021712E-12</c:v>
                </c:pt>
                <c:pt idx="178">
                  <c:v>3.1457867471021712E-12</c:v>
                </c:pt>
                <c:pt idx="179">
                  <c:v>3.1457867471021712E-12</c:v>
                </c:pt>
                <c:pt idx="180">
                  <c:v>3.1457867471021712E-12</c:v>
                </c:pt>
                <c:pt idx="181">
                  <c:v>3.1457867471021712E-12</c:v>
                </c:pt>
                <c:pt idx="182">
                  <c:v>3.1457867471021712E-12</c:v>
                </c:pt>
                <c:pt idx="183">
                  <c:v>3.1457867471021712E-12</c:v>
                </c:pt>
                <c:pt idx="184">
                  <c:v>3.1457867471021712E-12</c:v>
                </c:pt>
                <c:pt idx="185">
                  <c:v>3.1457867471021712E-12</c:v>
                </c:pt>
                <c:pt idx="186">
                  <c:v>3.1457867471021712E-12</c:v>
                </c:pt>
                <c:pt idx="187">
                  <c:v>3.1457867471021712E-12</c:v>
                </c:pt>
                <c:pt idx="188">
                  <c:v>3.1457867471021712E-12</c:v>
                </c:pt>
                <c:pt idx="189">
                  <c:v>3.1457867471021712E-12</c:v>
                </c:pt>
                <c:pt idx="190">
                  <c:v>3.1457867471021712E-12</c:v>
                </c:pt>
                <c:pt idx="191">
                  <c:v>3.1457867471021712E-12</c:v>
                </c:pt>
                <c:pt idx="192">
                  <c:v>3.1457867471021712E-12</c:v>
                </c:pt>
                <c:pt idx="193">
                  <c:v>3.1457867471021712E-12</c:v>
                </c:pt>
                <c:pt idx="194">
                  <c:v>3.1457867471021712E-12</c:v>
                </c:pt>
                <c:pt idx="195">
                  <c:v>3.1457867471021712E-12</c:v>
                </c:pt>
                <c:pt idx="196">
                  <c:v>3.1457867471021712E-12</c:v>
                </c:pt>
                <c:pt idx="197">
                  <c:v>3.1457867471021712E-12</c:v>
                </c:pt>
                <c:pt idx="198">
                  <c:v>3.1457867471021712E-12</c:v>
                </c:pt>
                <c:pt idx="199">
                  <c:v>3.1457867471021712E-12</c:v>
                </c:pt>
                <c:pt idx="200">
                  <c:v>3.1457867471021712E-12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12396272"/>
        <c:axId val="-2012394640"/>
      </c:scatterChart>
      <c:valAx>
        <c:axId val="-2012396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12394640"/>
        <c:crosses val="autoZero"/>
        <c:crossBetween val="midCat"/>
      </c:valAx>
      <c:valAx>
        <c:axId val="-2012394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12396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2.3792316710116794</c:v>
                </c:pt>
                <c:pt idx="2">
                  <c:v>3.0001714302004134</c:v>
                </c:pt>
                <c:pt idx="3">
                  <c:v>3.7838026635400475</c:v>
                </c:pt>
                <c:pt idx="4">
                  <c:v>4.7729092148501211</c:v>
                </c:pt>
                <c:pt idx="5">
                  <c:v>6.0215647416368272</c:v>
                </c:pt>
                <c:pt idx="6">
                  <c:v>7.5981213697524668</c:v>
                </c:pt>
                <c:pt idx="7">
                  <c:v>9.5889918293318406</c:v>
                </c:pt>
                <c:pt idx="8">
                  <c:v>12.103436304894307</c:v>
                </c:pt>
                <c:pt idx="9">
                  <c:v>15.279621602197665</c:v>
                </c:pt>
                <c:pt idx="10">
                  <c:v>19.292291680236925</c:v>
                </c:pt>
                <c:pt idx="11">
                  <c:v>37.096852338099858</c:v>
                </c:pt>
                <c:pt idx="12">
                  <c:v>54.659647561719503</c:v>
                </c:pt>
                <c:pt idx="13">
                  <c:v>72.072088558495707</c:v>
                </c:pt>
                <c:pt idx="14">
                  <c:v>89.376149667899369</c:v>
                </c:pt>
                <c:pt idx="15">
                  <c:v>106.595922899923</c:v>
                </c:pt>
                <c:pt idx="16">
                  <c:v>128.68204943403745</c:v>
                </c:pt>
                <c:pt idx="17">
                  <c:v>150.67621656079791</c:v>
                </c:pt>
                <c:pt idx="18">
                  <c:v>172.59376735487015</c:v>
                </c:pt>
                <c:pt idx="19">
                  <c:v>194.44581168538045</c:v>
                </c:pt>
                <c:pt idx="20">
                  <c:v>216.24075084880474</c:v>
                </c:pt>
                <c:pt idx="21">
                  <c:v>133.93252826541888</c:v>
                </c:pt>
                <c:pt idx="22">
                  <c:v>157.46934134660478</c:v>
                </c:pt>
                <c:pt idx="23">
                  <c:v>180.92254957217764</c:v>
                </c:pt>
                <c:pt idx="24">
                  <c:v>204.3045280233529</c:v>
                </c:pt>
                <c:pt idx="25">
                  <c:v>227.62457918072189</c:v>
                </c:pt>
                <c:pt idx="26">
                  <c:v>250.13311494134999</c:v>
                </c:pt>
                <c:pt idx="27">
                  <c:v>272.59572366188627</c:v>
                </c:pt>
                <c:pt idx="28">
                  <c:v>295.01672068637509</c:v>
                </c:pt>
                <c:pt idx="29">
                  <c:v>317.39971168920596</c:v>
                </c:pt>
                <c:pt idx="30">
                  <c:v>339.74775226555522</c:v>
                </c:pt>
                <c:pt idx="31">
                  <c:v>250.07004383824537</c:v>
                </c:pt>
                <c:pt idx="32">
                  <c:v>270.42380439071962</c:v>
                </c:pt>
                <c:pt idx="33">
                  <c:v>290.74310019724186</c:v>
                </c:pt>
                <c:pt idx="34">
                  <c:v>311.03067786790672</c:v>
                </c:pt>
                <c:pt idx="35">
                  <c:v>331.28889643907786</c:v>
                </c:pt>
                <c:pt idx="36">
                  <c:v>349.04714813629499</c:v>
                </c:pt>
                <c:pt idx="37">
                  <c:v>366.78558363331143</c:v>
                </c:pt>
                <c:pt idx="38">
                  <c:v>384.50529582609062</c:v>
                </c:pt>
                <c:pt idx="39">
                  <c:v>402.20726868632238</c:v>
                </c:pt>
                <c:pt idx="40">
                  <c:v>419.89239253282386</c:v>
                </c:pt>
                <c:pt idx="41">
                  <c:v>325.83511614471871</c:v>
                </c:pt>
                <c:pt idx="42">
                  <c:v>341.21974267416618</c:v>
                </c:pt>
                <c:pt idx="43">
                  <c:v>356.58912057242401</c:v>
                </c:pt>
                <c:pt idx="44">
                  <c:v>371.94399954059327</c:v>
                </c:pt>
                <c:pt idx="45">
                  <c:v>387.28506233326408</c:v>
                </c:pt>
                <c:pt idx="46">
                  <c:v>400.61572997207281</c:v>
                </c:pt>
                <c:pt idx="47">
                  <c:v>413.9368001118296</c:v>
                </c:pt>
                <c:pt idx="48">
                  <c:v>427.24862511853593</c:v>
                </c:pt>
                <c:pt idx="49">
                  <c:v>440.55153361033672</c:v>
                </c:pt>
                <c:pt idx="50">
                  <c:v>453.84583274186275</c:v>
                </c:pt>
                <c:pt idx="51">
                  <c:v>398.15013483461621</c:v>
                </c:pt>
                <c:pt idx="52">
                  <c:v>409.63265752074312</c:v>
                </c:pt>
                <c:pt idx="53">
                  <c:v>421.10823125259907</c:v>
                </c:pt>
                <c:pt idx="54">
                  <c:v>432.57707211284247</c:v>
                </c:pt>
                <c:pt idx="55">
                  <c:v>444.03938378997123</c:v>
                </c:pt>
                <c:pt idx="56">
                  <c:v>453.81470838209202</c:v>
                </c:pt>
                <c:pt idx="57">
                  <c:v>463.58553297341928</c:v>
                </c:pt>
                <c:pt idx="58">
                  <c:v>473.35196580283736</c:v>
                </c:pt>
                <c:pt idx="59">
                  <c:v>483.1141102774788</c:v>
                </c:pt>
                <c:pt idx="60">
                  <c:v>492.8720652837838</c:v>
                </c:pt>
                <c:pt idx="61">
                  <c:v>454.06370198273868</c:v>
                </c:pt>
                <c:pt idx="62">
                  <c:v>462.21663985035343</c:v>
                </c:pt>
                <c:pt idx="63">
                  <c:v>470.36650984219659</c:v>
                </c:pt>
                <c:pt idx="64">
                  <c:v>478.51337263187162</c:v>
                </c:pt>
                <c:pt idx="65">
                  <c:v>486.65728665769001</c:v>
                </c:pt>
                <c:pt idx="66">
                  <c:v>493.64879532061622</c:v>
                </c:pt>
                <c:pt idx="67">
                  <c:v>500.63820532506929</c:v>
                </c:pt>
                <c:pt idx="68">
                  <c:v>507.62555011613114</c:v>
                </c:pt>
                <c:pt idx="69">
                  <c:v>514.61086214265538</c:v>
                </c:pt>
                <c:pt idx="70">
                  <c:v>521.59417290035935</c:v>
                </c:pt>
                <c:pt idx="71">
                  <c:v>487.8693000072526</c:v>
                </c:pt>
                <c:pt idx="72">
                  <c:v>494.36336407119035</c:v>
                </c:pt>
                <c:pt idx="73">
                  <c:v>500.85562034073132</c:v>
                </c:pt>
                <c:pt idx="74">
                  <c:v>507.34609556638321</c:v>
                </c:pt>
                <c:pt idx="75">
                  <c:v>513.83481575804865</c:v>
                </c:pt>
                <c:pt idx="76">
                  <c:v>519.35972931464255</c:v>
                </c:pt>
                <c:pt idx="77">
                  <c:v>524.88340345718075</c:v>
                </c:pt>
                <c:pt idx="78">
                  <c:v>530.40585307590879</c:v>
                </c:pt>
                <c:pt idx="79">
                  <c:v>535.9270927255476</c:v>
                </c:pt>
                <c:pt idx="80">
                  <c:v>541.44713663630864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12412048"/>
        <c:axId val="-2012411504"/>
      </c:scatterChart>
      <c:valAx>
        <c:axId val="-20124120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12411504"/>
        <c:crosses val="autoZero"/>
        <c:crossBetween val="midCat"/>
      </c:valAx>
      <c:valAx>
        <c:axId val="-201241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124120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3.1707548346542</c:v>
                </c:pt>
                <c:pt idx="2">
                  <c:v>3.8994070069335893</c:v>
                </c:pt>
                <c:pt idx="3">
                  <c:v>4.7961395743139903</c:v>
                </c:pt>
                <c:pt idx="4">
                  <c:v>5.8998617479716442</c:v>
                </c:pt>
                <c:pt idx="5">
                  <c:v>7.2585196858425398</c:v>
                </c:pt>
                <c:pt idx="6">
                  <c:v>8.9312018151497536</c:v>
                </c:pt>
                <c:pt idx="7">
                  <c:v>10.990736010102614</c:v>
                </c:pt>
                <c:pt idx="8">
                  <c:v>13.526893830411311</c:v>
                </c:pt>
                <c:pt idx="9">
                  <c:v>16.650344073811482</c:v>
                </c:pt>
                <c:pt idx="10">
                  <c:v>20.497531306964643</c:v>
                </c:pt>
                <c:pt idx="11">
                  <c:v>25.23669631396508</c:v>
                </c:pt>
                <c:pt idx="12">
                  <c:v>31.075306394532003</c:v>
                </c:pt>
                <c:pt idx="13">
                  <c:v>38.269226447074438</c:v>
                </c:pt>
                <c:pt idx="14">
                  <c:v>47.134039619059727</c:v>
                </c:pt>
                <c:pt idx="15">
                  <c:v>58.059022502120392</c:v>
                </c:pt>
                <c:pt idx="16">
                  <c:v>71.524398723990075</c:v>
                </c:pt>
                <c:pt idx="17">
                  <c:v>88.122641699910204</c:v>
                </c:pt>
                <c:pt idx="18">
                  <c:v>108.58477887574996</c:v>
                </c:pt>
                <c:pt idx="19">
                  <c:v>133.81287421387319</c:v>
                </c:pt>
                <c:pt idx="20">
                  <c:v>164.92014306911736</c:v>
                </c:pt>
                <c:pt idx="21">
                  <c:v>167.56178150748116</c:v>
                </c:pt>
                <c:pt idx="22">
                  <c:v>183.39157071786599</c:v>
                </c:pt>
                <c:pt idx="23">
                  <c:v>199.18941693696172</c:v>
                </c:pt>
                <c:pt idx="24">
                  <c:v>214.95821110174333</c:v>
                </c:pt>
                <c:pt idx="25">
                  <c:v>230.70038494007636</c:v>
                </c:pt>
                <c:pt idx="26">
                  <c:v>250.77990843042721</c:v>
                </c:pt>
                <c:pt idx="27">
                  <c:v>270.82299004195704</c:v>
                </c:pt>
                <c:pt idx="28">
                  <c:v>290.8327054448626</c:v>
                </c:pt>
                <c:pt idx="29">
                  <c:v>310.8116724385427</c:v>
                </c:pt>
                <c:pt idx="30">
                  <c:v>330.76214478850403</c:v>
                </c:pt>
                <c:pt idx="31">
                  <c:v>232.44796515158802</c:v>
                </c:pt>
                <c:pt idx="32">
                  <c:v>256.01191793762854</c:v>
                </c:pt>
                <c:pt idx="33">
                  <c:v>279.52680294324563</c:v>
                </c:pt>
                <c:pt idx="34">
                  <c:v>302.9973265846117</c:v>
                </c:pt>
                <c:pt idx="35">
                  <c:v>326.42740643086177</c:v>
                </c:pt>
                <c:pt idx="36">
                  <c:v>350.68608221443077</c:v>
                </c:pt>
                <c:pt idx="37">
                  <c:v>374.90796779687247</c:v>
                </c:pt>
                <c:pt idx="38">
                  <c:v>399.09577237538946</c:v>
                </c:pt>
                <c:pt idx="39">
                  <c:v>423.25185013219851</c:v>
                </c:pt>
                <c:pt idx="40">
                  <c:v>447.3782647775476</c:v>
                </c:pt>
                <c:pt idx="41">
                  <c:v>351.11892985232765</c:v>
                </c:pt>
                <c:pt idx="42">
                  <c:v>375.77238986983883</c:v>
                </c:pt>
                <c:pt idx="43">
                  <c:v>400.3906327370201</c:v>
                </c:pt>
                <c:pt idx="44">
                  <c:v>424.97612632602937</c:v>
                </c:pt>
                <c:pt idx="45">
                  <c:v>449.53102985794368</c:v>
                </c:pt>
                <c:pt idx="46">
                  <c:v>473.19714485434082</c:v>
                </c:pt>
                <c:pt idx="47">
                  <c:v>496.83807519423459</c:v>
                </c:pt>
                <c:pt idx="48">
                  <c:v>520.45518659727668</c:v>
                </c:pt>
                <c:pt idx="49">
                  <c:v>544.0497108425468</c:v>
                </c:pt>
                <c:pt idx="50">
                  <c:v>567.62276426035078</c:v>
                </c:pt>
                <c:pt idx="51">
                  <c:v>469.32626959947999</c:v>
                </c:pt>
                <c:pt idx="52">
                  <c:v>491.25241699045142</c:v>
                </c:pt>
                <c:pt idx="53">
                  <c:v>513.15781891487734</c:v>
                </c:pt>
                <c:pt idx="54">
                  <c:v>535.04348473955281</c:v>
                </c:pt>
                <c:pt idx="55">
                  <c:v>556.91033459423954</c:v>
                </c:pt>
                <c:pt idx="56">
                  <c:v>577.04620447443256</c:v>
                </c:pt>
                <c:pt idx="57">
                  <c:v>597.16741718411004</c:v>
                </c:pt>
                <c:pt idx="58">
                  <c:v>617.27453565728842</c:v>
                </c:pt>
                <c:pt idx="59">
                  <c:v>637.36808319756176</c:v>
                </c:pt>
                <c:pt idx="60">
                  <c:v>657.44854745472742</c:v>
                </c:pt>
                <c:pt idx="61">
                  <c:v>556.48174822611566</c:v>
                </c:pt>
                <c:pt idx="62">
                  <c:v>575.33309228627388</c:v>
                </c:pt>
                <c:pt idx="63">
                  <c:v>594.17154727265381</c:v>
                </c:pt>
                <c:pt idx="64">
                  <c:v>612.99757903900297</c:v>
                </c:pt>
                <c:pt idx="65">
                  <c:v>631.81162251582634</c:v>
                </c:pt>
                <c:pt idx="66">
                  <c:v>649.33245855121629</c:v>
                </c:pt>
                <c:pt idx="67">
                  <c:v>666.84354823533158</c:v>
                </c:pt>
                <c:pt idx="68">
                  <c:v>684.3451833336444</c:v>
                </c:pt>
                <c:pt idx="69">
                  <c:v>701.8376394844596</c:v>
                </c:pt>
                <c:pt idx="70">
                  <c:v>719.3211774782518</c:v>
                </c:pt>
                <c:pt idx="71">
                  <c:v>615.9915133861864</c:v>
                </c:pt>
                <c:pt idx="72">
                  <c:v>632.23907832556154</c:v>
                </c:pt>
                <c:pt idx="73">
                  <c:v>648.47801217956464</c:v>
                </c:pt>
                <c:pt idx="74">
                  <c:v>664.70856137271744</c:v>
                </c:pt>
                <c:pt idx="75">
                  <c:v>680.9309593231809</c:v>
                </c:pt>
                <c:pt idx="76">
                  <c:v>696.29222861974165</c:v>
                </c:pt>
                <c:pt idx="77">
                  <c:v>711.6465599268621</c:v>
                </c:pt>
                <c:pt idx="78">
                  <c:v>726.99412391153294</c:v>
                </c:pt>
                <c:pt idx="79">
                  <c:v>742.33508345303619</c:v>
                </c:pt>
                <c:pt idx="80">
                  <c:v>757.66959415520842</c:v>
                </c:pt>
                <c:pt idx="81">
                  <c:v>652.32283847201813</c:v>
                </c:pt>
                <c:pt idx="82">
                  <c:v>666.41656212645091</c:v>
                </c:pt>
                <c:pt idx="83">
                  <c:v>680.50415665378762</c:v>
                </c:pt>
                <c:pt idx="84">
                  <c:v>694.5857667368133</c:v>
                </c:pt>
                <c:pt idx="85">
                  <c:v>708.66153071735289</c:v>
                </c:pt>
                <c:pt idx="86">
                  <c:v>722.73158099720615</c:v>
                </c:pt>
                <c:pt idx="87">
                  <c:v>736.79604440626429</c:v>
                </c:pt>
                <c:pt idx="88">
                  <c:v>750.85504254107491</c:v>
                </c:pt>
                <c:pt idx="89">
                  <c:v>764.90869207675405</c:v>
                </c:pt>
                <c:pt idx="90">
                  <c:v>778.95710505480304</c:v>
                </c:pt>
                <c:pt idx="91">
                  <c:v>672.18040143052724</c:v>
                </c:pt>
                <c:pt idx="92">
                  <c:v>684.77193672549231</c:v>
                </c:pt>
                <c:pt idx="93">
                  <c:v>697.3587237894086</c:v>
                </c:pt>
                <c:pt idx="94">
                  <c:v>709.94086035598684</c:v>
                </c:pt>
                <c:pt idx="95">
                  <c:v>722.51844041418644</c:v>
                </c:pt>
                <c:pt idx="96">
                  <c:v>735.09155441574819</c:v>
                </c:pt>
                <c:pt idx="97">
                  <c:v>747.66028946779909</c:v>
                </c:pt>
                <c:pt idx="98">
                  <c:v>760.22472951184307</c:v>
                </c:pt>
                <c:pt idx="99">
                  <c:v>772.78495549031061</c:v>
                </c:pt>
                <c:pt idx="100">
                  <c:v>785.34104550172617</c:v>
                </c:pt>
                <c:pt idx="101">
                  <c:v>679.22371566061349</c:v>
                </c:pt>
                <c:pt idx="102">
                  <c:v>690.31923574953714</c:v>
                </c:pt>
                <c:pt idx="103">
                  <c:v>701.41110134898747</c:v>
                </c:pt>
                <c:pt idx="104">
                  <c:v>712.49937837079085</c:v>
                </c:pt>
                <c:pt idx="105">
                  <c:v>723.58413050890931</c:v>
                </c:pt>
                <c:pt idx="106">
                  <c:v>734.66541934761574</c:v>
                </c:pt>
                <c:pt idx="107">
                  <c:v>745.7433044628068</c:v>
                </c:pt>
                <c:pt idx="108">
                  <c:v>756.81784351698707</c:v>
                </c:pt>
                <c:pt idx="109">
                  <c:v>767.8890923484081</c:v>
                </c:pt>
                <c:pt idx="110">
                  <c:v>778.95710505480235</c:v>
                </c:pt>
                <c:pt idx="111">
                  <c:v>679.86394234557997</c:v>
                </c:pt>
                <c:pt idx="112">
                  <c:v>689.46586480458393</c:v>
                </c:pt>
                <c:pt idx="113">
                  <c:v>699.06504661949873</c:v>
                </c:pt>
                <c:pt idx="114">
                  <c:v>708.66153071735232</c:v>
                </c:pt>
                <c:pt idx="115">
                  <c:v>718.25535876813376</c:v>
                </c:pt>
                <c:pt idx="116">
                  <c:v>727.84657123825571</c:v>
                </c:pt>
                <c:pt idx="117">
                  <c:v>737.43520744105729</c:v>
                </c:pt>
                <c:pt idx="118">
                  <c:v>747.02130558454257</c:v>
                </c:pt>
                <c:pt idx="119">
                  <c:v>756.60490281654609</c:v>
                </c:pt>
                <c:pt idx="120">
                  <c:v>766.18603526748575</c:v>
                </c:pt>
                <c:pt idx="121">
                  <c:v>674.67063445750352</c:v>
                </c:pt>
                <c:pt idx="122">
                  <c:v>683.34940418054293</c:v>
                </c:pt>
                <c:pt idx="123">
                  <c:v>692.02591280075603</c:v>
                </c:pt>
                <c:pt idx="124">
                  <c:v>700.70019265854808</c:v>
                </c:pt>
                <c:pt idx="125">
                  <c:v>709.37227522849844</c:v>
                </c:pt>
                <c:pt idx="126">
                  <c:v>718.04219115306705</c:v>
                </c:pt>
                <c:pt idx="127">
                  <c:v>726.70997027459032</c:v>
                </c:pt>
                <c:pt idx="128">
                  <c:v>735.37564166567097</c:v>
                </c:pt>
                <c:pt idx="129">
                  <c:v>744.03923365806088</c:v>
                </c:pt>
                <c:pt idx="130">
                  <c:v>752.70077387013225</c:v>
                </c:pt>
                <c:pt idx="131">
                  <c:v>761.36028923301421</c:v>
                </c:pt>
                <c:pt idx="132">
                  <c:v>770.01780601548489</c:v>
                </c:pt>
                <c:pt idx="133">
                  <c:v>778.67334984768115</c:v>
                </c:pt>
                <c:pt idx="134">
                  <c:v>787.3269457437035</c:v>
                </c:pt>
                <c:pt idx="135">
                  <c:v>795.97861812317467</c:v>
                </c:pt>
                <c:pt idx="136">
                  <c:v>665.1355700171332</c:v>
                </c:pt>
                <c:pt idx="137">
                  <c:v>672.82076514505127</c:v>
                </c:pt>
                <c:pt idx="138">
                  <c:v>680.50415665378739</c:v>
                </c:pt>
                <c:pt idx="139">
                  <c:v>688.1857677770563</c:v>
                </c:pt>
                <c:pt idx="140">
                  <c:v>695.86562118765903</c:v>
                </c:pt>
                <c:pt idx="141">
                  <c:v>703.5437390171968</c:v>
                </c:pt>
                <c:pt idx="142">
                  <c:v>711.22014287488298</c:v>
                </c:pt>
                <c:pt idx="143">
                  <c:v>718.89485386549916</c:v>
                </c:pt>
                <c:pt idx="144">
                  <c:v>726.56789260654466</c:v>
                </c:pt>
                <c:pt idx="145">
                  <c:v>734.23927924462532</c:v>
                </c:pt>
                <c:pt idx="146">
                  <c:v>741.90903347112123</c:v>
                </c:pt>
                <c:pt idx="147">
                  <c:v>749.57717453717339</c:v>
                </c:pt>
                <c:pt idx="148">
                  <c:v>757.24372126802552</c:v>
                </c:pt>
                <c:pt idx="149">
                  <c:v>764.90869207675405</c:v>
                </c:pt>
                <c:pt idx="150">
                  <c:v>772.57210497742199</c:v>
                </c:pt>
                <c:pt idx="151">
                  <c:v>1.708394296311803E-12</c:v>
                </c:pt>
                <c:pt idx="152">
                  <c:v>1.708394296311803E-12</c:v>
                </c:pt>
                <c:pt idx="153">
                  <c:v>1.708394296311803E-12</c:v>
                </c:pt>
                <c:pt idx="154">
                  <c:v>1.708394296311803E-12</c:v>
                </c:pt>
                <c:pt idx="155">
                  <c:v>1.708394296311803E-12</c:v>
                </c:pt>
                <c:pt idx="156">
                  <c:v>1.708394296311803E-12</c:v>
                </c:pt>
                <c:pt idx="157">
                  <c:v>1.708394296311803E-12</c:v>
                </c:pt>
                <c:pt idx="158">
                  <c:v>1.708394296311803E-12</c:v>
                </c:pt>
                <c:pt idx="159">
                  <c:v>1.708394296311803E-12</c:v>
                </c:pt>
                <c:pt idx="160">
                  <c:v>1.708394296311803E-12</c:v>
                </c:pt>
                <c:pt idx="161">
                  <c:v>1.708394296311803E-12</c:v>
                </c:pt>
                <c:pt idx="162">
                  <c:v>1.708394296311803E-12</c:v>
                </c:pt>
                <c:pt idx="163">
                  <c:v>1.708394296311803E-12</c:v>
                </c:pt>
                <c:pt idx="164">
                  <c:v>1.708394296311803E-12</c:v>
                </c:pt>
                <c:pt idx="165">
                  <c:v>1.708394296311803E-12</c:v>
                </c:pt>
                <c:pt idx="166">
                  <c:v>1.708394296311803E-12</c:v>
                </c:pt>
                <c:pt idx="167">
                  <c:v>1.708394296311803E-12</c:v>
                </c:pt>
                <c:pt idx="168">
                  <c:v>1.708394296311803E-12</c:v>
                </c:pt>
                <c:pt idx="169">
                  <c:v>1.708394296311803E-12</c:v>
                </c:pt>
                <c:pt idx="170">
                  <c:v>1.708394296311803E-12</c:v>
                </c:pt>
                <c:pt idx="171">
                  <c:v>1.708394296311803E-12</c:v>
                </c:pt>
                <c:pt idx="172">
                  <c:v>1.708394296311803E-12</c:v>
                </c:pt>
                <c:pt idx="173">
                  <c:v>1.708394296311803E-12</c:v>
                </c:pt>
                <c:pt idx="174">
                  <c:v>1.708394296311803E-12</c:v>
                </c:pt>
                <c:pt idx="175">
                  <c:v>1.708394296311803E-12</c:v>
                </c:pt>
                <c:pt idx="176">
                  <c:v>1.708394296311803E-12</c:v>
                </c:pt>
                <c:pt idx="177">
                  <c:v>1.708394296311803E-12</c:v>
                </c:pt>
                <c:pt idx="178">
                  <c:v>1.708394296311803E-12</c:v>
                </c:pt>
                <c:pt idx="179">
                  <c:v>1.708394296311803E-12</c:v>
                </c:pt>
                <c:pt idx="180">
                  <c:v>1.708394296311803E-12</c:v>
                </c:pt>
                <c:pt idx="181">
                  <c:v>1.708394296311803E-12</c:v>
                </c:pt>
                <c:pt idx="182">
                  <c:v>1.708394296311803E-12</c:v>
                </c:pt>
                <c:pt idx="183">
                  <c:v>1.708394296311803E-12</c:v>
                </c:pt>
                <c:pt idx="184">
                  <c:v>1.708394296311803E-12</c:v>
                </c:pt>
                <c:pt idx="185">
                  <c:v>1.708394296311803E-12</c:v>
                </c:pt>
                <c:pt idx="186">
                  <c:v>1.708394296311803E-12</c:v>
                </c:pt>
                <c:pt idx="187">
                  <c:v>1.708394296311803E-12</c:v>
                </c:pt>
                <c:pt idx="188">
                  <c:v>1.708394296311803E-12</c:v>
                </c:pt>
                <c:pt idx="189">
                  <c:v>1.708394296311803E-12</c:v>
                </c:pt>
                <c:pt idx="190">
                  <c:v>1.708394296311803E-12</c:v>
                </c:pt>
                <c:pt idx="191">
                  <c:v>1.708394296311803E-12</c:v>
                </c:pt>
                <c:pt idx="192">
                  <c:v>1.708394296311803E-12</c:v>
                </c:pt>
                <c:pt idx="193">
                  <c:v>1.708394296311803E-12</c:v>
                </c:pt>
                <c:pt idx="194">
                  <c:v>1.708394296311803E-12</c:v>
                </c:pt>
                <c:pt idx="195">
                  <c:v>1.708394296311803E-12</c:v>
                </c:pt>
                <c:pt idx="196">
                  <c:v>1.708394296311803E-12</c:v>
                </c:pt>
                <c:pt idx="197">
                  <c:v>1.708394296311803E-12</c:v>
                </c:pt>
                <c:pt idx="198">
                  <c:v>1.708394296311803E-12</c:v>
                </c:pt>
                <c:pt idx="199">
                  <c:v>1.708394296311803E-12</c:v>
                </c:pt>
                <c:pt idx="200">
                  <c:v>1.708394296311803E-12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12410416"/>
        <c:axId val="-2012424016"/>
      </c:scatterChart>
      <c:valAx>
        <c:axId val="-20124104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12424016"/>
        <c:crosses val="autoZero"/>
        <c:crossBetween val="midCat"/>
      </c:valAx>
      <c:valAx>
        <c:axId val="-2012424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124104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2.594132930874625</c:v>
                </c:pt>
                <c:pt idx="2">
                  <c:v>3.0655593018918794</c:v>
                </c:pt>
                <c:pt idx="3">
                  <c:v>3.6229726275127558</c:v>
                </c:pt>
                <c:pt idx="4">
                  <c:v>4.2821110789162296</c:v>
                </c:pt>
                <c:pt idx="5">
                  <c:v>5.061602713236562</c:v>
                </c:pt>
                <c:pt idx="6">
                  <c:v>5.9834977185614555</c:v>
                </c:pt>
                <c:pt idx="7">
                  <c:v>7.073898957347752</c:v>
                </c:pt>
                <c:pt idx="8">
                  <c:v>8.3637090088965884</c:v>
                </c:pt>
                <c:pt idx="9">
                  <c:v>9.8895152893480418</c:v>
                </c:pt>
                <c:pt idx="10">
                  <c:v>11.694638833681379</c:v>
                </c:pt>
                <c:pt idx="11">
                  <c:v>13.830377075498925</c:v>
                </c:pt>
                <c:pt idx="12">
                  <c:v>16.357476595837191</c:v>
                </c:pt>
                <c:pt idx="13">
                  <c:v>19.347878496730672</c:v>
                </c:pt>
                <c:pt idx="14">
                  <c:v>22.886786984377736</c:v>
                </c:pt>
                <c:pt idx="15">
                  <c:v>27.075121152693075</c:v>
                </c:pt>
                <c:pt idx="16">
                  <c:v>32.032421116321139</c:v>
                </c:pt>
                <c:pt idx="17">
                  <c:v>37.90029287987057</c:v>
                </c:pt>
                <c:pt idx="18">
                  <c:v>44.846492035377821</c:v>
                </c:pt>
                <c:pt idx="19">
                  <c:v>53.069765013562751</c:v>
                </c:pt>
                <c:pt idx="20">
                  <c:v>62.805588723200408</c:v>
                </c:pt>
                <c:pt idx="21">
                  <c:v>79.544350412184983</c:v>
                </c:pt>
                <c:pt idx="22">
                  <c:v>96.193406428466844</c:v>
                </c:pt>
                <c:pt idx="23">
                  <c:v>112.77054987950528</c:v>
                </c:pt>
                <c:pt idx="24">
                  <c:v>129.28787235572034</c:v>
                </c:pt>
                <c:pt idx="25">
                  <c:v>145.75410668135339</c:v>
                </c:pt>
                <c:pt idx="26">
                  <c:v>163.29402328311821</c:v>
                </c:pt>
                <c:pt idx="27">
                  <c:v>180.7893771886495</c:v>
                </c:pt>
                <c:pt idx="28">
                  <c:v>198.2450900112641</c:v>
                </c:pt>
                <c:pt idx="29">
                  <c:v>215.66514449498695</c:v>
                </c:pt>
                <c:pt idx="30">
                  <c:v>233.0528266968912</c:v>
                </c:pt>
                <c:pt idx="31">
                  <c:v>187.10749574697891</c:v>
                </c:pt>
                <c:pt idx="32">
                  <c:v>206.03271564587536</c:v>
                </c:pt>
                <c:pt idx="33">
                  <c:v>224.91775571009896</c:v>
                </c:pt>
                <c:pt idx="34">
                  <c:v>243.76646443655662</c:v>
                </c:pt>
                <c:pt idx="35">
                  <c:v>262.58204610854824</c:v>
                </c:pt>
                <c:pt idx="36">
                  <c:v>282.10329444447831</c:v>
                </c:pt>
                <c:pt idx="37">
                  <c:v>301.5942803865658</c:v>
                </c:pt>
                <c:pt idx="38">
                  <c:v>321.05723416766966</c:v>
                </c:pt>
                <c:pt idx="39">
                  <c:v>340.49409355545896</c:v>
                </c:pt>
                <c:pt idx="40">
                  <c:v>359.90655706035301</c:v>
                </c:pt>
                <c:pt idx="41">
                  <c:v>276.94977849512787</c:v>
                </c:pt>
                <c:pt idx="42">
                  <c:v>296.81614745645362</c:v>
                </c:pt>
                <c:pt idx="43">
                  <c:v>316.65287813060655</c:v>
                </c:pt>
                <c:pt idx="44">
                  <c:v>336.46208765640489</c:v>
                </c:pt>
                <c:pt idx="45">
                  <c:v>356.24562356348298</c:v>
                </c:pt>
                <c:pt idx="46">
                  <c:v>376.37081053726519</c:v>
                </c:pt>
                <c:pt idx="47">
                  <c:v>396.47257093559028</c:v>
                </c:pt>
                <c:pt idx="48">
                  <c:v>416.55225893203925</c:v>
                </c:pt>
                <c:pt idx="49">
                  <c:v>436.61108755732994</c:v>
                </c:pt>
                <c:pt idx="50">
                  <c:v>456.65014935173843</c:v>
                </c:pt>
                <c:pt idx="51">
                  <c:v>374.54223769767958</c:v>
                </c:pt>
                <c:pt idx="52">
                  <c:v>394.64606952207765</c:v>
                </c:pt>
                <c:pt idx="53">
                  <c:v>414.72771201550319</c:v>
                </c:pt>
                <c:pt idx="54">
                  <c:v>434.78839012126582</c:v>
                </c:pt>
                <c:pt idx="55">
                  <c:v>454.82920658695599</c:v>
                </c:pt>
                <c:pt idx="56">
                  <c:v>474.48728651141602</c:v>
                </c:pt>
                <c:pt idx="57">
                  <c:v>494.12804135171677</c:v>
                </c:pt>
                <c:pt idx="58">
                  <c:v>513.75225617630906</c:v>
                </c:pt>
                <c:pt idx="59">
                  <c:v>533.36065122872685</c:v>
                </c:pt>
                <c:pt idx="60">
                  <c:v>552.95388951521466</c:v>
                </c:pt>
                <c:pt idx="61">
                  <c:v>470.12035055146049</c:v>
                </c:pt>
                <c:pt idx="62">
                  <c:v>489.03761244496349</c:v>
                </c:pt>
                <c:pt idx="63">
                  <c:v>507.93935454019061</c:v>
                </c:pt>
                <c:pt idx="64">
                  <c:v>526.82623526820396</c:v>
                </c:pt>
                <c:pt idx="65">
                  <c:v>545.69886203239594</c:v>
                </c:pt>
                <c:pt idx="66">
                  <c:v>563.83269993765953</c:v>
                </c:pt>
                <c:pt idx="67">
                  <c:v>581.95434324031532</c:v>
                </c:pt>
                <c:pt idx="68">
                  <c:v>600.06422485487678</c:v>
                </c:pt>
                <c:pt idx="69">
                  <c:v>618.16274945459065</c:v>
                </c:pt>
                <c:pt idx="70">
                  <c:v>636.25029610351078</c:v>
                </c:pt>
                <c:pt idx="71">
                  <c:v>551.86576328556498</c:v>
                </c:pt>
                <c:pt idx="72">
                  <c:v>568.90797010861979</c:v>
                </c:pt>
                <c:pt idx="73">
                  <c:v>585.93951180923568</c:v>
                </c:pt>
                <c:pt idx="74">
                  <c:v>602.96074183921121</c:v>
                </c:pt>
                <c:pt idx="75">
                  <c:v>619.97199208161771</c:v>
                </c:pt>
                <c:pt idx="76">
                  <c:v>635.88865041699376</c:v>
                </c:pt>
                <c:pt idx="77">
                  <c:v>651.79707790279861</c:v>
                </c:pt>
                <c:pt idx="78">
                  <c:v>667.69750358645092</c:v>
                </c:pt>
                <c:pt idx="79">
                  <c:v>683.59014472488445</c:v>
                </c:pt>
                <c:pt idx="80">
                  <c:v>699.47520765710772</c:v>
                </c:pt>
                <c:pt idx="81">
                  <c:v>596.62423325376824</c:v>
                </c:pt>
                <c:pt idx="82">
                  <c:v>613.09628499771327</c:v>
                </c:pt>
                <c:pt idx="83">
                  <c:v>629.5591603134277</c:v>
                </c:pt>
                <c:pt idx="84">
                  <c:v>646.01313279204737</c:v>
                </c:pt>
                <c:pt idx="85">
                  <c:v>662.45846096181708</c:v>
                </c:pt>
                <c:pt idx="86">
                  <c:v>678.89538947840242</c:v>
                </c:pt>
                <c:pt idx="87">
                  <c:v>695.32415019401685</c:v>
                </c:pt>
                <c:pt idx="88">
                  <c:v>711.7449631203325</c:v>
                </c:pt>
                <c:pt idx="89">
                  <c:v>728.15803729797983</c:v>
                </c:pt>
                <c:pt idx="90">
                  <c:v>744.56357158364517</c:v>
                </c:pt>
                <c:pt idx="91">
                  <c:v>662.2777891506214</c:v>
                </c:pt>
                <c:pt idx="92">
                  <c:v>675.64478408137427</c:v>
                </c:pt>
                <c:pt idx="93">
                  <c:v>689.006348405685</c:v>
                </c:pt>
                <c:pt idx="94">
                  <c:v>702.36260221569546</c:v>
                </c:pt>
                <c:pt idx="95">
                  <c:v>715.71366066651524</c:v>
                </c:pt>
                <c:pt idx="96">
                  <c:v>729.05963426940752</c:v>
                </c:pt>
                <c:pt idx="97">
                  <c:v>742.40062916240447</c:v>
                </c:pt>
                <c:pt idx="98">
                  <c:v>755.73674736047599</c:v>
                </c:pt>
                <c:pt idx="99">
                  <c:v>769.06808698713382</c:v>
                </c:pt>
                <c:pt idx="100">
                  <c:v>782.39474248915542</c:v>
                </c:pt>
                <c:pt idx="101">
                  <c:v>705.79106790905632</c:v>
                </c:pt>
                <c:pt idx="102">
                  <c:v>717.51746536438895</c:v>
                </c:pt>
                <c:pt idx="103">
                  <c:v>729.23995093529174</c:v>
                </c:pt>
                <c:pt idx="104">
                  <c:v>740.9585963345786</c:v>
                </c:pt>
                <c:pt idx="105">
                  <c:v>752.67347082301194</c:v>
                </c:pt>
                <c:pt idx="106">
                  <c:v>764.38464133080026</c:v>
                </c:pt>
                <c:pt idx="107">
                  <c:v>776.09217257127227</c:v>
                </c:pt>
                <c:pt idx="108">
                  <c:v>787.79612714733514</c:v>
                </c:pt>
                <c:pt idx="109">
                  <c:v>799.49656565128726</c:v>
                </c:pt>
                <c:pt idx="110">
                  <c:v>811.19354675848297</c:v>
                </c:pt>
                <c:pt idx="111">
                  <c:v>740.59807920780031</c:v>
                </c:pt>
                <c:pt idx="112">
                  <c:v>751.05163369335958</c:v>
                </c:pt>
                <c:pt idx="113">
                  <c:v>761.5022317800366</c:v>
                </c:pt>
                <c:pt idx="114">
                  <c:v>771.94991973942808</c:v>
                </c:pt>
                <c:pt idx="115">
                  <c:v>782.39474248915565</c:v>
                </c:pt>
                <c:pt idx="116">
                  <c:v>792.83674365041099</c:v>
                </c:pt>
                <c:pt idx="117">
                  <c:v>803.27596560231552</c:v>
                </c:pt>
                <c:pt idx="118">
                  <c:v>813.71244953330677</c:v>
                </c:pt>
                <c:pt idx="119">
                  <c:v>824.14623548975567</c:v>
                </c:pt>
                <c:pt idx="120">
                  <c:v>834.57736242199246</c:v>
                </c:pt>
                <c:pt idx="121">
                  <c:v>766.18603526748632</c:v>
                </c:pt>
                <c:pt idx="122">
                  <c:v>775.19172101253741</c:v>
                </c:pt>
                <c:pt idx="123">
                  <c:v>784.19528762222535</c:v>
                </c:pt>
                <c:pt idx="124">
                  <c:v>793.19676284650984</c:v>
                </c:pt>
                <c:pt idx="125">
                  <c:v>802.19617375444147</c:v>
                </c:pt>
                <c:pt idx="126">
                  <c:v>811.19354675848342</c:v>
                </c:pt>
                <c:pt idx="127">
                  <c:v>820.1889076376965</c:v>
                </c:pt>
                <c:pt idx="128">
                  <c:v>829.18228155985798</c:v>
                </c:pt>
                <c:pt idx="129">
                  <c:v>838.17369310256697</c:v>
                </c:pt>
                <c:pt idx="130">
                  <c:v>847.16316627340166</c:v>
                </c:pt>
                <c:pt idx="131">
                  <c:v>781.6745009638289</c:v>
                </c:pt>
                <c:pt idx="132">
                  <c:v>789.9564709743662</c:v>
                </c:pt>
                <c:pt idx="133">
                  <c:v>798.2366855717745</c:v>
                </c:pt>
                <c:pt idx="134">
                  <c:v>806.51516552506473</c:v>
                </c:pt>
                <c:pt idx="135">
                  <c:v>814.79193114229145</c:v>
                </c:pt>
                <c:pt idx="136">
                  <c:v>823.06700228546254</c:v>
                </c:pt>
                <c:pt idx="137">
                  <c:v>831.34039838481658</c:v>
                </c:pt>
                <c:pt idx="138">
                  <c:v>839.61213845250302</c:v>
                </c:pt>
                <c:pt idx="139">
                  <c:v>847.88224109569717</c:v>
                </c:pt>
                <c:pt idx="140">
                  <c:v>856.15072452917502</c:v>
                </c:pt>
                <c:pt idx="141">
                  <c:v>793.1967628465103</c:v>
                </c:pt>
                <c:pt idx="142">
                  <c:v>800.3964554411009</c:v>
                </c:pt>
                <c:pt idx="143">
                  <c:v>807.59484044154794</c:v>
                </c:pt>
                <c:pt idx="144">
                  <c:v>814.79193114229156</c:v>
                </c:pt>
                <c:pt idx="145">
                  <c:v>821.98774058384197</c:v>
                </c:pt>
                <c:pt idx="146">
                  <c:v>829.18228155985844</c:v>
                </c:pt>
                <c:pt idx="147">
                  <c:v>836.37556662396753</c:v>
                </c:pt>
                <c:pt idx="148">
                  <c:v>843.56760809633818</c:v>
                </c:pt>
                <c:pt idx="149">
                  <c:v>850.75841807001723</c:v>
                </c:pt>
                <c:pt idx="150">
                  <c:v>857.94800841704284</c:v>
                </c:pt>
                <c:pt idx="151">
                  <c:v>5.0621685358189711E-12</c:v>
                </c:pt>
                <c:pt idx="152">
                  <c:v>5.0621685358189711E-12</c:v>
                </c:pt>
                <c:pt idx="153">
                  <c:v>5.0621685358189711E-12</c:v>
                </c:pt>
                <c:pt idx="154">
                  <c:v>5.0621685358189711E-12</c:v>
                </c:pt>
                <c:pt idx="155">
                  <c:v>5.0621685358189711E-12</c:v>
                </c:pt>
                <c:pt idx="156">
                  <c:v>5.0621685358189711E-12</c:v>
                </c:pt>
                <c:pt idx="157">
                  <c:v>5.0621685358189711E-12</c:v>
                </c:pt>
                <c:pt idx="158">
                  <c:v>5.0621685358189711E-12</c:v>
                </c:pt>
                <c:pt idx="159">
                  <c:v>5.0621685358189711E-12</c:v>
                </c:pt>
                <c:pt idx="160">
                  <c:v>5.0621685358189711E-12</c:v>
                </c:pt>
                <c:pt idx="161">
                  <c:v>5.0621685358189711E-12</c:v>
                </c:pt>
                <c:pt idx="162">
                  <c:v>5.0621685358189711E-12</c:v>
                </c:pt>
                <c:pt idx="163">
                  <c:v>5.0621685358189711E-12</c:v>
                </c:pt>
                <c:pt idx="164">
                  <c:v>5.0621685358189711E-12</c:v>
                </c:pt>
                <c:pt idx="165">
                  <c:v>5.0621685358189711E-12</c:v>
                </c:pt>
                <c:pt idx="166">
                  <c:v>5.0621685358189711E-12</c:v>
                </c:pt>
                <c:pt idx="167">
                  <c:v>5.0621685358189711E-12</c:v>
                </c:pt>
                <c:pt idx="168">
                  <c:v>5.0621685358189711E-12</c:v>
                </c:pt>
                <c:pt idx="169">
                  <c:v>5.0621685358189711E-12</c:v>
                </c:pt>
                <c:pt idx="170">
                  <c:v>5.0621685358189711E-12</c:v>
                </c:pt>
                <c:pt idx="171">
                  <c:v>5.0621685358189711E-12</c:v>
                </c:pt>
                <c:pt idx="172">
                  <c:v>5.0621685358189711E-12</c:v>
                </c:pt>
                <c:pt idx="173">
                  <c:v>5.0621685358189711E-12</c:v>
                </c:pt>
                <c:pt idx="174">
                  <c:v>5.0621685358189711E-12</c:v>
                </c:pt>
                <c:pt idx="175">
                  <c:v>5.0621685358189711E-12</c:v>
                </c:pt>
                <c:pt idx="176">
                  <c:v>5.0621685358189711E-12</c:v>
                </c:pt>
                <c:pt idx="177">
                  <c:v>5.0621685358189711E-12</c:v>
                </c:pt>
                <c:pt idx="178">
                  <c:v>5.0621685358189711E-12</c:v>
                </c:pt>
                <c:pt idx="179">
                  <c:v>5.0621685358189711E-12</c:v>
                </c:pt>
                <c:pt idx="180">
                  <c:v>5.0621685358189711E-12</c:v>
                </c:pt>
                <c:pt idx="181">
                  <c:v>5.0621685358189711E-12</c:v>
                </c:pt>
                <c:pt idx="182">
                  <c:v>5.0621685358189711E-12</c:v>
                </c:pt>
                <c:pt idx="183">
                  <c:v>5.0621685358189711E-12</c:v>
                </c:pt>
                <c:pt idx="184">
                  <c:v>5.0621685358189711E-12</c:v>
                </c:pt>
                <c:pt idx="185">
                  <c:v>5.0621685358189711E-12</c:v>
                </c:pt>
                <c:pt idx="186">
                  <c:v>5.0621685358189711E-12</c:v>
                </c:pt>
                <c:pt idx="187">
                  <c:v>5.0621685358189711E-12</c:v>
                </c:pt>
                <c:pt idx="188">
                  <c:v>5.0621685358189711E-12</c:v>
                </c:pt>
                <c:pt idx="189">
                  <c:v>5.0621685358189711E-12</c:v>
                </c:pt>
                <c:pt idx="190">
                  <c:v>5.0621685358189711E-12</c:v>
                </c:pt>
                <c:pt idx="191">
                  <c:v>5.0621685358189711E-12</c:v>
                </c:pt>
                <c:pt idx="192">
                  <c:v>5.0621685358189711E-12</c:v>
                </c:pt>
                <c:pt idx="193">
                  <c:v>5.0621685358189711E-12</c:v>
                </c:pt>
                <c:pt idx="194">
                  <c:v>5.0621685358189711E-12</c:v>
                </c:pt>
                <c:pt idx="195">
                  <c:v>5.0621685358189711E-12</c:v>
                </c:pt>
                <c:pt idx="196">
                  <c:v>5.0621685358189711E-12</c:v>
                </c:pt>
                <c:pt idx="197">
                  <c:v>5.0621685358189711E-12</c:v>
                </c:pt>
                <c:pt idx="198">
                  <c:v>5.0621685358189711E-12</c:v>
                </c:pt>
                <c:pt idx="199">
                  <c:v>5.0621685358189711E-12</c:v>
                </c:pt>
                <c:pt idx="200">
                  <c:v>5.0621685358189711E-12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12421296"/>
        <c:axId val="-2012419120"/>
      </c:scatterChart>
      <c:valAx>
        <c:axId val="-20124212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12419120"/>
        <c:crosses val="autoZero"/>
        <c:crossBetween val="midCat"/>
      </c:valAx>
      <c:valAx>
        <c:axId val="-2012419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124212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87.672415653160499</c:v>
                </c:pt>
                <c:pt idx="17">
                  <c:v>104.14760645595801</c:v>
                </c:pt>
                <c:pt idx="18">
                  <c:v>120.55829551377816</c:v>
                </c:pt>
                <c:pt idx="19">
                  <c:v>136.9145198877824</c:v>
                </c:pt>
                <c:pt idx="20">
                  <c:v>153.22371186614834</c:v>
                </c:pt>
                <c:pt idx="21">
                  <c:v>166.10561630936709</c:v>
                </c:pt>
                <c:pt idx="22">
                  <c:v>184.03353707055842</c:v>
                </c:pt>
                <c:pt idx="23">
                  <c:v>201.92063702336614</c:v>
                </c:pt>
                <c:pt idx="24">
                  <c:v>219.77104210867901</c:v>
                </c:pt>
                <c:pt idx="25">
                  <c:v>237.58815254200749</c:v>
                </c:pt>
                <c:pt idx="26">
                  <c:v>169.32232688472158</c:v>
                </c:pt>
                <c:pt idx="27">
                  <c:v>188.76221470729047</c:v>
                </c:pt>
                <c:pt idx="28">
                  <c:v>208.15542061438953</c:v>
                </c:pt>
                <c:pt idx="29">
                  <c:v>227.50690659831912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263.58734797276014</c:v>
                </c:pt>
                <c:pt idx="35">
                  <c:v>282.83933776674911</c:v>
                </c:pt>
                <c:pt idx="36">
                  <c:v>302.06197856553018</c:v>
                </c:pt>
                <c:pt idx="37">
                  <c:v>321.25740024962437</c:v>
                </c:pt>
                <c:pt idx="38">
                  <c:v>279.73236813579507</c:v>
                </c:pt>
                <c:pt idx="39">
                  <c:v>298.36290228402572</c:v>
                </c:pt>
                <c:pt idx="40">
                  <c:v>316.96751977104663</c:v>
                </c:pt>
                <c:pt idx="41">
                  <c:v>335.54795535646372</c:v>
                </c:pt>
                <c:pt idx="42">
                  <c:v>354.10573601815048</c:v>
                </c:pt>
                <c:pt idx="43">
                  <c:v>372.64221565134471</c:v>
                </c:pt>
                <c:pt idx="44">
                  <c:v>391.15860250001066</c:v>
                </c:pt>
                <c:pt idx="45">
                  <c:v>336.88699770815003</c:v>
                </c:pt>
                <c:pt idx="46">
                  <c:v>354.16518115704031</c:v>
                </c:pt>
                <c:pt idx="47">
                  <c:v>371.42490308727605</c:v>
                </c:pt>
                <c:pt idx="48">
                  <c:v>388.66714186934956</c:v>
                </c:pt>
                <c:pt idx="49">
                  <c:v>405.89278200614257</c:v>
                </c:pt>
                <c:pt idx="50">
                  <c:v>423.1026268227929</c:v>
                </c:pt>
                <c:pt idx="51">
                  <c:v>440.29740898417259</c:v>
                </c:pt>
                <c:pt idx="52">
                  <c:v>457.47779928386598</c:v>
                </c:pt>
                <c:pt idx="53">
                  <c:v>393.44213889474253</c:v>
                </c:pt>
                <c:pt idx="54">
                  <c:v>409.00414204035161</c:v>
                </c:pt>
                <c:pt idx="55">
                  <c:v>424.55336102424576</c:v>
                </c:pt>
                <c:pt idx="56">
                  <c:v>440.09032987714431</c:v>
                </c:pt>
                <c:pt idx="57">
                  <c:v>455.61554185670815</c:v>
                </c:pt>
                <c:pt idx="58">
                  <c:v>471.12945387268002</c:v>
                </c:pt>
                <c:pt idx="59">
                  <c:v>486.63249029889352</c:v>
                </c:pt>
                <c:pt idx="60">
                  <c:v>502.12504627431412</c:v>
                </c:pt>
                <c:pt idx="61">
                  <c:v>438.70974904240546</c:v>
                </c:pt>
                <c:pt idx="62">
                  <c:v>453.06329508642131</c:v>
                </c:pt>
                <c:pt idx="63">
                  <c:v>467.40712233198587</c:v>
                </c:pt>
                <c:pt idx="64">
                  <c:v>481.74157097323291</c:v>
                </c:pt>
                <c:pt idx="65">
                  <c:v>496.06695931286299</c:v>
                </c:pt>
                <c:pt idx="66">
                  <c:v>510.38358577553487</c:v>
                </c:pt>
                <c:pt idx="67">
                  <c:v>524.69173068364421</c:v>
                </c:pt>
                <c:pt idx="68">
                  <c:v>538.99165782937473</c:v>
                </c:pt>
                <c:pt idx="69">
                  <c:v>553.28361587129064</c:v>
                </c:pt>
                <c:pt idx="70">
                  <c:v>2.5073107750038623E-12</c:v>
                </c:pt>
                <c:pt idx="71">
                  <c:v>2.5073107750038623E-12</c:v>
                </c:pt>
                <c:pt idx="72">
                  <c:v>2.5073107750038623E-12</c:v>
                </c:pt>
                <c:pt idx="73">
                  <c:v>2.5073107750038623E-12</c:v>
                </c:pt>
                <c:pt idx="74">
                  <c:v>2.5073107750038623E-12</c:v>
                </c:pt>
                <c:pt idx="75">
                  <c:v>2.5073107750038623E-12</c:v>
                </c:pt>
                <c:pt idx="76">
                  <c:v>2.5073107750038623E-12</c:v>
                </c:pt>
                <c:pt idx="77">
                  <c:v>2.5073107750038623E-12</c:v>
                </c:pt>
                <c:pt idx="78">
                  <c:v>2.5073107750038623E-12</c:v>
                </c:pt>
                <c:pt idx="79">
                  <c:v>2.5073107750038623E-12</c:v>
                </c:pt>
                <c:pt idx="80">
                  <c:v>2.5073107750038623E-12</c:v>
                </c:pt>
                <c:pt idx="81">
                  <c:v>2.5073107750038623E-12</c:v>
                </c:pt>
                <c:pt idx="82">
                  <c:v>2.5073107750038623E-12</c:v>
                </c:pt>
                <c:pt idx="83">
                  <c:v>2.5073107750038623E-12</c:v>
                </c:pt>
                <c:pt idx="84">
                  <c:v>2.5073107750038623E-12</c:v>
                </c:pt>
                <c:pt idx="85">
                  <c:v>2.5073107750038623E-12</c:v>
                </c:pt>
                <c:pt idx="86">
                  <c:v>2.5073107750038623E-12</c:v>
                </c:pt>
                <c:pt idx="87">
                  <c:v>2.5073107750038623E-12</c:v>
                </c:pt>
                <c:pt idx="88">
                  <c:v>2.5073107750038623E-12</c:v>
                </c:pt>
                <c:pt idx="89">
                  <c:v>2.5073107750038623E-12</c:v>
                </c:pt>
                <c:pt idx="90">
                  <c:v>2.5073107750038623E-12</c:v>
                </c:pt>
                <c:pt idx="91">
                  <c:v>2.5073107750038623E-12</c:v>
                </c:pt>
                <c:pt idx="92">
                  <c:v>2.5073107750038623E-12</c:v>
                </c:pt>
                <c:pt idx="93">
                  <c:v>2.5073107750038623E-12</c:v>
                </c:pt>
                <c:pt idx="94">
                  <c:v>2.5073107750038623E-12</c:v>
                </c:pt>
                <c:pt idx="95">
                  <c:v>2.5073107750038623E-12</c:v>
                </c:pt>
                <c:pt idx="96">
                  <c:v>2.5073107750038623E-12</c:v>
                </c:pt>
                <c:pt idx="97">
                  <c:v>2.5073107750038623E-12</c:v>
                </c:pt>
                <c:pt idx="98">
                  <c:v>2.5073107750038623E-12</c:v>
                </c:pt>
                <c:pt idx="99">
                  <c:v>2.5073107750038623E-12</c:v>
                </c:pt>
                <c:pt idx="100">
                  <c:v>2.5073107750038623E-12</c:v>
                </c:pt>
                <c:pt idx="101">
                  <c:v>2.5073107750038623E-12</c:v>
                </c:pt>
                <c:pt idx="102">
                  <c:v>2.5073107750038623E-12</c:v>
                </c:pt>
                <c:pt idx="103">
                  <c:v>2.5073107750038623E-12</c:v>
                </c:pt>
                <c:pt idx="104">
                  <c:v>2.5073107750038623E-12</c:v>
                </c:pt>
                <c:pt idx="105">
                  <c:v>2.5073107750038623E-12</c:v>
                </c:pt>
                <c:pt idx="106">
                  <c:v>2.5073107750038623E-12</c:v>
                </c:pt>
                <c:pt idx="107">
                  <c:v>2.5073107750038623E-12</c:v>
                </c:pt>
                <c:pt idx="108">
                  <c:v>2.5073107750038623E-12</c:v>
                </c:pt>
                <c:pt idx="109">
                  <c:v>2.5073107750038623E-12</c:v>
                </c:pt>
                <c:pt idx="110">
                  <c:v>2.5073107750038623E-12</c:v>
                </c:pt>
                <c:pt idx="111">
                  <c:v>2.5073107750038623E-12</c:v>
                </c:pt>
                <c:pt idx="112">
                  <c:v>2.5073107750038623E-12</c:v>
                </c:pt>
                <c:pt idx="113">
                  <c:v>2.5073107750038623E-12</c:v>
                </c:pt>
                <c:pt idx="114">
                  <c:v>2.5073107750038623E-12</c:v>
                </c:pt>
                <c:pt idx="115">
                  <c:v>2.5073107750038623E-12</c:v>
                </c:pt>
                <c:pt idx="116">
                  <c:v>2.5073107750038623E-12</c:v>
                </c:pt>
                <c:pt idx="117">
                  <c:v>2.5073107750038623E-12</c:v>
                </c:pt>
                <c:pt idx="118">
                  <c:v>2.5073107750038623E-12</c:v>
                </c:pt>
                <c:pt idx="119">
                  <c:v>2.5073107750038623E-12</c:v>
                </c:pt>
                <c:pt idx="120">
                  <c:v>2.5073107750038623E-12</c:v>
                </c:pt>
                <c:pt idx="121">
                  <c:v>2.5073107750038623E-12</c:v>
                </c:pt>
                <c:pt idx="122">
                  <c:v>2.5073107750038623E-12</c:v>
                </c:pt>
                <c:pt idx="123">
                  <c:v>2.5073107750038623E-12</c:v>
                </c:pt>
                <c:pt idx="124">
                  <c:v>2.5073107750038623E-12</c:v>
                </c:pt>
                <c:pt idx="125">
                  <c:v>2.5073107750038623E-12</c:v>
                </c:pt>
                <c:pt idx="126">
                  <c:v>2.5073107750038623E-12</c:v>
                </c:pt>
                <c:pt idx="127">
                  <c:v>2.5073107750038623E-12</c:v>
                </c:pt>
                <c:pt idx="128">
                  <c:v>2.5073107750038623E-12</c:v>
                </c:pt>
                <c:pt idx="129">
                  <c:v>2.5073107750038623E-12</c:v>
                </c:pt>
                <c:pt idx="130">
                  <c:v>2.5073107750038623E-12</c:v>
                </c:pt>
                <c:pt idx="131">
                  <c:v>2.5073107750038623E-12</c:v>
                </c:pt>
                <c:pt idx="132">
                  <c:v>2.5073107750038623E-12</c:v>
                </c:pt>
                <c:pt idx="133">
                  <c:v>2.5073107750038623E-12</c:v>
                </c:pt>
                <c:pt idx="134">
                  <c:v>2.5073107750038623E-12</c:v>
                </c:pt>
                <c:pt idx="135">
                  <c:v>2.5073107750038623E-12</c:v>
                </c:pt>
                <c:pt idx="136">
                  <c:v>2.5073107750038623E-12</c:v>
                </c:pt>
                <c:pt idx="137">
                  <c:v>2.5073107750038623E-12</c:v>
                </c:pt>
                <c:pt idx="138">
                  <c:v>2.5073107750038623E-12</c:v>
                </c:pt>
                <c:pt idx="139">
                  <c:v>2.5073107750038623E-12</c:v>
                </c:pt>
                <c:pt idx="140">
                  <c:v>2.5073107750038623E-12</c:v>
                </c:pt>
                <c:pt idx="141">
                  <c:v>2.5073107750038623E-12</c:v>
                </c:pt>
                <c:pt idx="142">
                  <c:v>2.5073107750038623E-12</c:v>
                </c:pt>
                <c:pt idx="143">
                  <c:v>2.5073107750038623E-12</c:v>
                </c:pt>
                <c:pt idx="144">
                  <c:v>2.5073107750038623E-12</c:v>
                </c:pt>
                <c:pt idx="145">
                  <c:v>2.5073107750038623E-12</c:v>
                </c:pt>
                <c:pt idx="146">
                  <c:v>2.5073107750038623E-12</c:v>
                </c:pt>
                <c:pt idx="147">
                  <c:v>2.5073107750038623E-12</c:v>
                </c:pt>
                <c:pt idx="148">
                  <c:v>2.5073107750038623E-12</c:v>
                </c:pt>
                <c:pt idx="149">
                  <c:v>2.5073107750038623E-12</c:v>
                </c:pt>
                <c:pt idx="150">
                  <c:v>2.5073107750038623E-12</c:v>
                </c:pt>
                <c:pt idx="151">
                  <c:v>2.5073107750038623E-12</c:v>
                </c:pt>
                <c:pt idx="152">
                  <c:v>2.5073107750038623E-12</c:v>
                </c:pt>
                <c:pt idx="153">
                  <c:v>2.5073107750038623E-12</c:v>
                </c:pt>
                <c:pt idx="154">
                  <c:v>2.5073107750038623E-12</c:v>
                </c:pt>
                <c:pt idx="155">
                  <c:v>2.5073107750038623E-12</c:v>
                </c:pt>
                <c:pt idx="156">
                  <c:v>2.5073107750038623E-12</c:v>
                </c:pt>
                <c:pt idx="157">
                  <c:v>2.5073107750038623E-12</c:v>
                </c:pt>
                <c:pt idx="158">
                  <c:v>2.5073107750038623E-12</c:v>
                </c:pt>
                <c:pt idx="159">
                  <c:v>2.5073107750038623E-12</c:v>
                </c:pt>
                <c:pt idx="160">
                  <c:v>2.5073107750038623E-12</c:v>
                </c:pt>
                <c:pt idx="161">
                  <c:v>2.5073107750038623E-12</c:v>
                </c:pt>
                <c:pt idx="162">
                  <c:v>2.5073107750038623E-12</c:v>
                </c:pt>
                <c:pt idx="163">
                  <c:v>2.5073107750038623E-12</c:v>
                </c:pt>
                <c:pt idx="164">
                  <c:v>2.5073107750038623E-12</c:v>
                </c:pt>
                <c:pt idx="165">
                  <c:v>2.5073107750038623E-12</c:v>
                </c:pt>
                <c:pt idx="166">
                  <c:v>2.5073107750038623E-12</c:v>
                </c:pt>
                <c:pt idx="167">
                  <c:v>2.5073107750038623E-12</c:v>
                </c:pt>
                <c:pt idx="168">
                  <c:v>2.5073107750038623E-12</c:v>
                </c:pt>
                <c:pt idx="169">
                  <c:v>2.5073107750038623E-12</c:v>
                </c:pt>
                <c:pt idx="170">
                  <c:v>2.5073107750038623E-12</c:v>
                </c:pt>
                <c:pt idx="171">
                  <c:v>2.5073107750038623E-12</c:v>
                </c:pt>
                <c:pt idx="172">
                  <c:v>2.5073107750038623E-12</c:v>
                </c:pt>
                <c:pt idx="173">
                  <c:v>2.5073107750038623E-12</c:v>
                </c:pt>
                <c:pt idx="174">
                  <c:v>2.5073107750038623E-12</c:v>
                </c:pt>
                <c:pt idx="175">
                  <c:v>2.5073107750038623E-12</c:v>
                </c:pt>
                <c:pt idx="176">
                  <c:v>2.5073107750038623E-12</c:v>
                </c:pt>
                <c:pt idx="177">
                  <c:v>2.5073107750038623E-12</c:v>
                </c:pt>
                <c:pt idx="178">
                  <c:v>2.5073107750038623E-12</c:v>
                </c:pt>
                <c:pt idx="179">
                  <c:v>2.5073107750038623E-12</c:v>
                </c:pt>
                <c:pt idx="180">
                  <c:v>2.5073107750038623E-12</c:v>
                </c:pt>
                <c:pt idx="181">
                  <c:v>2.5073107750038623E-12</c:v>
                </c:pt>
                <c:pt idx="182">
                  <c:v>2.5073107750038623E-12</c:v>
                </c:pt>
                <c:pt idx="183">
                  <c:v>2.5073107750038623E-12</c:v>
                </c:pt>
                <c:pt idx="184">
                  <c:v>2.5073107750038623E-12</c:v>
                </c:pt>
                <c:pt idx="185">
                  <c:v>2.5073107750038623E-12</c:v>
                </c:pt>
                <c:pt idx="186">
                  <c:v>2.5073107750038623E-12</c:v>
                </c:pt>
                <c:pt idx="187">
                  <c:v>2.5073107750038623E-12</c:v>
                </c:pt>
                <c:pt idx="188">
                  <c:v>2.5073107750038623E-12</c:v>
                </c:pt>
                <c:pt idx="189">
                  <c:v>2.5073107750038623E-12</c:v>
                </c:pt>
                <c:pt idx="190">
                  <c:v>2.5073107750038623E-12</c:v>
                </c:pt>
                <c:pt idx="191">
                  <c:v>2.5073107750038623E-12</c:v>
                </c:pt>
                <c:pt idx="192">
                  <c:v>2.5073107750038623E-12</c:v>
                </c:pt>
                <c:pt idx="193">
                  <c:v>2.5073107750038623E-12</c:v>
                </c:pt>
                <c:pt idx="194">
                  <c:v>2.5073107750038623E-12</c:v>
                </c:pt>
                <c:pt idx="195">
                  <c:v>2.5073107750038623E-12</c:v>
                </c:pt>
                <c:pt idx="196">
                  <c:v>2.5073107750038623E-12</c:v>
                </c:pt>
                <c:pt idx="197">
                  <c:v>2.5073107750038623E-12</c:v>
                </c:pt>
                <c:pt idx="198">
                  <c:v>2.5073107750038623E-12</c:v>
                </c:pt>
                <c:pt idx="199">
                  <c:v>2.5073107750038623E-12</c:v>
                </c:pt>
                <c:pt idx="200">
                  <c:v>2.5073107750038623E-12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12420208"/>
        <c:axId val="-2012419664"/>
      </c:scatterChart>
      <c:valAx>
        <c:axId val="-20124202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12419664"/>
        <c:crosses val="autoZero"/>
        <c:crossBetween val="midCat"/>
      </c:valAx>
      <c:valAx>
        <c:axId val="-2012419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124202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3.2993926342755451</c:v>
                </c:pt>
                <c:pt idx="2">
                  <c:v>4.4893201557392208</c:v>
                </c:pt>
                <c:pt idx="3">
                  <c:v>6.1101705027927622</c:v>
                </c:pt>
                <c:pt idx="4">
                  <c:v>8.3186023442996486</c:v>
                </c:pt>
                <c:pt idx="5">
                  <c:v>11.328430675640973</c:v>
                </c:pt>
                <c:pt idx="6">
                  <c:v>15.431548981327753</c:v>
                </c:pt>
                <c:pt idx="7">
                  <c:v>21.026533138489317</c:v>
                </c:pt>
                <c:pt idx="8">
                  <c:v>28.657755228369926</c:v>
                </c:pt>
                <c:pt idx="9">
                  <c:v>39.068879251372145</c:v>
                </c:pt>
                <c:pt idx="10">
                  <c:v>53.276040691163224</c:v>
                </c:pt>
                <c:pt idx="11">
                  <c:v>67.942094129187879</c:v>
                </c:pt>
                <c:pt idx="12">
                  <c:v>82.526264080613331</c:v>
                </c:pt>
                <c:pt idx="13">
                  <c:v>97.045144350616127</c:v>
                </c:pt>
                <c:pt idx="14">
                  <c:v>111.50991321097064</c:v>
                </c:pt>
                <c:pt idx="15">
                  <c:v>125.92859448173509</c:v>
                </c:pt>
                <c:pt idx="16">
                  <c:v>142.70010358292737</c:v>
                </c:pt>
                <c:pt idx="17">
                  <c:v>159.42436006200964</c:v>
                </c:pt>
                <c:pt idx="18">
                  <c:v>176.10702302240045</c:v>
                </c:pt>
                <c:pt idx="19">
                  <c:v>192.75258949941266</c:v>
                </c:pt>
                <c:pt idx="20">
                  <c:v>209.36471515078131</c:v>
                </c:pt>
                <c:pt idx="21">
                  <c:v>166.57888122303586</c:v>
                </c:pt>
                <c:pt idx="22">
                  <c:v>183.24514998499424</c:v>
                </c:pt>
                <c:pt idx="23">
                  <c:v>199.87597768141939</c:v>
                </c:pt>
                <c:pt idx="24">
                  <c:v>216.47472919071291</c:v>
                </c:pt>
                <c:pt idx="25">
                  <c:v>233.04421068758674</c:v>
                </c:pt>
                <c:pt idx="26">
                  <c:v>249.32441486090056</c:v>
                </c:pt>
                <c:pt idx="27">
                  <c:v>265.58051154513532</c:v>
                </c:pt>
                <c:pt idx="28">
                  <c:v>281.81418407526689</c:v>
                </c:pt>
                <c:pt idx="29">
                  <c:v>298.02690596205679</c:v>
                </c:pt>
                <c:pt idx="30">
                  <c:v>314.21997727965459</c:v>
                </c:pt>
                <c:pt idx="31">
                  <c:v>260.33913593396761</c:v>
                </c:pt>
                <c:pt idx="32">
                  <c:v>275.79453412362</c:v>
                </c:pt>
                <c:pt idx="33">
                  <c:v>291.23048631586886</c:v>
                </c:pt>
                <c:pt idx="34">
                  <c:v>306.64816832646142</c:v>
                </c:pt>
                <c:pt idx="35">
                  <c:v>322.04862806271944</c:v>
                </c:pt>
                <c:pt idx="36">
                  <c:v>336.65093802655764</c:v>
                </c:pt>
                <c:pt idx="37">
                  <c:v>351.23930551707662</c:v>
                </c:pt>
                <c:pt idx="38">
                  <c:v>365.81439115881381</c:v>
                </c:pt>
                <c:pt idx="39">
                  <c:v>380.37679863746217</c:v>
                </c:pt>
                <c:pt idx="40">
                  <c:v>394.92708164509969</c:v>
                </c:pt>
                <c:pt idx="41">
                  <c:v>333.00169481114176</c:v>
                </c:pt>
                <c:pt idx="42">
                  <c:v>346.55166637710573</c:v>
                </c:pt>
                <c:pt idx="43">
                  <c:v>360.09000890291617</c:v>
                </c:pt>
                <c:pt idx="44">
                  <c:v>373.61722122435737</c:v>
                </c:pt>
                <c:pt idx="45">
                  <c:v>387.13376310498393</c:v>
                </c:pt>
                <c:pt idx="46">
                  <c:v>399.86112159092812</c:v>
                </c:pt>
                <c:pt idx="47">
                  <c:v>412.57971336343115</c:v>
                </c:pt>
                <c:pt idx="48">
                  <c:v>425.28984676277349</c:v>
                </c:pt>
                <c:pt idx="49">
                  <c:v>437.99181019525372</c:v>
                </c:pt>
                <c:pt idx="50">
                  <c:v>450.68587397483049</c:v>
                </c:pt>
                <c:pt idx="51">
                  <c:v>387.3935948852548</c:v>
                </c:pt>
                <c:pt idx="52">
                  <c:v>399.34181134841805</c:v>
                </c:pt>
                <c:pt idx="53">
                  <c:v>411.28229041391381</c:v>
                </c:pt>
                <c:pt idx="54">
                  <c:v>423.21528840048148</c:v>
                </c:pt>
                <c:pt idx="55">
                  <c:v>435.14104599175198</c:v>
                </c:pt>
                <c:pt idx="56">
                  <c:v>446.2826897768453</c:v>
                </c:pt>
                <c:pt idx="57">
                  <c:v>457.41837932963148</c:v>
                </c:pt>
                <c:pt idx="58">
                  <c:v>468.54828004976827</c:v>
                </c:pt>
                <c:pt idx="59">
                  <c:v>479.67254883752707</c:v>
                </c:pt>
                <c:pt idx="60">
                  <c:v>490.79133472172845</c:v>
                </c:pt>
                <c:pt idx="61">
                  <c:v>430.21605244412081</c:v>
                </c:pt>
                <c:pt idx="62">
                  <c:v>440.84217635604756</c:v>
                </c:pt>
                <c:pt idx="63">
                  <c:v>451.46281066885194</c:v>
                </c:pt>
                <c:pt idx="64">
                  <c:v>462.07810275153253</c:v>
                </c:pt>
                <c:pt idx="65">
                  <c:v>472.68819264876271</c:v>
                </c:pt>
                <c:pt idx="66">
                  <c:v>482.77601117194354</c:v>
                </c:pt>
                <c:pt idx="67">
                  <c:v>492.85935262880986</c:v>
                </c:pt>
                <c:pt idx="68">
                  <c:v>502.93832153954008</c:v>
                </c:pt>
                <c:pt idx="69">
                  <c:v>513.01301789298748</c:v>
                </c:pt>
                <c:pt idx="70">
                  <c:v>523.08353743016426</c:v>
                </c:pt>
                <c:pt idx="71">
                  <c:v>464.40758776978123</c:v>
                </c:pt>
                <c:pt idx="72">
                  <c:v>474.24046045825463</c:v>
                </c:pt>
                <c:pt idx="73">
                  <c:v>484.06899521093095</c:v>
                </c:pt>
                <c:pt idx="74">
                  <c:v>493.89329253818352</c:v>
                </c:pt>
                <c:pt idx="75">
                  <c:v>503.713448625014</c:v>
                </c:pt>
                <c:pt idx="76">
                  <c:v>512.75474492160231</c:v>
                </c:pt>
                <c:pt idx="77">
                  <c:v>521.79267536312102</c:v>
                </c:pt>
                <c:pt idx="78">
                  <c:v>530.82730647905521</c:v>
                </c:pt>
                <c:pt idx="79">
                  <c:v>539.85870234920981</c:v>
                </c:pt>
                <c:pt idx="80">
                  <c:v>548.88692473426227</c:v>
                </c:pt>
                <c:pt idx="81">
                  <c:v>494.41024528003317</c:v>
                </c:pt>
                <c:pt idx="82">
                  <c:v>503.19670004131422</c:v>
                </c:pt>
                <c:pt idx="83">
                  <c:v>511.97990951635302</c:v>
                </c:pt>
                <c:pt idx="84">
                  <c:v>520.75993724168131</c:v>
                </c:pt>
                <c:pt idx="85">
                  <c:v>529.53684443621125</c:v>
                </c:pt>
                <c:pt idx="86">
                  <c:v>537.79466527187412</c:v>
                </c:pt>
                <c:pt idx="87">
                  <c:v>546.04982172354835</c:v>
                </c:pt>
                <c:pt idx="88">
                  <c:v>554.3023597586548</c:v>
                </c:pt>
                <c:pt idx="89">
                  <c:v>562.5523238640161</c:v>
                </c:pt>
                <c:pt idx="90">
                  <c:v>570.7997571150305</c:v>
                </c:pt>
                <c:pt idx="91">
                  <c:v>517.91968442316318</c:v>
                </c:pt>
                <c:pt idx="92">
                  <c:v>525.66506033509472</c:v>
                </c:pt>
                <c:pt idx="93">
                  <c:v>533.40803268292461</c:v>
                </c:pt>
                <c:pt idx="94">
                  <c:v>541.1486412867431</c:v>
                </c:pt>
                <c:pt idx="95">
                  <c:v>548.88692473426227</c:v>
                </c:pt>
                <c:pt idx="96">
                  <c:v>556.62292043617106</c:v>
                </c:pt>
                <c:pt idx="97">
                  <c:v>564.35666467825115</c:v>
                </c:pt>
                <c:pt idx="98">
                  <c:v>572.08819267048932</c:v>
                </c:pt>
                <c:pt idx="99">
                  <c:v>579.81753859339392</c:v>
                </c:pt>
                <c:pt idx="100">
                  <c:v>587.54473564171496</c:v>
                </c:pt>
                <c:pt idx="101">
                  <c:v>538.05267899793887</c:v>
                </c:pt>
                <c:pt idx="102">
                  <c:v>545.2760127385468</c:v>
                </c:pt>
                <c:pt idx="103">
                  <c:v>552.4973385257864</c:v>
                </c:pt>
                <c:pt idx="104">
                  <c:v>559.71668631283626</c:v>
                </c:pt>
                <c:pt idx="105">
                  <c:v>566.93408521696813</c:v>
                </c:pt>
                <c:pt idx="106">
                  <c:v>574.14956355345282</c:v>
                </c:pt>
                <c:pt idx="107">
                  <c:v>581.36314886766934</c:v>
                </c:pt>
                <c:pt idx="108">
                  <c:v>588.57486796553962</c:v>
                </c:pt>
                <c:pt idx="109">
                  <c:v>595.78474694239355</c:v>
                </c:pt>
                <c:pt idx="110">
                  <c:v>602.99281121036381</c:v>
                </c:pt>
                <c:pt idx="111">
                  <c:v>556.8807479861506</c:v>
                </c:pt>
                <c:pt idx="112">
                  <c:v>563.58339055803435</c:v>
                </c:pt>
                <c:pt idx="113">
                  <c:v>570.28436588683383</c:v>
                </c:pt>
                <c:pt idx="114">
                  <c:v>576.98369633157199</c:v>
                </c:pt>
                <c:pt idx="115">
                  <c:v>583.68140368956654</c:v>
                </c:pt>
                <c:pt idx="116">
                  <c:v>590.37750921696579</c:v>
                </c:pt>
                <c:pt idx="117">
                  <c:v>597.07203364830355</c:v>
                </c:pt>
                <c:pt idx="118">
                  <c:v>603.76499721513153</c:v>
                </c:pt>
                <c:pt idx="119">
                  <c:v>610.45641966378332</c:v>
                </c:pt>
                <c:pt idx="120">
                  <c:v>617.14632027231767</c:v>
                </c:pt>
                <c:pt idx="121">
                  <c:v>1.6144600406554537E-12</c:v>
                </c:pt>
                <c:pt idx="122">
                  <c:v>1.6144600406554537E-12</c:v>
                </c:pt>
                <c:pt idx="123">
                  <c:v>1.6144600406554537E-12</c:v>
                </c:pt>
                <c:pt idx="124">
                  <c:v>1.6144600406554537E-12</c:v>
                </c:pt>
                <c:pt idx="125">
                  <c:v>1.6144600406554537E-12</c:v>
                </c:pt>
                <c:pt idx="126">
                  <c:v>1.6144600406554537E-12</c:v>
                </c:pt>
                <c:pt idx="127">
                  <c:v>1.6144600406554537E-12</c:v>
                </c:pt>
                <c:pt idx="128">
                  <c:v>1.6144600406554537E-12</c:v>
                </c:pt>
                <c:pt idx="129">
                  <c:v>1.6144600406554537E-12</c:v>
                </c:pt>
                <c:pt idx="130">
                  <c:v>1.6144600406554537E-12</c:v>
                </c:pt>
                <c:pt idx="131">
                  <c:v>1.6144600406554537E-12</c:v>
                </c:pt>
                <c:pt idx="132">
                  <c:v>1.6144600406554537E-12</c:v>
                </c:pt>
                <c:pt idx="133">
                  <c:v>1.6144600406554537E-12</c:v>
                </c:pt>
                <c:pt idx="134">
                  <c:v>1.6144600406554537E-12</c:v>
                </c:pt>
                <c:pt idx="135">
                  <c:v>1.6144600406554537E-12</c:v>
                </c:pt>
                <c:pt idx="136">
                  <c:v>1.6144600406554537E-12</c:v>
                </c:pt>
                <c:pt idx="137">
                  <c:v>1.6144600406554537E-12</c:v>
                </c:pt>
                <c:pt idx="138">
                  <c:v>1.6144600406554537E-12</c:v>
                </c:pt>
                <c:pt idx="139">
                  <c:v>1.6144600406554537E-12</c:v>
                </c:pt>
                <c:pt idx="140">
                  <c:v>1.6144600406554537E-12</c:v>
                </c:pt>
                <c:pt idx="141">
                  <c:v>1.6144600406554537E-12</c:v>
                </c:pt>
                <c:pt idx="142">
                  <c:v>1.6144600406554537E-12</c:v>
                </c:pt>
                <c:pt idx="143">
                  <c:v>1.6144600406554537E-12</c:v>
                </c:pt>
                <c:pt idx="144">
                  <c:v>1.6144600406554537E-12</c:v>
                </c:pt>
                <c:pt idx="145">
                  <c:v>1.6144600406554537E-12</c:v>
                </c:pt>
                <c:pt idx="146">
                  <c:v>1.6144600406554537E-12</c:v>
                </c:pt>
                <c:pt idx="147">
                  <c:v>1.6144600406554537E-12</c:v>
                </c:pt>
                <c:pt idx="148">
                  <c:v>1.6144600406554537E-12</c:v>
                </c:pt>
                <c:pt idx="149">
                  <c:v>1.6144600406554537E-12</c:v>
                </c:pt>
                <c:pt idx="150">
                  <c:v>1.6144600406554537E-12</c:v>
                </c:pt>
                <c:pt idx="151">
                  <c:v>1.6144600406554537E-12</c:v>
                </c:pt>
                <c:pt idx="152">
                  <c:v>1.6144600406554537E-12</c:v>
                </c:pt>
                <c:pt idx="153">
                  <c:v>1.6144600406554537E-12</c:v>
                </c:pt>
                <c:pt idx="154">
                  <c:v>1.6144600406554537E-12</c:v>
                </c:pt>
                <c:pt idx="155">
                  <c:v>1.6144600406554537E-12</c:v>
                </c:pt>
                <c:pt idx="156">
                  <c:v>1.6144600406554537E-12</c:v>
                </c:pt>
                <c:pt idx="157">
                  <c:v>1.6144600406554537E-12</c:v>
                </c:pt>
                <c:pt idx="158">
                  <c:v>1.6144600406554537E-12</c:v>
                </c:pt>
                <c:pt idx="159">
                  <c:v>1.6144600406554537E-12</c:v>
                </c:pt>
                <c:pt idx="160">
                  <c:v>1.6144600406554537E-12</c:v>
                </c:pt>
                <c:pt idx="161">
                  <c:v>1.6144600406554537E-12</c:v>
                </c:pt>
                <c:pt idx="162">
                  <c:v>1.6144600406554537E-12</c:v>
                </c:pt>
                <c:pt idx="163">
                  <c:v>1.6144600406554537E-12</c:v>
                </c:pt>
                <c:pt idx="164">
                  <c:v>1.6144600406554537E-12</c:v>
                </c:pt>
                <c:pt idx="165">
                  <c:v>1.6144600406554537E-12</c:v>
                </c:pt>
                <c:pt idx="166">
                  <c:v>1.6144600406554537E-12</c:v>
                </c:pt>
                <c:pt idx="167">
                  <c:v>1.6144600406554537E-12</c:v>
                </c:pt>
                <c:pt idx="168">
                  <c:v>1.6144600406554537E-12</c:v>
                </c:pt>
                <c:pt idx="169">
                  <c:v>1.6144600406554537E-12</c:v>
                </c:pt>
                <c:pt idx="170">
                  <c:v>1.6144600406554537E-12</c:v>
                </c:pt>
                <c:pt idx="171">
                  <c:v>1.6144600406554537E-12</c:v>
                </c:pt>
                <c:pt idx="172">
                  <c:v>1.6144600406554537E-12</c:v>
                </c:pt>
                <c:pt idx="173">
                  <c:v>1.6144600406554537E-12</c:v>
                </c:pt>
                <c:pt idx="174">
                  <c:v>1.6144600406554537E-12</c:v>
                </c:pt>
                <c:pt idx="175">
                  <c:v>1.6144600406554537E-12</c:v>
                </c:pt>
                <c:pt idx="176">
                  <c:v>1.6144600406554537E-12</c:v>
                </c:pt>
                <c:pt idx="177">
                  <c:v>1.6144600406554537E-12</c:v>
                </c:pt>
                <c:pt idx="178">
                  <c:v>1.6144600406554537E-12</c:v>
                </c:pt>
                <c:pt idx="179">
                  <c:v>1.6144600406554537E-12</c:v>
                </c:pt>
                <c:pt idx="180">
                  <c:v>1.6144600406554537E-12</c:v>
                </c:pt>
                <c:pt idx="181">
                  <c:v>1.6144600406554537E-12</c:v>
                </c:pt>
                <c:pt idx="182">
                  <c:v>1.6144600406554537E-12</c:v>
                </c:pt>
                <c:pt idx="183">
                  <c:v>1.6144600406554537E-12</c:v>
                </c:pt>
                <c:pt idx="184">
                  <c:v>1.6144600406554537E-12</c:v>
                </c:pt>
                <c:pt idx="185">
                  <c:v>1.6144600406554537E-12</c:v>
                </c:pt>
                <c:pt idx="186">
                  <c:v>1.6144600406554537E-12</c:v>
                </c:pt>
                <c:pt idx="187">
                  <c:v>1.6144600406554537E-12</c:v>
                </c:pt>
                <c:pt idx="188">
                  <c:v>1.6144600406554537E-12</c:v>
                </c:pt>
                <c:pt idx="189">
                  <c:v>1.6144600406554537E-12</c:v>
                </c:pt>
                <c:pt idx="190">
                  <c:v>1.6144600406554537E-12</c:v>
                </c:pt>
                <c:pt idx="191">
                  <c:v>1.6144600406554537E-12</c:v>
                </c:pt>
                <c:pt idx="192">
                  <c:v>1.6144600406554537E-12</c:v>
                </c:pt>
                <c:pt idx="193">
                  <c:v>1.6144600406554537E-12</c:v>
                </c:pt>
                <c:pt idx="194">
                  <c:v>1.6144600406554537E-12</c:v>
                </c:pt>
                <c:pt idx="195">
                  <c:v>1.6144600406554537E-12</c:v>
                </c:pt>
                <c:pt idx="196">
                  <c:v>1.6144600406554537E-12</c:v>
                </c:pt>
                <c:pt idx="197">
                  <c:v>1.6144600406554537E-12</c:v>
                </c:pt>
                <c:pt idx="198">
                  <c:v>1.6144600406554537E-12</c:v>
                </c:pt>
                <c:pt idx="199">
                  <c:v>1.6144600406554537E-12</c:v>
                </c:pt>
                <c:pt idx="200">
                  <c:v>1.6144600406554537E-12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12415312"/>
        <c:axId val="-2012409872"/>
      </c:scatterChart>
      <c:valAx>
        <c:axId val="-20124153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12409872"/>
        <c:crosses val="autoZero"/>
        <c:crossBetween val="midCat"/>
      </c:valAx>
      <c:valAx>
        <c:axId val="-2012409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124153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2.9499424774398109</c:v>
                </c:pt>
                <c:pt idx="2">
                  <c:v>3.5322712998141292</c:v>
                </c:pt>
                <c:pt idx="3">
                  <c:v>4.2299796423063247</c:v>
                </c:pt>
                <c:pt idx="4">
                  <c:v>5.0660077681280073</c:v>
                </c:pt>
                <c:pt idx="5">
                  <c:v>6.0678718432979295</c:v>
                </c:pt>
                <c:pt idx="6">
                  <c:v>7.2685794435074236</c:v>
                </c:pt>
                <c:pt idx="7">
                  <c:v>8.707728736258824</c:v>
                </c:pt>
                <c:pt idx="8">
                  <c:v>10.432828282263435</c:v>
                </c:pt>
                <c:pt idx="9">
                  <c:v>12.500881848154869</c:v>
                </c:pt>
                <c:pt idx="10">
                  <c:v>14.98029157537014</c:v>
                </c:pt>
                <c:pt idx="11">
                  <c:v>17.953143612152349</c:v>
                </c:pt>
                <c:pt idx="12">
                  <c:v>21.517953253369303</c:v>
                </c:pt>
                <c:pt idx="13">
                  <c:v>25.792962186854144</c:v>
                </c:pt>
                <c:pt idx="14">
                  <c:v>30.920099145277529</c:v>
                </c:pt>
                <c:pt idx="15">
                  <c:v>37.069737746726702</c:v>
                </c:pt>
                <c:pt idx="16">
                  <c:v>44.446412342171662</c:v>
                </c:pt>
                <c:pt idx="17">
                  <c:v>53.29568519652458</c:v>
                </c:pt>
                <c:pt idx="18">
                  <c:v>63.912397422094891</c:v>
                </c:pt>
                <c:pt idx="19">
                  <c:v>76.650583094416518</c:v>
                </c:pt>
                <c:pt idx="20">
                  <c:v>91.935382517505545</c:v>
                </c:pt>
                <c:pt idx="21">
                  <c:v>103.84617756844348</c:v>
                </c:pt>
                <c:pt idx="22">
                  <c:v>115.72319627792427</c:v>
                </c:pt>
                <c:pt idx="23">
                  <c:v>127.57039913328697</c:v>
                </c:pt>
                <c:pt idx="24">
                  <c:v>139.39094880292336</c:v>
                </c:pt>
                <c:pt idx="25">
                  <c:v>151.18742647916039</c:v>
                </c:pt>
                <c:pt idx="26">
                  <c:v>165.90240656060988</c:v>
                </c:pt>
                <c:pt idx="27">
                  <c:v>180.58657218998462</c:v>
                </c:pt>
                <c:pt idx="28">
                  <c:v>195.24278318241954</c:v>
                </c:pt>
                <c:pt idx="29">
                  <c:v>209.87343438827483</c:v>
                </c:pt>
                <c:pt idx="30">
                  <c:v>224.48055915021379</c:v>
                </c:pt>
                <c:pt idx="31">
                  <c:v>180.58657218998462</c:v>
                </c:pt>
                <c:pt idx="32">
                  <c:v>197.3343901571734</c:v>
                </c:pt>
                <c:pt idx="33">
                  <c:v>214.04921803989632</c:v>
                </c:pt>
                <c:pt idx="34">
                  <c:v>230.73399509870114</c:v>
                </c:pt>
                <c:pt idx="35">
                  <c:v>247.39120044621509</c:v>
                </c:pt>
                <c:pt idx="36">
                  <c:v>264.85390518195555</c:v>
                </c:pt>
                <c:pt idx="37">
                  <c:v>282.29065500591173</c:v>
                </c:pt>
                <c:pt idx="38">
                  <c:v>299.70327852559689</c:v>
                </c:pt>
                <c:pt idx="39">
                  <c:v>317.09337448903148</c:v>
                </c:pt>
                <c:pt idx="40">
                  <c:v>334.46235196533502</c:v>
                </c:pt>
                <c:pt idx="41">
                  <c:v>264.85390518195561</c:v>
                </c:pt>
                <c:pt idx="42">
                  <c:v>282.29065500591184</c:v>
                </c:pt>
                <c:pt idx="43">
                  <c:v>299.70327852559694</c:v>
                </c:pt>
                <c:pt idx="44">
                  <c:v>317.09337448903153</c:v>
                </c:pt>
                <c:pt idx="45">
                  <c:v>334.46235196533513</c:v>
                </c:pt>
                <c:pt idx="46">
                  <c:v>351.39860979301596</c:v>
                </c:pt>
                <c:pt idx="47">
                  <c:v>368.3169759234454</c:v>
                </c:pt>
                <c:pt idx="48">
                  <c:v>385.21838765576626</c:v>
                </c:pt>
                <c:pt idx="49">
                  <c:v>402.10369334769052</c:v>
                </c:pt>
                <c:pt idx="50">
                  <c:v>418.97366431319239</c:v>
                </c:pt>
                <c:pt idx="51">
                  <c:v>348.92127422322784</c:v>
                </c:pt>
                <c:pt idx="52">
                  <c:v>365.42969930916388</c:v>
                </c:pt>
                <c:pt idx="53">
                  <c:v>381.9218413257197</c:v>
                </c:pt>
                <c:pt idx="54">
                  <c:v>398.39850220884642</c:v>
                </c:pt>
                <c:pt idx="55">
                  <c:v>414.86041216554025</c:v>
                </c:pt>
                <c:pt idx="56">
                  <c:v>430.48617222970438</c:v>
                </c:pt>
                <c:pt idx="57">
                  <c:v>446.0997486227979</c:v>
                </c:pt>
                <c:pt idx="58">
                  <c:v>461.70162769615786</c:v>
                </c:pt>
                <c:pt idx="59">
                  <c:v>477.29226026061059</c:v>
                </c:pt>
                <c:pt idx="60">
                  <c:v>492.87206528378402</c:v>
                </c:pt>
                <c:pt idx="61">
                  <c:v>421.44119734263637</c:v>
                </c:pt>
                <c:pt idx="62">
                  <c:v>436.23993334518991</c:v>
                </c:pt>
                <c:pt idx="63">
                  <c:v>451.02789946978169</c:v>
                </c:pt>
                <c:pt idx="64">
                  <c:v>465.80549848090754</c:v>
                </c:pt>
                <c:pt idx="65">
                  <c:v>480.57310550984766</c:v>
                </c:pt>
                <c:pt idx="66">
                  <c:v>494.51143108208981</c:v>
                </c:pt>
                <c:pt idx="67">
                  <c:v>508.44143309569387</c:v>
                </c:pt>
                <c:pt idx="68">
                  <c:v>522.36337165879229</c:v>
                </c:pt>
                <c:pt idx="69">
                  <c:v>536.27749188826908</c:v>
                </c:pt>
                <c:pt idx="70">
                  <c:v>550.1840251484324</c:v>
                </c:pt>
                <c:pt idx="71">
                  <c:v>476.88212094653812</c:v>
                </c:pt>
                <c:pt idx="72">
                  <c:v>489.59298637351299</c:v>
                </c:pt>
                <c:pt idx="73">
                  <c:v>502.29685299496032</c:v>
                </c:pt>
                <c:pt idx="74">
                  <c:v>514.99392273715932</c:v>
                </c:pt>
                <c:pt idx="75">
                  <c:v>527.68438675921141</c:v>
                </c:pt>
                <c:pt idx="76">
                  <c:v>539.95936220671649</c:v>
                </c:pt>
                <c:pt idx="77">
                  <c:v>552.22847702156594</c:v>
                </c:pt>
                <c:pt idx="78">
                  <c:v>564.49187973331675</c:v>
                </c:pt>
                <c:pt idx="79">
                  <c:v>576.74971189331643</c:v>
                </c:pt>
                <c:pt idx="80">
                  <c:v>589.00210854701243</c:v>
                </c:pt>
                <c:pt idx="81">
                  <c:v>514.58444394878302</c:v>
                </c:pt>
                <c:pt idx="82">
                  <c:v>526.04727227111368</c:v>
                </c:pt>
                <c:pt idx="83">
                  <c:v>537.50484084926495</c:v>
                </c:pt>
                <c:pt idx="84">
                  <c:v>548.95727759070985</c:v>
                </c:pt>
                <c:pt idx="85">
                  <c:v>560.40470463156907</c:v>
                </c:pt>
                <c:pt idx="86">
                  <c:v>571.84723871208746</c:v>
                </c:pt>
                <c:pt idx="87">
                  <c:v>583.28499152050188</c:v>
                </c:pt>
                <c:pt idx="88">
                  <c:v>594.71807000854017</c:v>
                </c:pt>
                <c:pt idx="89">
                  <c:v>606.14657668140785</c:v>
                </c:pt>
                <c:pt idx="90">
                  <c:v>617.57060986476938</c:v>
                </c:pt>
                <c:pt idx="91">
                  <c:v>541.80009933248743</c:v>
                </c:pt>
                <c:pt idx="92">
                  <c:v>551.81959936072451</c:v>
                </c:pt>
                <c:pt idx="93">
                  <c:v>561.835286637698</c:v>
                </c:pt>
                <c:pt idx="94">
                  <c:v>571.84723871208746</c:v>
                </c:pt>
                <c:pt idx="95">
                  <c:v>581.85553019580914</c:v>
                </c:pt>
                <c:pt idx="96">
                  <c:v>591.86023292490802</c:v>
                </c:pt>
                <c:pt idx="97">
                  <c:v>601.86141610900938</c:v>
                </c:pt>
                <c:pt idx="98">
                  <c:v>611.85914647032064</c:v>
                </c:pt>
                <c:pt idx="99">
                  <c:v>621.85348837307845</c:v>
                </c:pt>
                <c:pt idx="100">
                  <c:v>631.84450394424437</c:v>
                </c:pt>
                <c:pt idx="101">
                  <c:v>555.09044325536718</c:v>
                </c:pt>
                <c:pt idx="102">
                  <c:v>564.08319015797451</c:v>
                </c:pt>
                <c:pt idx="103">
                  <c:v>573.07293899689409</c:v>
                </c:pt>
                <c:pt idx="104">
                  <c:v>582.05974343549417</c:v>
                </c:pt>
                <c:pt idx="105">
                  <c:v>591.04365534487806</c:v>
                </c:pt>
                <c:pt idx="106">
                  <c:v>600.0247248906611</c:v>
                </c:pt>
                <c:pt idx="107">
                  <c:v>609.00300061428027</c:v>
                </c:pt>
                <c:pt idx="108">
                  <c:v>617.97852950926267</c:v>
                </c:pt>
                <c:pt idx="109">
                  <c:v>626.95135709283159</c:v>
                </c:pt>
                <c:pt idx="110">
                  <c:v>635.92152747320199</c:v>
                </c:pt>
                <c:pt idx="111">
                  <c:v>563.87884304786473</c:v>
                </c:pt>
                <c:pt idx="112">
                  <c:v>571.43865976099426</c:v>
                </c:pt>
                <c:pt idx="113">
                  <c:v>578.99638763382268</c:v>
                </c:pt>
                <c:pt idx="114">
                  <c:v>586.55205778199286</c:v>
                </c:pt>
                <c:pt idx="115">
                  <c:v>594.10570045401494</c:v>
                </c:pt>
                <c:pt idx="116">
                  <c:v>601.65734506638762</c:v>
                </c:pt>
                <c:pt idx="117">
                  <c:v>609.20702023686624</c:v>
                </c:pt>
                <c:pt idx="118">
                  <c:v>616.75475381599438</c:v>
                </c:pt>
                <c:pt idx="119">
                  <c:v>624.300572917012</c:v>
                </c:pt>
                <c:pt idx="120">
                  <c:v>631.84450394424357</c:v>
                </c:pt>
                <c:pt idx="121">
                  <c:v>566.94388739716328</c:v>
                </c:pt>
                <c:pt idx="122">
                  <c:v>573.48149358555565</c:v>
                </c:pt>
                <c:pt idx="123">
                  <c:v>580.01754370959543</c:v>
                </c:pt>
                <c:pt idx="124">
                  <c:v>586.55205778199274</c:v>
                </c:pt>
                <c:pt idx="125">
                  <c:v>593.08505533306914</c:v>
                </c:pt>
                <c:pt idx="126">
                  <c:v>599.61655542768813</c:v>
                </c:pt>
                <c:pt idx="127">
                  <c:v>606.1465766814066</c:v>
                </c:pt>
                <c:pt idx="128">
                  <c:v>612.67513727589676</c:v>
                </c:pt>
                <c:pt idx="129">
                  <c:v>619.20225497367471</c:v>
                </c:pt>
                <c:pt idx="130">
                  <c:v>625.72794713217661</c:v>
                </c:pt>
                <c:pt idx="131">
                  <c:v>567.96549176174028</c:v>
                </c:pt>
                <c:pt idx="132">
                  <c:v>573.48149358555554</c:v>
                </c:pt>
                <c:pt idx="133">
                  <c:v>578.99638763382234</c:v>
                </c:pt>
                <c:pt idx="134">
                  <c:v>584.51018595041944</c:v>
                </c:pt>
                <c:pt idx="135">
                  <c:v>590.0229003333842</c:v>
                </c:pt>
                <c:pt idx="136">
                  <c:v>595.53454234222977</c:v>
                </c:pt>
                <c:pt idx="137">
                  <c:v>601.04512330498039</c:v>
                </c:pt>
                <c:pt idx="138">
                  <c:v>606.55465432493247</c:v>
                </c:pt>
                <c:pt idx="139">
                  <c:v>612.06314628715938</c:v>
                </c:pt>
                <c:pt idx="140">
                  <c:v>617.57060986476779</c:v>
                </c:pt>
                <c:pt idx="141">
                  <c:v>567.35253375731406</c:v>
                </c:pt>
                <c:pt idx="142">
                  <c:v>572.25581156511964</c:v>
                </c:pt>
                <c:pt idx="143">
                  <c:v>577.15821195532533</c:v>
                </c:pt>
                <c:pt idx="144">
                  <c:v>582.05974343549315</c:v>
                </c:pt>
                <c:pt idx="145">
                  <c:v>586.96041435814834</c:v>
                </c:pt>
                <c:pt idx="146">
                  <c:v>591.86023292490643</c:v>
                </c:pt>
                <c:pt idx="147">
                  <c:v>596.75920719045291</c:v>
                </c:pt>
                <c:pt idx="148">
                  <c:v>601.65734506638671</c:v>
                </c:pt>
                <c:pt idx="149">
                  <c:v>606.55465432493213</c:v>
                </c:pt>
                <c:pt idx="150">
                  <c:v>611.45114260252456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12425648"/>
        <c:axId val="-2012408240"/>
      </c:scatterChart>
      <c:valAx>
        <c:axId val="-20124256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12408240"/>
        <c:crosses val="autoZero"/>
        <c:crossBetween val="midCat"/>
      </c:valAx>
      <c:valAx>
        <c:axId val="-2012408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124256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3.0898083550192936</c:v>
                </c:pt>
                <c:pt idx="2">
                  <c:v>4.2752189748172169</c:v>
                </c:pt>
                <c:pt idx="3">
                  <c:v>5.9173307660267902</c:v>
                </c:pt>
                <c:pt idx="4">
                  <c:v>8.1927891834051447</c:v>
                </c:pt>
                <c:pt idx="5">
                  <c:v>11.346813146958874</c:v>
                </c:pt>
                <c:pt idx="6">
                  <c:v>15.71990465372509</c:v>
                </c:pt>
                <c:pt idx="7">
                  <c:v>21.784993869357283</c:v>
                </c:pt>
                <c:pt idx="8">
                  <c:v>30.199108249502064</c:v>
                </c:pt>
                <c:pt idx="9">
                  <c:v>41.875260153244504</c:v>
                </c:pt>
                <c:pt idx="10">
                  <c:v>58.082485530805059</c:v>
                </c:pt>
                <c:pt idx="11">
                  <c:v>75.154841693095705</c:v>
                </c:pt>
                <c:pt idx="12">
                  <c:v>92.127784973737278</c:v>
                </c:pt>
                <c:pt idx="13">
                  <c:v>109.02232487304228</c:v>
                </c:pt>
                <c:pt idx="14">
                  <c:v>125.85236526427531</c:v>
                </c:pt>
                <c:pt idx="15">
                  <c:v>142.62776454340624</c:v>
                </c:pt>
                <c:pt idx="16">
                  <c:v>163.91063857007143</c:v>
                </c:pt>
                <c:pt idx="17">
                  <c:v>185.12813798476131</c:v>
                </c:pt>
                <c:pt idx="18">
                  <c:v>206.2888147034578</c:v>
                </c:pt>
                <c:pt idx="19">
                  <c:v>227.39931901765999</c:v>
                </c:pt>
                <c:pt idx="20">
                  <c:v>248.46496383915087</c:v>
                </c:pt>
                <c:pt idx="21">
                  <c:v>165.80757333279712</c:v>
                </c:pt>
                <c:pt idx="22">
                  <c:v>185.12813798476131</c:v>
                </c:pt>
                <c:pt idx="23">
                  <c:v>204.40159586063612</c:v>
                </c:pt>
                <c:pt idx="24">
                  <c:v>223.63301478908227</c:v>
                </c:pt>
                <c:pt idx="25">
                  <c:v>242.8265187332286</c:v>
                </c:pt>
                <c:pt idx="26">
                  <c:v>261.23480530332813</c:v>
                </c:pt>
                <c:pt idx="27">
                  <c:v>279.6138100199654</c:v>
                </c:pt>
                <c:pt idx="28">
                  <c:v>297.96572801830717</c:v>
                </c:pt>
                <c:pt idx="29">
                  <c:v>316.2924619195548</c:v>
                </c:pt>
                <c:pt idx="30">
                  <c:v>334.59567585759896</c:v>
                </c:pt>
                <c:pt idx="31">
                  <c:v>252.5979741368192</c:v>
                </c:pt>
                <c:pt idx="32">
                  <c:v>269.8651901159887</c:v>
                </c:pt>
                <c:pt idx="33">
                  <c:v>287.10754659858628</c:v>
                </c:pt>
                <c:pt idx="34">
                  <c:v>304.32674644619152</c:v>
                </c:pt>
                <c:pt idx="35">
                  <c:v>321.52428406625791</c:v>
                </c:pt>
                <c:pt idx="36">
                  <c:v>337.95505284834667</c:v>
                </c:pt>
                <c:pt idx="37">
                  <c:v>354.36824410252297</c:v>
                </c:pt>
                <c:pt idx="38">
                  <c:v>370.76478640470532</c:v>
                </c:pt>
                <c:pt idx="39">
                  <c:v>387.145519509954</c:v>
                </c:pt>
                <c:pt idx="40">
                  <c:v>403.5112063253232</c:v>
                </c:pt>
                <c:pt idx="41">
                  <c:v>317.78746245668049</c:v>
                </c:pt>
                <c:pt idx="42">
                  <c:v>332.72903457884468</c:v>
                </c:pt>
                <c:pt idx="43">
                  <c:v>347.65581965898082</c:v>
                </c:pt>
                <c:pt idx="44">
                  <c:v>362.56854195764816</c:v>
                </c:pt>
                <c:pt idx="45">
                  <c:v>377.46786129486037</c:v>
                </c:pt>
                <c:pt idx="46">
                  <c:v>391.23832354179859</c:v>
                </c:pt>
                <c:pt idx="47">
                  <c:v>404.99827447558869</c:v>
                </c:pt>
                <c:pt idx="48">
                  <c:v>418.74812151045376</c:v>
                </c:pt>
                <c:pt idx="49">
                  <c:v>432.48824312398892</c:v>
                </c:pt>
                <c:pt idx="50">
                  <c:v>446.21899178570385</c:v>
                </c:pt>
                <c:pt idx="51">
                  <c:v>365.5494579858867</c:v>
                </c:pt>
                <c:pt idx="52">
                  <c:v>377.84017788163425</c:v>
                </c:pt>
                <c:pt idx="53">
                  <c:v>390.122196844087</c:v>
                </c:pt>
                <c:pt idx="54">
                  <c:v>402.39582743654279</c:v>
                </c:pt>
                <c:pt idx="55">
                  <c:v>414.66136159701699</c:v>
                </c:pt>
                <c:pt idx="56">
                  <c:v>425.8050516370493</c:v>
                </c:pt>
                <c:pt idx="57">
                  <c:v>436.94246952460441</c:v>
                </c:pt>
                <c:pt idx="58">
                  <c:v>448.07379769140465</c:v>
                </c:pt>
                <c:pt idx="59">
                  <c:v>459.19920876443285</c:v>
                </c:pt>
                <c:pt idx="60">
                  <c:v>470.31886632272835</c:v>
                </c:pt>
                <c:pt idx="61">
                  <c:v>399.04928851891128</c:v>
                </c:pt>
                <c:pt idx="62">
                  <c:v>409.45877253580034</c:v>
                </c:pt>
                <c:pt idx="63">
                  <c:v>419.86254283875809</c:v>
                </c:pt>
                <c:pt idx="64">
                  <c:v>430.26076100517821</c:v>
                </c:pt>
                <c:pt idx="65">
                  <c:v>440.653580163588</c:v>
                </c:pt>
                <c:pt idx="66">
                  <c:v>449.92843925372944</c:v>
                </c:pt>
                <c:pt idx="67">
                  <c:v>459.19920876443285</c:v>
                </c:pt>
                <c:pt idx="68">
                  <c:v>468.46598292660593</c:v>
                </c:pt>
                <c:pt idx="69">
                  <c:v>477.72885193803222</c:v>
                </c:pt>
                <c:pt idx="70">
                  <c:v>486.98790221252949</c:v>
                </c:pt>
                <c:pt idx="71">
                  <c:v>424.69096797933253</c:v>
                </c:pt>
                <c:pt idx="72">
                  <c:v>432.85946614650533</c:v>
                </c:pt>
                <c:pt idx="73">
                  <c:v>441.02465426855332</c:v>
                </c:pt>
                <c:pt idx="74">
                  <c:v>449.18660230031583</c:v>
                </c:pt>
                <c:pt idx="75">
                  <c:v>457.34537744583628</c:v>
                </c:pt>
                <c:pt idx="76">
                  <c:v>464.75974684356009</c:v>
                </c:pt>
                <c:pt idx="77">
                  <c:v>472.17159422788433</c:v>
                </c:pt>
                <c:pt idx="78">
                  <c:v>479.58096479059623</c:v>
                </c:pt>
                <c:pt idx="79">
                  <c:v>486.98790221252949</c:v>
                </c:pt>
                <c:pt idx="80">
                  <c:v>494.39244873679627</c:v>
                </c:pt>
                <c:pt idx="81">
                  <c:v>443.62198593261041</c:v>
                </c:pt>
                <c:pt idx="82">
                  <c:v>450.29934791321972</c:v>
                </c:pt>
                <c:pt idx="83">
                  <c:v>456.97459194094728</c:v>
                </c:pt>
                <c:pt idx="84">
                  <c:v>463.6477533371106</c:v>
                </c:pt>
                <c:pt idx="85">
                  <c:v>470.3188663227283</c:v>
                </c:pt>
                <c:pt idx="86">
                  <c:v>475.8765863473584</c:v>
                </c:pt>
                <c:pt idx="87">
                  <c:v>481.43292557887906</c:v>
                </c:pt>
                <c:pt idx="88">
                  <c:v>486.98790221252949</c:v>
                </c:pt>
                <c:pt idx="89">
                  <c:v>492.54153399430999</c:v>
                </c:pt>
                <c:pt idx="90">
                  <c:v>498.09383823712534</c:v>
                </c:pt>
                <c:pt idx="91">
                  <c:v>455.49138558575538</c:v>
                </c:pt>
                <c:pt idx="92">
                  <c:v>461.05288028198476</c:v>
                </c:pt>
                <c:pt idx="93">
                  <c:v>466.61294333655422</c:v>
                </c:pt>
                <c:pt idx="94">
                  <c:v>472.17159422788433</c:v>
                </c:pt>
                <c:pt idx="95">
                  <c:v>477.72885193803222</c:v>
                </c:pt>
                <c:pt idx="96">
                  <c:v>483.28473497109491</c:v>
                </c:pt>
                <c:pt idx="97">
                  <c:v>488.83926137072314</c:v>
                </c:pt>
                <c:pt idx="98">
                  <c:v>494.39244873679627</c:v>
                </c:pt>
                <c:pt idx="99">
                  <c:v>499.94431424130977</c:v>
                </c:pt>
                <c:pt idx="100">
                  <c:v>505.49487464351938</c:v>
                </c:pt>
                <c:pt idx="101">
                  <c:v>461.05288028198476</c:v>
                </c:pt>
                <c:pt idx="102">
                  <c:v>461.05288028198476</c:v>
                </c:pt>
                <c:pt idx="103">
                  <c:v>461.05288028198476</c:v>
                </c:pt>
                <c:pt idx="104">
                  <c:v>461.05288028198476</c:v>
                </c:pt>
                <c:pt idx="105">
                  <c:v>461.05288028198476</c:v>
                </c:pt>
                <c:pt idx="106">
                  <c:v>461.05288028198476</c:v>
                </c:pt>
                <c:pt idx="107">
                  <c:v>461.05288028198476</c:v>
                </c:pt>
                <c:pt idx="108">
                  <c:v>461.05288028198476</c:v>
                </c:pt>
                <c:pt idx="109">
                  <c:v>461.05288028198476</c:v>
                </c:pt>
                <c:pt idx="110">
                  <c:v>461.05288028198476</c:v>
                </c:pt>
                <c:pt idx="111">
                  <c:v>461.05288028198476</c:v>
                </c:pt>
                <c:pt idx="112">
                  <c:v>461.05288028198476</c:v>
                </c:pt>
                <c:pt idx="113">
                  <c:v>461.05288028198476</c:v>
                </c:pt>
                <c:pt idx="114">
                  <c:v>461.05288028198476</c:v>
                </c:pt>
                <c:pt idx="115">
                  <c:v>461.05288028198476</c:v>
                </c:pt>
                <c:pt idx="116">
                  <c:v>461.05288028198476</c:v>
                </c:pt>
                <c:pt idx="117">
                  <c:v>461.05288028198476</c:v>
                </c:pt>
                <c:pt idx="118">
                  <c:v>461.05288028198476</c:v>
                </c:pt>
                <c:pt idx="119">
                  <c:v>461.05288028198476</c:v>
                </c:pt>
                <c:pt idx="120">
                  <c:v>461.05288028198476</c:v>
                </c:pt>
                <c:pt idx="121">
                  <c:v>461.05288028198476</c:v>
                </c:pt>
                <c:pt idx="122">
                  <c:v>461.05288028198476</c:v>
                </c:pt>
                <c:pt idx="123">
                  <c:v>461.05288028198476</c:v>
                </c:pt>
                <c:pt idx="124">
                  <c:v>461.05288028198476</c:v>
                </c:pt>
                <c:pt idx="125">
                  <c:v>461.05288028198476</c:v>
                </c:pt>
                <c:pt idx="126">
                  <c:v>461.05288028198476</c:v>
                </c:pt>
                <c:pt idx="127">
                  <c:v>461.05288028198476</c:v>
                </c:pt>
                <c:pt idx="128">
                  <c:v>461.05288028198476</c:v>
                </c:pt>
                <c:pt idx="129">
                  <c:v>461.05288028198476</c:v>
                </c:pt>
                <c:pt idx="130">
                  <c:v>461.05288028198476</c:v>
                </c:pt>
                <c:pt idx="131">
                  <c:v>461.05288028198476</c:v>
                </c:pt>
                <c:pt idx="132">
                  <c:v>461.05288028198476</c:v>
                </c:pt>
                <c:pt idx="133">
                  <c:v>461.05288028198476</c:v>
                </c:pt>
                <c:pt idx="134">
                  <c:v>461.05288028198476</c:v>
                </c:pt>
                <c:pt idx="135">
                  <c:v>461.05288028198476</c:v>
                </c:pt>
                <c:pt idx="136">
                  <c:v>461.05288028198476</c:v>
                </c:pt>
                <c:pt idx="137">
                  <c:v>461.05288028198476</c:v>
                </c:pt>
                <c:pt idx="138">
                  <c:v>461.05288028198476</c:v>
                </c:pt>
                <c:pt idx="139">
                  <c:v>461.05288028198476</c:v>
                </c:pt>
                <c:pt idx="140">
                  <c:v>461.05288028198476</c:v>
                </c:pt>
                <c:pt idx="141">
                  <c:v>461.05288028198476</c:v>
                </c:pt>
                <c:pt idx="142">
                  <c:v>461.05288028198476</c:v>
                </c:pt>
                <c:pt idx="143">
                  <c:v>461.05288028198476</c:v>
                </c:pt>
                <c:pt idx="144">
                  <c:v>461.05288028198476</c:v>
                </c:pt>
                <c:pt idx="145">
                  <c:v>461.05288028198476</c:v>
                </c:pt>
                <c:pt idx="146">
                  <c:v>461.05288028198476</c:v>
                </c:pt>
                <c:pt idx="147">
                  <c:v>461.05288028198476</c:v>
                </c:pt>
                <c:pt idx="148">
                  <c:v>461.05288028198476</c:v>
                </c:pt>
                <c:pt idx="149">
                  <c:v>461.05288028198476</c:v>
                </c:pt>
                <c:pt idx="150">
                  <c:v>461.05288028198476</c:v>
                </c:pt>
                <c:pt idx="151">
                  <c:v>461.05288028198476</c:v>
                </c:pt>
                <c:pt idx="152">
                  <c:v>461.05288028198476</c:v>
                </c:pt>
                <c:pt idx="153">
                  <c:v>461.05288028198476</c:v>
                </c:pt>
                <c:pt idx="154">
                  <c:v>461.05288028198476</c:v>
                </c:pt>
                <c:pt idx="155">
                  <c:v>461.05288028198476</c:v>
                </c:pt>
                <c:pt idx="156">
                  <c:v>461.05288028198476</c:v>
                </c:pt>
                <c:pt idx="157">
                  <c:v>461.05288028198476</c:v>
                </c:pt>
                <c:pt idx="158">
                  <c:v>461.05288028198476</c:v>
                </c:pt>
                <c:pt idx="159">
                  <c:v>461.05288028198476</c:v>
                </c:pt>
                <c:pt idx="160">
                  <c:v>461.05288028198476</c:v>
                </c:pt>
                <c:pt idx="161">
                  <c:v>461.05288028198476</c:v>
                </c:pt>
                <c:pt idx="162">
                  <c:v>461.05288028198476</c:v>
                </c:pt>
                <c:pt idx="163">
                  <c:v>461.05288028198476</c:v>
                </c:pt>
                <c:pt idx="164">
                  <c:v>461.05288028198476</c:v>
                </c:pt>
                <c:pt idx="165">
                  <c:v>461.05288028198476</c:v>
                </c:pt>
                <c:pt idx="166">
                  <c:v>461.05288028198476</c:v>
                </c:pt>
                <c:pt idx="167">
                  <c:v>461.05288028198476</c:v>
                </c:pt>
                <c:pt idx="168">
                  <c:v>461.05288028198476</c:v>
                </c:pt>
                <c:pt idx="169">
                  <c:v>461.05288028198476</c:v>
                </c:pt>
                <c:pt idx="170">
                  <c:v>461.05288028198476</c:v>
                </c:pt>
                <c:pt idx="171">
                  <c:v>461.05288028198476</c:v>
                </c:pt>
                <c:pt idx="172">
                  <c:v>461.05288028198476</c:v>
                </c:pt>
                <c:pt idx="173">
                  <c:v>461.05288028198476</c:v>
                </c:pt>
                <c:pt idx="174">
                  <c:v>461.05288028198476</c:v>
                </c:pt>
                <c:pt idx="175">
                  <c:v>461.05288028198476</c:v>
                </c:pt>
                <c:pt idx="176">
                  <c:v>461.05288028198476</c:v>
                </c:pt>
                <c:pt idx="177">
                  <c:v>461.05288028198476</c:v>
                </c:pt>
                <c:pt idx="178">
                  <c:v>461.05288028198476</c:v>
                </c:pt>
                <c:pt idx="179">
                  <c:v>461.05288028198476</c:v>
                </c:pt>
                <c:pt idx="180">
                  <c:v>461.05288028198476</c:v>
                </c:pt>
                <c:pt idx="181">
                  <c:v>461.05288028198476</c:v>
                </c:pt>
                <c:pt idx="182">
                  <c:v>461.05288028198476</c:v>
                </c:pt>
                <c:pt idx="183">
                  <c:v>461.05288028198476</c:v>
                </c:pt>
                <c:pt idx="184">
                  <c:v>461.05288028198476</c:v>
                </c:pt>
                <c:pt idx="185">
                  <c:v>461.05288028198476</c:v>
                </c:pt>
                <c:pt idx="186">
                  <c:v>461.05288028198476</c:v>
                </c:pt>
                <c:pt idx="187">
                  <c:v>461.05288028198476</c:v>
                </c:pt>
                <c:pt idx="188">
                  <c:v>461.05288028198476</c:v>
                </c:pt>
                <c:pt idx="189">
                  <c:v>461.05288028198476</c:v>
                </c:pt>
                <c:pt idx="190">
                  <c:v>461.05288028198476</c:v>
                </c:pt>
                <c:pt idx="191">
                  <c:v>461.05288028198476</c:v>
                </c:pt>
                <c:pt idx="192">
                  <c:v>461.05288028198476</c:v>
                </c:pt>
                <c:pt idx="193">
                  <c:v>461.05288028198476</c:v>
                </c:pt>
                <c:pt idx="194">
                  <c:v>461.05288028198476</c:v>
                </c:pt>
                <c:pt idx="195">
                  <c:v>461.05288028198476</c:v>
                </c:pt>
                <c:pt idx="196">
                  <c:v>461.05288028198476</c:v>
                </c:pt>
                <c:pt idx="197">
                  <c:v>461.05288028198476</c:v>
                </c:pt>
                <c:pt idx="198">
                  <c:v>461.05288028198476</c:v>
                </c:pt>
                <c:pt idx="199">
                  <c:v>461.05288028198476</c:v>
                </c:pt>
                <c:pt idx="200">
                  <c:v>461.05288028198476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12408784"/>
        <c:axId val="-2012407696"/>
      </c:scatterChart>
      <c:valAx>
        <c:axId val="-20124087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12407696"/>
        <c:crosses val="autoZero"/>
        <c:crossBetween val="midCat"/>
      </c:valAx>
      <c:valAx>
        <c:axId val="-201240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124087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4.3926046297979076</c:v>
                </c:pt>
                <c:pt idx="2">
                  <c:v>8.3612614966873711</c:v>
                </c:pt>
                <c:pt idx="3">
                  <c:v>15.935083980933408</c:v>
                </c:pt>
                <c:pt idx="4">
                  <c:v>30.405468314778947</c:v>
                </c:pt>
                <c:pt idx="5">
                  <c:v>58.082485530805052</c:v>
                </c:pt>
                <c:pt idx="6">
                  <c:v>80.165002252238452</c:v>
                </c:pt>
                <c:pt idx="7">
                  <c:v>102.09197798314808</c:v>
                </c:pt>
                <c:pt idx="8">
                  <c:v>123.90184283210725</c:v>
                </c:pt>
                <c:pt idx="9">
                  <c:v>145.61821239345747</c:v>
                </c:pt>
                <c:pt idx="10">
                  <c:v>167.25702755094335</c:v>
                </c:pt>
                <c:pt idx="11">
                  <c:v>188.43805162103794</c:v>
                </c:pt>
                <c:pt idx="12">
                  <c:v>209.5635422593634</c:v>
                </c:pt>
                <c:pt idx="13">
                  <c:v>230.63988637237389</c:v>
                </c:pt>
                <c:pt idx="14">
                  <c:v>251.67220666437959</c:v>
                </c:pt>
                <c:pt idx="15">
                  <c:v>272.6646989766358</c:v>
                </c:pt>
                <c:pt idx="16">
                  <c:v>292.06972985560304</c:v>
                </c:pt>
                <c:pt idx="17">
                  <c:v>311.445977545365</c:v>
                </c:pt>
                <c:pt idx="18">
                  <c:v>330.79548404889391</c:v>
                </c:pt>
                <c:pt idx="19">
                  <c:v>350.1200330013915</c:v>
                </c:pt>
                <c:pt idx="20">
                  <c:v>369.42119511414558</c:v>
                </c:pt>
                <c:pt idx="21">
                  <c:v>277.32465175371152</c:v>
                </c:pt>
                <c:pt idx="22">
                  <c:v>293.62085999795471</c:v>
                </c:pt>
                <c:pt idx="23">
                  <c:v>309.89688707897216</c:v>
                </c:pt>
                <c:pt idx="24">
                  <c:v>326.1539420224164</c:v>
                </c:pt>
                <c:pt idx="25">
                  <c:v>342.39310348379212</c:v>
                </c:pt>
                <c:pt idx="26">
                  <c:v>355.91277070439509</c:v>
                </c:pt>
                <c:pt idx="27">
                  <c:v>369.42119511414558</c:v>
                </c:pt>
                <c:pt idx="28">
                  <c:v>382.9188457551441</c:v>
                </c:pt>
                <c:pt idx="29">
                  <c:v>396.40615590256044</c:v>
                </c:pt>
                <c:pt idx="30">
                  <c:v>409.88352694182049</c:v>
                </c:pt>
                <c:pt idx="31">
                  <c:v>382.14783395214198</c:v>
                </c:pt>
                <c:pt idx="32">
                  <c:v>392.93895526469396</c:v>
                </c:pt>
                <c:pt idx="33">
                  <c:v>403.72365187948748</c:v>
                </c:pt>
                <c:pt idx="34">
                  <c:v>414.50211965810939</c:v>
                </c:pt>
                <c:pt idx="35">
                  <c:v>425.27454344239959</c:v>
                </c:pt>
                <c:pt idx="36">
                  <c:v>434.88781420496633</c:v>
                </c:pt>
                <c:pt idx="37">
                  <c:v>444.49652417922852</c:v>
                </c:pt>
                <c:pt idx="38">
                  <c:v>454.10078588624373</c:v>
                </c:pt>
                <c:pt idx="39">
                  <c:v>463.70070669781398</c:v>
                </c:pt>
                <c:pt idx="40">
                  <c:v>473.29638917614938</c:v>
                </c:pt>
                <c:pt idx="41">
                  <c:v>482.88793138455003</c:v>
                </c:pt>
                <c:pt idx="42">
                  <c:v>492.47542717211553</c:v>
                </c:pt>
                <c:pt idx="43">
                  <c:v>502.05896643512551</c:v>
                </c:pt>
                <c:pt idx="44">
                  <c:v>511.63863535742729</c:v>
                </c:pt>
                <c:pt idx="45">
                  <c:v>521.21451663187679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12407152"/>
        <c:axId val="-2012423472"/>
      </c:scatterChart>
      <c:valAx>
        <c:axId val="-20124071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12423472"/>
        <c:crosses val="autoZero"/>
        <c:crossBetween val="midCat"/>
      </c:valAx>
      <c:valAx>
        <c:axId val="-201242347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124071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1" t="s">
        <v>291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</row>
    <row r="13" spans="2:13" ht="15" customHeight="1" x14ac:dyDescent="0.3"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2:13" ht="15" customHeight="1" x14ac:dyDescent="0.3"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</row>
    <row r="15" spans="2:13" ht="18.75" customHeight="1" x14ac:dyDescent="0.3"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3" ht="18.75" customHeight="1" x14ac:dyDescent="0.3"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8" spans="2:13" ht="12" customHeight="1" x14ac:dyDescent="0.3">
      <c r="B18" s="291" t="s">
        <v>292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</row>
    <row r="19" spans="2:13" ht="12" customHeight="1" x14ac:dyDescent="0.3"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</row>
    <row r="20" spans="2:13" ht="12" customHeight="1" x14ac:dyDescent="0.3"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</row>
    <row r="21" spans="2:13" ht="12" customHeight="1" x14ac:dyDescent="0.3"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ht="12" customHeight="1" x14ac:dyDescent="0.3"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 spans="2:13" ht="12" customHeight="1" x14ac:dyDescent="0.3"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2:13" ht="12" customHeight="1" x14ac:dyDescent="0.3"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</row>
    <row r="25" spans="2:13" ht="12" customHeight="1" x14ac:dyDescent="0.3"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2:13" ht="12" customHeight="1" x14ac:dyDescent="0.3"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ht="12" customHeight="1" x14ac:dyDescent="0.3"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ht="12" customHeight="1" x14ac:dyDescent="0.3"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ht="12" customHeight="1" x14ac:dyDescent="0.3"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</row>
    <row r="30" spans="2:13" ht="12" customHeight="1" x14ac:dyDescent="0.3"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</row>
    <row r="31" spans="2:13" ht="12" customHeight="1" x14ac:dyDescent="0.3"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199" zoomScale="80" zoomScaleNormal="80" workbookViewId="0">
      <selection activeCell="L215" sqref="L215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6" t="s">
        <v>190</v>
      </c>
      <c r="D1" s="296"/>
      <c r="E1" s="29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7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7" t="s">
        <v>192</v>
      </c>
      <c r="C3" s="298"/>
      <c r="D3" s="298"/>
      <c r="E3" s="298"/>
      <c r="F3" s="299"/>
      <c r="G3" s="95"/>
      <c r="I3" s="227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7"/>
      <c r="I4" s="227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3" t="s">
        <v>231</v>
      </c>
      <c r="B5" s="303"/>
      <c r="C5" s="26">
        <v>3.01</v>
      </c>
      <c r="D5" s="304" t="s">
        <v>229</v>
      </c>
      <c r="E5" s="305"/>
      <c r="F5" s="97"/>
      <c r="G5" s="237"/>
      <c r="H5" s="238"/>
      <c r="I5" s="238"/>
      <c r="J5" s="246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39"/>
      <c r="H6" s="240"/>
      <c r="I6" s="240"/>
      <c r="J6" s="247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1" t="s">
        <v>226</v>
      </c>
      <c r="B7" s="301"/>
      <c r="C7" s="97"/>
      <c r="D7" s="97"/>
      <c r="E7" s="5"/>
      <c r="F7" s="97"/>
      <c r="G7" s="237"/>
      <c r="H7" s="238"/>
      <c r="I7" s="238"/>
      <c r="J7" s="246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2"/>
      <c r="J8" s="246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14</v>
      </c>
      <c r="C9" s="35">
        <v>0.4</v>
      </c>
      <c r="D9" s="36">
        <f t="shared" ref="D9:D18" si="0">C9*$C$5</f>
        <v>1.204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7" t="s">
        <v>306</v>
      </c>
      <c r="I9" s="253"/>
      <c r="J9" s="246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8</v>
      </c>
      <c r="C10" s="35">
        <v>0.1</v>
      </c>
      <c r="D10" s="36">
        <f t="shared" si="0"/>
        <v>0.30099999999999999</v>
      </c>
      <c r="E10" s="37">
        <v>80</v>
      </c>
      <c r="F10" s="38" t="str">
        <f t="array" ref="F10">IF(E10="","",IF(INDEX(A:A,MAX(IF(ISNUMBER($A$62:$A$81),ROW($A$62:$A$81),"")))&lt;&gt;E10,"Corrigez : révolution incorrecte","OK"))</f>
        <v>OK</v>
      </c>
      <c r="I10" s="253"/>
      <c r="J10" s="246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12</v>
      </c>
      <c r="C11" s="35">
        <v>0.1</v>
      </c>
      <c r="D11" s="36">
        <f t="shared" si="0"/>
        <v>0.30099999999999999</v>
      </c>
      <c r="E11" s="37">
        <v>150</v>
      </c>
      <c r="F11" s="38" t="str">
        <f t="array" ref="F11">IF(E11="","",IF(INDEX(A:A,MAX(IF(ISNUMBER($A$88:$A$107),ROW($A$88:$A$107),"")))&lt;&gt;E11,"Corrigez : révolution incorrecte","OK"))</f>
        <v>OK</v>
      </c>
      <c r="H11" s="230"/>
      <c r="I11" s="253"/>
      <c r="J11" s="246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25</v>
      </c>
      <c r="C12" s="35">
        <v>0.05</v>
      </c>
      <c r="D12" s="36">
        <f t="shared" si="0"/>
        <v>0.15049999999999999</v>
      </c>
      <c r="E12" s="37">
        <v>150</v>
      </c>
      <c r="F12" s="38" t="str">
        <f t="array" ref="F12">IF(E12="","",IF(INDEX(A:A,MAX(IF(ISNUMBER($A$114:$A$133),ROW($A$114:$A$133),"")))&lt;&gt;E12,"Corrigez : révolution incorrecte","OK"))</f>
        <v>OK</v>
      </c>
      <c r="H12" s="230"/>
      <c r="I12" s="253"/>
      <c r="J12" s="246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29</v>
      </c>
      <c r="C13" s="35">
        <v>0.05</v>
      </c>
      <c r="D13" s="36">
        <f t="shared" si="0"/>
        <v>0.15049999999999999</v>
      </c>
      <c r="E13" s="37">
        <v>69</v>
      </c>
      <c r="F13" s="38" t="str">
        <f t="array" ref="F13">IF(E13="","",IF(INDEX(A:A,MAX(IF(ISNUMBER($A$140:$A$159),ROW($A$140:$A$159),"")))&lt;&gt;E13,"Corrigez : révolution incorrecte","OK"))</f>
        <v>OK</v>
      </c>
      <c r="H13" s="230"/>
      <c r="I13" s="253"/>
      <c r="J13" s="246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 t="s">
        <v>6</v>
      </c>
      <c r="C14" s="35">
        <v>0.05</v>
      </c>
      <c r="D14" s="36">
        <f t="shared" si="0"/>
        <v>0.15049999999999999</v>
      </c>
      <c r="E14" s="37">
        <v>120</v>
      </c>
      <c r="F14" s="38" t="str">
        <f t="array" ref="F14">IF(E14="","",IF(INDEX(A:A,MAX(IF(ISNUMBER($A$166:$A$185),ROW($A$166:$A$185),"")))&lt;&gt;E14,"Corrigez : révolution incorrecte","OK"))</f>
        <v>OK</v>
      </c>
      <c r="H14" s="230"/>
      <c r="I14" s="253"/>
      <c r="J14" s="246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 t="s">
        <v>1</v>
      </c>
      <c r="C15" s="35">
        <v>0.1</v>
      </c>
      <c r="D15" s="36">
        <f t="shared" si="0"/>
        <v>0.30099999999999999</v>
      </c>
      <c r="E15" s="37">
        <v>150</v>
      </c>
      <c r="F15" s="38" t="str">
        <f t="array" ref="F15">IF(E15="","",IF(INDEX(A:A,MAX(IF(ISNUMBER($A$192:$A$211),ROW($A$192:$A$211),"")))&lt;&gt;E15,"Corrigez : révolution incorrecte","OK"))</f>
        <v>OK</v>
      </c>
      <c r="H15" s="230"/>
      <c r="I15" s="253"/>
      <c r="J15" s="246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 t="s">
        <v>13</v>
      </c>
      <c r="C16" s="35">
        <v>0.05</v>
      </c>
      <c r="D16" s="36">
        <f t="shared" si="0"/>
        <v>0.15049999999999999</v>
      </c>
      <c r="E16" s="37">
        <v>100</v>
      </c>
      <c r="F16" s="38" t="str">
        <f t="array" ref="F16">IF(E16="","",IF(INDEX(A:A,MAX(IF(ISNUMBER($A$218:$A$237),ROW($A$218:$A$237),"")))&lt;&gt;E16,"Corrigez : révolution incorrecte","OK"))</f>
        <v>OK</v>
      </c>
      <c r="H16" s="230"/>
      <c r="I16" s="253"/>
      <c r="J16" s="246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 t="s">
        <v>44</v>
      </c>
      <c r="C17" s="35">
        <v>0.05</v>
      </c>
      <c r="D17" s="36">
        <f t="shared" si="0"/>
        <v>0.15049999999999999</v>
      </c>
      <c r="E17" s="37">
        <v>45</v>
      </c>
      <c r="F17" s="38" t="str">
        <f t="array" ref="F17">IF(E17="","",IF(INDEX(A:A,MAX(IF(ISNUMBER($A$244:$A$263),ROW($A$244:$A$263),"")))&lt;&gt;E17,"Corrigez : révolution incorrecte","OK"))</f>
        <v>OK</v>
      </c>
      <c r="H17" s="230"/>
      <c r="I17" s="253"/>
      <c r="J17" s="246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 t="s">
        <v>50</v>
      </c>
      <c r="C18" s="35">
        <v>0.05</v>
      </c>
      <c r="D18" s="36">
        <f t="shared" si="0"/>
        <v>0.15049999999999999</v>
      </c>
      <c r="E18" s="37">
        <v>110</v>
      </c>
      <c r="F18" s="38" t="str">
        <f t="array" ref="F18">IF(E18="","",IF(INDEX(A:A,MAX(IF(ISNUMBER($A$270:$A$289),ROW($A$270:$A$289),"")))&lt;&gt;E18,"Corrigez : révolution incorrecte","OK"))</f>
        <v>OK</v>
      </c>
      <c r="H18" s="230"/>
      <c r="I18" s="253"/>
      <c r="J18" s="246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1.0000000000000002</v>
      </c>
      <c r="D19" s="41">
        <f>SUM(D9:D18)</f>
        <v>3.0100000000000002</v>
      </c>
      <c r="E19" s="5"/>
      <c r="F19" s="101"/>
      <c r="G19" s="241"/>
      <c r="H19" s="242"/>
      <c r="I19" s="241"/>
      <c r="J19" s="24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8"/>
      <c r="F20" s="240"/>
      <c r="G20" s="240"/>
      <c r="H20" s="242"/>
      <c r="I20" s="241"/>
      <c r="J20" s="24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3"/>
      <c r="I21" s="254"/>
      <c r="J21" s="246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0" t="s">
        <v>232</v>
      </c>
      <c r="B22" s="300"/>
      <c r="C22" s="99"/>
      <c r="H22" s="229"/>
      <c r="I22" s="247"/>
      <c r="J22" s="247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0"/>
      <c r="I23" s="246"/>
      <c r="J23" s="246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4"/>
      <c r="H24" s="230"/>
      <c r="I24" s="244"/>
      <c r="J24" s="24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5"/>
      <c r="H25" s="230"/>
      <c r="I25" s="245"/>
      <c r="J25" s="24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4"/>
      <c r="I26" s="244"/>
      <c r="J26" s="244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4"/>
      <c r="I27" s="244"/>
      <c r="J27" s="244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6"/>
      <c r="I28" s="246"/>
      <c r="J28" s="246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6"/>
      <c r="I29" s="246"/>
      <c r="J29" s="246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2" t="s">
        <v>227</v>
      </c>
      <c r="B30" s="302"/>
      <c r="D30" s="249"/>
      <c r="H30" s="247"/>
      <c r="I30" s="247"/>
      <c r="J30" s="247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6"/>
      <c r="I31" s="246"/>
      <c r="J31" s="246"/>
      <c r="K31" s="249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sessile</v>
      </c>
      <c r="D32" s="258" t="s">
        <v>307</v>
      </c>
      <c r="K32" s="249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49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2" t="s">
        <v>186</v>
      </c>
      <c r="D34" s="292"/>
      <c r="E34" s="293" t="s">
        <v>187</v>
      </c>
      <c r="F34" s="294"/>
      <c r="G34" s="294"/>
      <c r="H34" s="295"/>
      <c r="I34" s="104"/>
      <c r="J34" s="250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1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63">
        <f>67+6</f>
        <v>73</v>
      </c>
      <c r="C36" s="63">
        <v>1</v>
      </c>
      <c r="D36" s="63">
        <v>6</v>
      </c>
      <c r="E36" s="54"/>
      <c r="F36" s="54"/>
      <c r="G36" s="54"/>
      <c r="H36" s="54">
        <v>1</v>
      </c>
      <c r="I36" s="52">
        <f>IFERROR(B36/A36,"")</f>
        <v>3.65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25</v>
      </c>
      <c r="B37" s="63">
        <f>75+28</f>
        <v>103</v>
      </c>
      <c r="C37" s="63"/>
      <c r="D37" s="63"/>
      <c r="E37" s="54"/>
      <c r="F37" s="54"/>
      <c r="G37" s="54"/>
      <c r="H37" s="54"/>
      <c r="I37" s="56">
        <f t="shared" ref="I37:I55" si="1">IF(A37&lt;&gt;0,(B37-(B36-D36))/(A37-A36),"")</f>
        <v>7.2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30</v>
      </c>
      <c r="B38" s="63">
        <f>93+28+28</f>
        <v>149</v>
      </c>
      <c r="C38" s="63">
        <v>2</v>
      </c>
      <c r="D38" s="63">
        <f>28+28</f>
        <v>56</v>
      </c>
      <c r="E38" s="54"/>
      <c r="F38" s="54"/>
      <c r="G38" s="54"/>
      <c r="H38" s="54">
        <v>1</v>
      </c>
      <c r="I38" s="56">
        <f t="shared" si="1"/>
        <v>9.1999999999999993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35</v>
      </c>
      <c r="B39" s="63">
        <f>119+28</f>
        <v>147</v>
      </c>
      <c r="C39" s="63"/>
      <c r="D39" s="63"/>
      <c r="E39" s="54"/>
      <c r="F39" s="54"/>
      <c r="G39" s="54"/>
      <c r="H39" s="54"/>
      <c r="I39" s="52">
        <f t="shared" si="1"/>
        <v>10.8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40</v>
      </c>
      <c r="B40" s="63">
        <f>147+28+28</f>
        <v>203</v>
      </c>
      <c r="C40" s="63">
        <v>3</v>
      </c>
      <c r="D40" s="63">
        <f>28+28</f>
        <v>56</v>
      </c>
      <c r="E40" s="54"/>
      <c r="F40" s="54"/>
      <c r="G40" s="54"/>
      <c r="H40" s="54"/>
      <c r="I40" s="52">
        <f t="shared" si="1"/>
        <v>11.2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45</v>
      </c>
      <c r="B41" s="63">
        <f>176+28</f>
        <v>204</v>
      </c>
      <c r="C41" s="63"/>
      <c r="D41" s="63"/>
      <c r="E41" s="54"/>
      <c r="F41" s="54"/>
      <c r="G41" s="54"/>
      <c r="H41" s="54"/>
      <c r="I41" s="56">
        <f t="shared" si="1"/>
        <v>11.4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50</v>
      </c>
      <c r="B42" s="63">
        <f>203+28+28</f>
        <v>259</v>
      </c>
      <c r="C42" s="63">
        <v>4</v>
      </c>
      <c r="D42" s="63">
        <f>28+28</f>
        <v>56</v>
      </c>
      <c r="E42" s="54"/>
      <c r="F42" s="54"/>
      <c r="G42" s="54"/>
      <c r="H42" s="54"/>
      <c r="I42" s="56">
        <f t="shared" si="1"/>
        <v>11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2">
        <v>55</v>
      </c>
      <c r="B43" s="63">
        <f>226+28</f>
        <v>254</v>
      </c>
      <c r="C43" s="63"/>
      <c r="D43" s="63"/>
      <c r="E43" s="54"/>
      <c r="F43" s="54"/>
      <c r="G43" s="54"/>
      <c r="H43" s="54"/>
      <c r="I43" s="52">
        <f t="shared" si="1"/>
        <v>10.199999999999999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2">
        <v>60</v>
      </c>
      <c r="B44" s="63">
        <f>245+28+28</f>
        <v>301</v>
      </c>
      <c r="C44" s="63">
        <v>5</v>
      </c>
      <c r="D44" s="63">
        <f>28+28</f>
        <v>56</v>
      </c>
      <c r="E44" s="54"/>
      <c r="F44" s="54"/>
      <c r="G44" s="54"/>
      <c r="H44" s="54"/>
      <c r="I44" s="52">
        <f t="shared" si="1"/>
        <v>9.4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2">
        <v>65</v>
      </c>
      <c r="B45" s="63">
        <f>261+28</f>
        <v>289</v>
      </c>
      <c r="C45" s="63"/>
      <c r="D45" s="63"/>
      <c r="E45" s="54"/>
      <c r="F45" s="54"/>
      <c r="G45" s="54"/>
      <c r="H45" s="54"/>
      <c r="I45" s="52">
        <f t="shared" si="1"/>
        <v>8.8000000000000007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2">
        <v>70</v>
      </c>
      <c r="B46" s="63">
        <f>274+28+28</f>
        <v>330</v>
      </c>
      <c r="C46" s="63">
        <v>6</v>
      </c>
      <c r="D46" s="63">
        <f>28+28</f>
        <v>56</v>
      </c>
      <c r="E46" s="54"/>
      <c r="F46" s="54"/>
      <c r="G46" s="54"/>
      <c r="H46" s="54"/>
      <c r="I46" s="52">
        <f t="shared" si="1"/>
        <v>8.1999999999999993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2">
        <v>75</v>
      </c>
      <c r="B47" s="63">
        <f>284+28</f>
        <v>312</v>
      </c>
      <c r="C47" s="63"/>
      <c r="D47" s="63"/>
      <c r="E47" s="54"/>
      <c r="F47" s="54"/>
      <c r="G47" s="54"/>
      <c r="H47" s="54"/>
      <c r="I47" s="52">
        <f t="shared" si="1"/>
        <v>7.6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2">
        <v>80</v>
      </c>
      <c r="B48" s="63">
        <f>292+28+28</f>
        <v>348</v>
      </c>
      <c r="C48" s="63">
        <v>7</v>
      </c>
      <c r="D48" s="63">
        <f>28+28</f>
        <v>56</v>
      </c>
      <c r="E48" s="54"/>
      <c r="F48" s="54"/>
      <c r="G48" s="54"/>
      <c r="H48" s="54"/>
      <c r="I48" s="52">
        <f t="shared" si="1"/>
        <v>7.2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2">
        <v>90</v>
      </c>
      <c r="B49" s="63">
        <f>302+28+28</f>
        <v>358</v>
      </c>
      <c r="C49" s="63">
        <v>8</v>
      </c>
      <c r="D49" s="63">
        <f>28+28</f>
        <v>56</v>
      </c>
      <c r="E49" s="54"/>
      <c r="F49" s="54"/>
      <c r="G49" s="54"/>
      <c r="H49" s="54"/>
      <c r="I49" s="52">
        <f t="shared" si="1"/>
        <v>6.6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2">
        <v>100</v>
      </c>
      <c r="B50" s="53">
        <v>361</v>
      </c>
      <c r="C50" s="53">
        <v>9</v>
      </c>
      <c r="D50" s="53">
        <v>55</v>
      </c>
      <c r="E50" s="54"/>
      <c r="F50" s="54"/>
      <c r="G50" s="54"/>
      <c r="H50" s="54"/>
      <c r="I50" s="52">
        <f t="shared" si="1"/>
        <v>5.9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2">
        <v>110</v>
      </c>
      <c r="B51" s="53">
        <v>358</v>
      </c>
      <c r="C51" s="53">
        <v>10</v>
      </c>
      <c r="D51" s="53">
        <v>51</v>
      </c>
      <c r="E51" s="54"/>
      <c r="F51" s="54"/>
      <c r="G51" s="54"/>
      <c r="H51" s="54"/>
      <c r="I51" s="52">
        <f t="shared" si="1"/>
        <v>5.2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2">
        <v>120</v>
      </c>
      <c r="B52" s="53">
        <v>352</v>
      </c>
      <c r="C52" s="53">
        <v>11</v>
      </c>
      <c r="D52" s="53">
        <v>47</v>
      </c>
      <c r="E52" s="54"/>
      <c r="F52" s="54"/>
      <c r="G52" s="54"/>
      <c r="H52" s="54"/>
      <c r="I52" s="52">
        <f t="shared" si="1"/>
        <v>4.5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2">
        <v>135</v>
      </c>
      <c r="B53" s="53">
        <v>366</v>
      </c>
      <c r="C53" s="53">
        <v>12</v>
      </c>
      <c r="D53" s="53">
        <v>65</v>
      </c>
      <c r="E53" s="54"/>
      <c r="F53" s="54"/>
      <c r="G53" s="54"/>
      <c r="H53" s="54"/>
      <c r="I53" s="52">
        <f t="shared" si="1"/>
        <v>4.0666666666666664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2">
        <v>150</v>
      </c>
      <c r="B54" s="53">
        <v>355</v>
      </c>
      <c r="C54" s="53">
        <v>13</v>
      </c>
      <c r="D54" s="53">
        <v>355</v>
      </c>
      <c r="E54" s="54"/>
      <c r="F54" s="54"/>
      <c r="G54" s="54"/>
      <c r="H54" s="54"/>
      <c r="I54" s="52">
        <f t="shared" si="1"/>
        <v>3.6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2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Châtaignier</v>
      </c>
      <c r="D58" s="258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2" t="s">
        <v>186</v>
      </c>
      <c r="D60" s="292"/>
      <c r="E60" s="293" t="s">
        <v>187</v>
      </c>
      <c r="F60" s="294"/>
      <c r="G60" s="294"/>
      <c r="H60" s="295"/>
      <c r="I60" s="104"/>
      <c r="J60" s="250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1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10</v>
      </c>
      <c r="B62" s="63">
        <v>11.1</v>
      </c>
      <c r="C62" s="63"/>
      <c r="D62" s="63"/>
      <c r="E62" s="54"/>
      <c r="F62" s="54"/>
      <c r="G62" s="54"/>
      <c r="H62" s="93"/>
      <c r="I62" s="56">
        <f>IFERROR(B62/A62,"")</f>
        <v>1.1099999999999999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15</v>
      </c>
      <c r="B63" s="63">
        <f>33+31.5</f>
        <v>64.5</v>
      </c>
      <c r="C63" s="63"/>
      <c r="D63" s="63"/>
      <c r="E63" s="54"/>
      <c r="F63" s="54"/>
      <c r="G63" s="54"/>
      <c r="H63" s="93"/>
      <c r="I63" s="52">
        <f>IF(A63&lt;&gt;0,(B63-(B62-D62))/(A63-A62),"")</f>
        <v>10.68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20</v>
      </c>
      <c r="B64" s="63">
        <f>66.8+31.5+35</f>
        <v>133.30000000000001</v>
      </c>
      <c r="C64" s="63">
        <v>1</v>
      </c>
      <c r="D64" s="63">
        <f>31.5+35</f>
        <v>66.5</v>
      </c>
      <c r="E64" s="93"/>
      <c r="F64" s="93"/>
      <c r="G64" s="93"/>
      <c r="H64" s="93">
        <v>1</v>
      </c>
      <c r="I64" s="52">
        <f>IF(A64&lt;&gt;0,(B64-(B63-D63))/(A64-A63),"")</f>
        <v>13.760000000000002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25</v>
      </c>
      <c r="B65" s="63">
        <f>105.5+35</f>
        <v>140.5</v>
      </c>
      <c r="C65" s="63"/>
      <c r="D65" s="63"/>
      <c r="E65" s="93"/>
      <c r="F65" s="93"/>
      <c r="G65" s="93"/>
      <c r="H65" s="93"/>
      <c r="I65" s="52">
        <f>IF(A65&lt;&gt;0,(B65-(B64-D64))/(A65-A64),"")</f>
        <v>14.739999999999998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30</v>
      </c>
      <c r="B66" s="63">
        <f>141.8+35+35</f>
        <v>211.8</v>
      </c>
      <c r="C66" s="63">
        <v>2</v>
      </c>
      <c r="D66" s="63">
        <f>35+35</f>
        <v>70</v>
      </c>
      <c r="E66" s="93"/>
      <c r="F66" s="93"/>
      <c r="G66" s="93"/>
      <c r="H66" s="93">
        <v>1</v>
      </c>
      <c r="I66" s="52">
        <f t="shared" ref="I66:I81" si="2">IF(A66&lt;&gt;0,(B66-(B65-D65))/(A66-A65),"")</f>
        <v>14.260000000000002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35</v>
      </c>
      <c r="B67" s="63">
        <f>171.4+35</f>
        <v>206.4</v>
      </c>
      <c r="C67" s="63"/>
      <c r="D67" s="63"/>
      <c r="E67" s="93"/>
      <c r="F67" s="93"/>
      <c r="G67" s="93"/>
      <c r="H67" s="93"/>
      <c r="I67" s="52">
        <f t="shared" si="2"/>
        <v>12.919999999999998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40</v>
      </c>
      <c r="B68" s="63">
        <f>193.1+35+35</f>
        <v>263.10000000000002</v>
      </c>
      <c r="C68" s="63">
        <v>3</v>
      </c>
      <c r="D68" s="63">
        <f>35+35</f>
        <v>70</v>
      </c>
      <c r="E68" s="93"/>
      <c r="F68" s="93"/>
      <c r="G68" s="93"/>
      <c r="H68" s="93"/>
      <c r="I68" s="52">
        <f t="shared" si="2"/>
        <v>11.340000000000003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63">
        <v>45</v>
      </c>
      <c r="B69" s="63">
        <f>218+24.2</f>
        <v>242.2</v>
      </c>
      <c r="C69" s="63"/>
      <c r="D69" s="63"/>
      <c r="E69" s="93"/>
      <c r="F69" s="93"/>
      <c r="G69" s="93"/>
      <c r="H69" s="93"/>
      <c r="I69" s="52">
        <f t="shared" si="2"/>
        <v>9.8199999999999932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63">
        <v>50</v>
      </c>
      <c r="B70" s="63">
        <f>241.8+24.2+18.9</f>
        <v>284.89999999999998</v>
      </c>
      <c r="C70" s="63">
        <v>4</v>
      </c>
      <c r="D70" s="63">
        <f>24.2+18.9</f>
        <v>43.099999999999994</v>
      </c>
      <c r="E70" s="93"/>
      <c r="F70" s="93"/>
      <c r="G70" s="93"/>
      <c r="H70" s="93"/>
      <c r="I70" s="52">
        <f t="shared" si="2"/>
        <v>8.5399999999999974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63">
        <v>55</v>
      </c>
      <c r="B71" s="63">
        <f>262.6+16</f>
        <v>278.60000000000002</v>
      </c>
      <c r="C71" s="63"/>
      <c r="D71" s="63"/>
      <c r="E71" s="93"/>
      <c r="F71" s="93"/>
      <c r="G71" s="93"/>
      <c r="H71" s="93"/>
      <c r="I71" s="52">
        <f t="shared" si="2"/>
        <v>7.3600000000000083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63">
        <v>60</v>
      </c>
      <c r="B72" s="63">
        <f>279.8+16+14.2</f>
        <v>310</v>
      </c>
      <c r="C72" s="63">
        <v>5</v>
      </c>
      <c r="D72" s="63">
        <f>16+14.2</f>
        <v>30.2</v>
      </c>
      <c r="E72" s="93"/>
      <c r="F72" s="93"/>
      <c r="G72" s="93"/>
      <c r="H72" s="93"/>
      <c r="I72" s="52">
        <f t="shared" si="2"/>
        <v>6.2799999999999958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63">
        <v>65</v>
      </c>
      <c r="B73" s="63">
        <f>292.6+13.4</f>
        <v>306</v>
      </c>
      <c r="C73" s="63"/>
      <c r="D73" s="63"/>
      <c r="E73" s="93"/>
      <c r="F73" s="93"/>
      <c r="G73" s="93"/>
      <c r="H73" s="93"/>
      <c r="I73" s="52">
        <f t="shared" si="2"/>
        <v>5.2399999999999975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63">
        <v>70</v>
      </c>
      <c r="B74" s="63">
        <f>302.6+13.4+12.5</f>
        <v>328.5</v>
      </c>
      <c r="C74" s="63">
        <v>6</v>
      </c>
      <c r="D74" s="63">
        <f>13.4+12.5</f>
        <v>25.9</v>
      </c>
      <c r="E74" s="68"/>
      <c r="F74" s="68"/>
      <c r="G74" s="68"/>
      <c r="H74" s="68"/>
      <c r="I74" s="52">
        <f t="shared" si="2"/>
        <v>4.5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63">
        <v>75</v>
      </c>
      <c r="B75" s="63">
        <f>311.9+11.6</f>
        <v>323.5</v>
      </c>
      <c r="C75" s="63"/>
      <c r="D75" s="63"/>
      <c r="E75" s="68"/>
      <c r="F75" s="68"/>
      <c r="G75" s="68"/>
      <c r="H75" s="68"/>
      <c r="I75" s="52">
        <f t="shared" si="2"/>
        <v>4.1799999999999953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63">
        <v>80</v>
      </c>
      <c r="B76" s="53">
        <v>341.3</v>
      </c>
      <c r="C76" s="63">
        <v>7</v>
      </c>
      <c r="D76" s="53">
        <v>341.3</v>
      </c>
      <c r="E76" s="57"/>
      <c r="F76" s="57"/>
      <c r="G76" s="57"/>
      <c r="H76" s="57"/>
      <c r="I76" s="52">
        <f t="shared" si="2"/>
        <v>3.5600000000000023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Chêne pubescent</v>
      </c>
      <c r="D84" s="258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2" t="s">
        <v>186</v>
      </c>
      <c r="D86" s="292"/>
      <c r="E86" s="293" t="s">
        <v>187</v>
      </c>
      <c r="F86" s="294"/>
      <c r="G86" s="294"/>
      <c r="H86" s="295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20</v>
      </c>
      <c r="B88" s="63">
        <f>67+6</f>
        <v>73</v>
      </c>
      <c r="C88" s="63">
        <v>1</v>
      </c>
      <c r="D88" s="63">
        <v>6</v>
      </c>
      <c r="E88" s="54"/>
      <c r="F88" s="54"/>
      <c r="G88" s="54"/>
      <c r="H88" s="54">
        <v>1</v>
      </c>
      <c r="I88" s="56">
        <f>IFERROR(B88/A88,"")</f>
        <v>3.65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25</v>
      </c>
      <c r="B89" s="63">
        <f>75+28</f>
        <v>103</v>
      </c>
      <c r="C89" s="63"/>
      <c r="D89" s="63"/>
      <c r="E89" s="54"/>
      <c r="F89" s="54"/>
      <c r="G89" s="54"/>
      <c r="H89" s="54"/>
      <c r="I89" s="56">
        <f t="shared" ref="I89:I107" si="3">IF(A89&lt;&gt;0,(B89-(B88-D88))/(A89-A88),"")</f>
        <v>7.2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30</v>
      </c>
      <c r="B90" s="63">
        <f>93+28+28</f>
        <v>149</v>
      </c>
      <c r="C90" s="63">
        <v>2</v>
      </c>
      <c r="D90" s="63">
        <f>28+28</f>
        <v>56</v>
      </c>
      <c r="E90" s="54"/>
      <c r="F90" s="54"/>
      <c r="G90" s="54"/>
      <c r="H90" s="54">
        <v>1</v>
      </c>
      <c r="I90" s="56">
        <f t="shared" si="3"/>
        <v>9.1999999999999993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35</v>
      </c>
      <c r="B91" s="63">
        <f>119+28</f>
        <v>147</v>
      </c>
      <c r="C91" s="63"/>
      <c r="D91" s="63"/>
      <c r="E91" s="54"/>
      <c r="F91" s="54"/>
      <c r="G91" s="54"/>
      <c r="H91" s="54"/>
      <c r="I91" s="56">
        <f t="shared" si="3"/>
        <v>10.8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40</v>
      </c>
      <c r="B92" s="63">
        <f>147+28+28</f>
        <v>203</v>
      </c>
      <c r="C92" s="63">
        <v>3</v>
      </c>
      <c r="D92" s="63">
        <f>28+28</f>
        <v>56</v>
      </c>
      <c r="E92" s="54"/>
      <c r="F92" s="54"/>
      <c r="G92" s="54"/>
      <c r="H92" s="54"/>
      <c r="I92" s="56">
        <f t="shared" si="3"/>
        <v>11.2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45</v>
      </c>
      <c r="B93" s="63">
        <f>176+28</f>
        <v>204</v>
      </c>
      <c r="C93" s="63"/>
      <c r="D93" s="63"/>
      <c r="E93" s="54"/>
      <c r="F93" s="54"/>
      <c r="G93" s="54"/>
      <c r="H93" s="54"/>
      <c r="I93" s="56">
        <f t="shared" si="3"/>
        <v>11.4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50</v>
      </c>
      <c r="B94" s="63">
        <f>203+28+28</f>
        <v>259</v>
      </c>
      <c r="C94" s="63">
        <v>4</v>
      </c>
      <c r="D94" s="63">
        <f>28+28</f>
        <v>56</v>
      </c>
      <c r="E94" s="54"/>
      <c r="F94" s="54"/>
      <c r="G94" s="54"/>
      <c r="H94" s="54"/>
      <c r="I94" s="56">
        <f t="shared" si="3"/>
        <v>11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282">
        <v>55</v>
      </c>
      <c r="B95" s="63">
        <f>226+28</f>
        <v>254</v>
      </c>
      <c r="C95" s="63"/>
      <c r="D95" s="63"/>
      <c r="E95" s="54"/>
      <c r="F95" s="54"/>
      <c r="G95" s="54"/>
      <c r="H95" s="54"/>
      <c r="I95" s="56">
        <f t="shared" si="3"/>
        <v>10.199999999999999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282">
        <v>60</v>
      </c>
      <c r="B96" s="63">
        <f>245+28+28</f>
        <v>301</v>
      </c>
      <c r="C96" s="63">
        <v>5</v>
      </c>
      <c r="D96" s="63">
        <f>28+28</f>
        <v>56</v>
      </c>
      <c r="E96" s="54"/>
      <c r="F96" s="54"/>
      <c r="G96" s="54"/>
      <c r="H96" s="54"/>
      <c r="I96" s="56">
        <f t="shared" si="3"/>
        <v>9.4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282">
        <v>65</v>
      </c>
      <c r="B97" s="63">
        <f>261+28</f>
        <v>289</v>
      </c>
      <c r="C97" s="63"/>
      <c r="D97" s="63"/>
      <c r="E97" s="54"/>
      <c r="F97" s="54"/>
      <c r="G97" s="54"/>
      <c r="H97" s="54"/>
      <c r="I97" s="56">
        <f t="shared" si="3"/>
        <v>8.8000000000000007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282">
        <v>70</v>
      </c>
      <c r="B98" s="63">
        <f>274+28+28</f>
        <v>330</v>
      </c>
      <c r="C98" s="63">
        <v>6</v>
      </c>
      <c r="D98" s="63">
        <f>28+28</f>
        <v>56</v>
      </c>
      <c r="E98" s="54"/>
      <c r="F98" s="54"/>
      <c r="G98" s="54"/>
      <c r="H98" s="54"/>
      <c r="I98" s="56">
        <f t="shared" si="3"/>
        <v>8.1999999999999993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282">
        <v>75</v>
      </c>
      <c r="B99" s="63">
        <f>284+28</f>
        <v>312</v>
      </c>
      <c r="C99" s="63"/>
      <c r="D99" s="63"/>
      <c r="E99" s="54"/>
      <c r="F99" s="54"/>
      <c r="G99" s="54"/>
      <c r="H99" s="54"/>
      <c r="I99" s="56">
        <f t="shared" si="3"/>
        <v>7.6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282">
        <v>80</v>
      </c>
      <c r="B100" s="63">
        <f>292+28+28</f>
        <v>348</v>
      </c>
      <c r="C100" s="63">
        <v>7</v>
      </c>
      <c r="D100" s="63">
        <f>28+28</f>
        <v>56</v>
      </c>
      <c r="E100" s="54"/>
      <c r="F100" s="54"/>
      <c r="G100" s="54"/>
      <c r="H100" s="54"/>
      <c r="I100" s="56">
        <f t="shared" si="3"/>
        <v>7.2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282">
        <v>90</v>
      </c>
      <c r="B101" s="63">
        <f>302+28+28</f>
        <v>358</v>
      </c>
      <c r="C101" s="63">
        <v>8</v>
      </c>
      <c r="D101" s="63">
        <f>28+28</f>
        <v>56</v>
      </c>
      <c r="E101" s="54"/>
      <c r="F101" s="54"/>
      <c r="G101" s="54"/>
      <c r="H101" s="54"/>
      <c r="I101" s="56">
        <f t="shared" si="3"/>
        <v>6.6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282">
        <v>100</v>
      </c>
      <c r="B102" s="53">
        <v>361</v>
      </c>
      <c r="C102" s="53">
        <v>9</v>
      </c>
      <c r="D102" s="53">
        <v>55</v>
      </c>
      <c r="E102" s="54"/>
      <c r="F102" s="54"/>
      <c r="G102" s="54"/>
      <c r="H102" s="54"/>
      <c r="I102" s="56">
        <f t="shared" si="3"/>
        <v>5.9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282">
        <v>110</v>
      </c>
      <c r="B103" s="53">
        <v>358</v>
      </c>
      <c r="C103" s="53">
        <v>10</v>
      </c>
      <c r="D103" s="53">
        <v>51</v>
      </c>
      <c r="E103" s="54"/>
      <c r="F103" s="54"/>
      <c r="G103" s="54"/>
      <c r="H103" s="54"/>
      <c r="I103" s="56">
        <f t="shared" si="3"/>
        <v>5.2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282">
        <v>120</v>
      </c>
      <c r="B104" s="53">
        <v>352</v>
      </c>
      <c r="C104" s="53">
        <v>11</v>
      </c>
      <c r="D104" s="53">
        <v>47</v>
      </c>
      <c r="E104" s="54"/>
      <c r="F104" s="54"/>
      <c r="G104" s="54"/>
      <c r="H104" s="54"/>
      <c r="I104" s="56">
        <f t="shared" si="3"/>
        <v>4.5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282">
        <v>135</v>
      </c>
      <c r="B105" s="53">
        <v>366</v>
      </c>
      <c r="C105" s="53">
        <v>12</v>
      </c>
      <c r="D105" s="53">
        <v>65</v>
      </c>
      <c r="E105" s="54"/>
      <c r="F105" s="54"/>
      <c r="G105" s="54"/>
      <c r="H105" s="54"/>
      <c r="I105" s="56">
        <f t="shared" si="3"/>
        <v>4.0666666666666664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282">
        <v>150</v>
      </c>
      <c r="B106" s="53">
        <v>355</v>
      </c>
      <c r="C106" s="53">
        <v>13</v>
      </c>
      <c r="D106" s="53">
        <v>355</v>
      </c>
      <c r="E106" s="54"/>
      <c r="F106" s="54"/>
      <c r="G106" s="54"/>
      <c r="H106" s="54"/>
      <c r="I106" s="56">
        <f t="shared" si="3"/>
        <v>3.6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282"/>
      <c r="B107" s="53"/>
      <c r="C107" s="53"/>
      <c r="D107" s="53"/>
      <c r="E107" s="54"/>
      <c r="F107" s="54"/>
      <c r="G107" s="54"/>
      <c r="H107" s="54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Hêtre</v>
      </c>
      <c r="D110" s="258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2" t="s">
        <v>186</v>
      </c>
      <c r="D112" s="292"/>
      <c r="E112" s="293" t="s">
        <v>187</v>
      </c>
      <c r="F112" s="294"/>
      <c r="G112" s="294"/>
      <c r="H112" s="295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20</v>
      </c>
      <c r="B114" s="63">
        <v>32</v>
      </c>
      <c r="C114" s="53"/>
      <c r="D114" s="63"/>
      <c r="E114" s="54"/>
      <c r="F114" s="54"/>
      <c r="G114" s="54"/>
      <c r="H114" s="54"/>
      <c r="I114" s="56">
        <f>IFERROR(B114/A114,"")</f>
        <v>1.6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25</v>
      </c>
      <c r="B115" s="63">
        <v>76</v>
      </c>
      <c r="C115" s="53"/>
      <c r="D115" s="63"/>
      <c r="E115" s="54"/>
      <c r="F115" s="54"/>
      <c r="G115" s="54"/>
      <c r="H115" s="54"/>
      <c r="I115" s="56">
        <f t="shared" ref="I115:I133" si="4">IF(A115&lt;&gt;0,(B115-(B114-D114))/(A115-A114),"")</f>
        <v>8.8000000000000007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30</v>
      </c>
      <c r="B116" s="63">
        <f>116+7</f>
        <v>123</v>
      </c>
      <c r="C116" s="53">
        <v>1</v>
      </c>
      <c r="D116" s="63">
        <f>7+28</f>
        <v>35</v>
      </c>
      <c r="E116" s="54"/>
      <c r="F116" s="54"/>
      <c r="G116" s="54"/>
      <c r="H116" s="54">
        <v>1</v>
      </c>
      <c r="I116" s="56">
        <f t="shared" si="4"/>
        <v>9.4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35</v>
      </c>
      <c r="B117" s="63">
        <v>139</v>
      </c>
      <c r="C117" s="53"/>
      <c r="D117" s="63"/>
      <c r="E117" s="54"/>
      <c r="F117" s="54"/>
      <c r="G117" s="54"/>
      <c r="H117" s="54"/>
      <c r="I117" s="56">
        <f t="shared" si="4"/>
        <v>10.199999999999999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40</v>
      </c>
      <c r="B118" s="63">
        <f>164+28</f>
        <v>192</v>
      </c>
      <c r="C118" s="53">
        <v>2</v>
      </c>
      <c r="D118" s="63">
        <f>28+28</f>
        <v>56</v>
      </c>
      <c r="E118" s="54"/>
      <c r="F118" s="54"/>
      <c r="G118" s="54"/>
      <c r="H118" s="54"/>
      <c r="I118" s="56">
        <f t="shared" si="4"/>
        <v>10.6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45</v>
      </c>
      <c r="B119" s="63">
        <v>190</v>
      </c>
      <c r="C119" s="53"/>
      <c r="D119" s="63"/>
      <c r="E119" s="54"/>
      <c r="F119" s="54"/>
      <c r="G119" s="54"/>
      <c r="H119" s="54"/>
      <c r="I119" s="56">
        <f t="shared" si="4"/>
        <v>10.8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>
        <v>50</v>
      </c>
      <c r="B120" s="63">
        <f>217+28</f>
        <v>245</v>
      </c>
      <c r="C120" s="63">
        <v>3</v>
      </c>
      <c r="D120" s="63">
        <f>28+28</f>
        <v>56</v>
      </c>
      <c r="E120" s="93"/>
      <c r="F120" s="93"/>
      <c r="G120" s="93"/>
      <c r="H120" s="93"/>
      <c r="I120" s="56">
        <f t="shared" si="4"/>
        <v>11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>
        <v>55</v>
      </c>
      <c r="B121" s="63">
        <v>244</v>
      </c>
      <c r="C121" s="63"/>
      <c r="D121" s="63"/>
      <c r="E121" s="93"/>
      <c r="F121" s="93"/>
      <c r="G121" s="93"/>
      <c r="H121" s="93"/>
      <c r="I121" s="56">
        <f t="shared" si="4"/>
        <v>11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>
        <v>60</v>
      </c>
      <c r="B122" s="63">
        <f>270+28</f>
        <v>298</v>
      </c>
      <c r="C122" s="63">
        <v>4</v>
      </c>
      <c r="D122" s="63">
        <f>28+28</f>
        <v>56</v>
      </c>
      <c r="E122" s="93"/>
      <c r="F122" s="93"/>
      <c r="G122" s="93"/>
      <c r="H122" s="93"/>
      <c r="I122" s="56">
        <f t="shared" si="4"/>
        <v>10.8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>
        <v>65</v>
      </c>
      <c r="B123" s="63">
        <v>294</v>
      </c>
      <c r="C123" s="63"/>
      <c r="D123" s="63"/>
      <c r="E123" s="93"/>
      <c r="F123" s="93"/>
      <c r="G123" s="93"/>
      <c r="H123" s="93"/>
      <c r="I123" s="56">
        <f t="shared" si="4"/>
        <v>10.4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>
        <v>70</v>
      </c>
      <c r="B124" s="63">
        <f>316+28</f>
        <v>344</v>
      </c>
      <c r="C124" s="63">
        <v>5</v>
      </c>
      <c r="D124" s="63">
        <f>28+28</f>
        <v>56</v>
      </c>
      <c r="E124" s="93"/>
      <c r="F124" s="93"/>
      <c r="G124" s="93"/>
      <c r="H124" s="93"/>
      <c r="I124" s="56">
        <f t="shared" si="4"/>
        <v>10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>
        <v>75</v>
      </c>
      <c r="B125" s="63">
        <v>335</v>
      </c>
      <c r="C125" s="63"/>
      <c r="D125" s="63"/>
      <c r="E125" s="93"/>
      <c r="F125" s="93"/>
      <c r="G125" s="93"/>
      <c r="H125" s="93"/>
      <c r="I125" s="56">
        <f t="shared" si="4"/>
        <v>9.4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>
        <v>80</v>
      </c>
      <c r="B126" s="63">
        <f>351+28</f>
        <v>379</v>
      </c>
      <c r="C126" s="63">
        <v>6</v>
      </c>
      <c r="D126" s="63">
        <f>38+28</f>
        <v>66</v>
      </c>
      <c r="E126" s="68"/>
      <c r="F126" s="68"/>
      <c r="G126" s="68"/>
      <c r="H126" s="68"/>
      <c r="I126" s="56">
        <f t="shared" si="4"/>
        <v>8.8000000000000007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>
        <v>90</v>
      </c>
      <c r="B127" s="63">
        <f>377+27</f>
        <v>404</v>
      </c>
      <c r="C127" s="63">
        <v>7</v>
      </c>
      <c r="D127" s="63">
        <f>27+26</f>
        <v>53</v>
      </c>
      <c r="E127" s="68"/>
      <c r="F127" s="68"/>
      <c r="G127" s="68"/>
      <c r="H127" s="68"/>
      <c r="I127" s="56">
        <f t="shared" si="4"/>
        <v>9.1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>
        <v>100</v>
      </c>
      <c r="B128" s="53">
        <f>400+25</f>
        <v>425</v>
      </c>
      <c r="C128" s="53">
        <v>8</v>
      </c>
      <c r="D128" s="53">
        <f>25+24</f>
        <v>49</v>
      </c>
      <c r="E128" s="57"/>
      <c r="F128" s="57"/>
      <c r="G128" s="57"/>
      <c r="H128" s="57"/>
      <c r="I128" s="56">
        <f t="shared" si="4"/>
        <v>7.4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>
        <v>110</v>
      </c>
      <c r="B129" s="53">
        <f>418+23</f>
        <v>441</v>
      </c>
      <c r="C129" s="53">
        <v>9</v>
      </c>
      <c r="D129" s="53">
        <f>23+22</f>
        <v>45</v>
      </c>
      <c r="E129" s="57"/>
      <c r="F129" s="57"/>
      <c r="G129" s="57"/>
      <c r="H129" s="57"/>
      <c r="I129" s="56">
        <f t="shared" si="4"/>
        <v>6.5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>
        <v>120</v>
      </c>
      <c r="B130" s="53">
        <f>432+22</f>
        <v>454</v>
      </c>
      <c r="C130" s="53">
        <v>10</v>
      </c>
      <c r="D130" s="53">
        <f>22+21</f>
        <v>43</v>
      </c>
      <c r="E130" s="57"/>
      <c r="F130" s="57"/>
      <c r="G130" s="57"/>
      <c r="H130" s="57"/>
      <c r="I130" s="56">
        <f t="shared" si="4"/>
        <v>5.8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>
        <v>130</v>
      </c>
      <c r="B131" s="53">
        <f>440+21</f>
        <v>461</v>
      </c>
      <c r="C131" s="53">
        <v>11</v>
      </c>
      <c r="D131" s="53">
        <f>21+20</f>
        <v>41</v>
      </c>
      <c r="E131" s="57"/>
      <c r="F131" s="57"/>
      <c r="G131" s="57"/>
      <c r="H131" s="57"/>
      <c r="I131" s="56">
        <f t="shared" si="4"/>
        <v>5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>
        <v>140</v>
      </c>
      <c r="B132" s="53">
        <f>446+20</f>
        <v>466</v>
      </c>
      <c r="C132" s="53">
        <v>12</v>
      </c>
      <c r="D132" s="53">
        <f>20+19</f>
        <v>39</v>
      </c>
      <c r="E132" s="57"/>
      <c r="F132" s="57"/>
      <c r="G132" s="57"/>
      <c r="H132" s="57"/>
      <c r="I132" s="56">
        <f t="shared" si="4"/>
        <v>4.5999999999999996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>
        <v>150</v>
      </c>
      <c r="B133" s="53">
        <f>448+19</f>
        <v>467</v>
      </c>
      <c r="C133" s="53">
        <v>13</v>
      </c>
      <c r="D133" s="53">
        <f>B133</f>
        <v>467</v>
      </c>
      <c r="E133" s="57"/>
      <c r="F133" s="57"/>
      <c r="G133" s="57"/>
      <c r="H133" s="57"/>
      <c r="I133" s="56">
        <f t="shared" si="4"/>
        <v>4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Merisier</v>
      </c>
      <c r="D136" s="258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2" t="s">
        <v>186</v>
      </c>
      <c r="D138" s="292"/>
      <c r="E138" s="293" t="s">
        <v>187</v>
      </c>
      <c r="F138" s="294"/>
      <c r="G138" s="294"/>
      <c r="H138" s="295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15</v>
      </c>
      <c r="B140" s="63">
        <v>40</v>
      </c>
      <c r="C140" s="53"/>
      <c r="D140" s="63"/>
      <c r="E140" s="66"/>
      <c r="F140" s="66"/>
      <c r="G140" s="66"/>
      <c r="H140" s="66"/>
      <c r="I140" s="60">
        <f>IFERROR(B140/A140,"")</f>
        <v>2.6666666666666665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20</v>
      </c>
      <c r="B141" s="63">
        <f>85+3</f>
        <v>88</v>
      </c>
      <c r="C141" s="53">
        <v>1</v>
      </c>
      <c r="D141" s="63">
        <v>3</v>
      </c>
      <c r="E141" s="66"/>
      <c r="F141" s="66"/>
      <c r="G141" s="66"/>
      <c r="H141" s="66">
        <v>1</v>
      </c>
      <c r="I141" s="60">
        <f t="shared" ref="I141:I159" si="5">IF(A141&lt;&gt;0,(B141-(B140-D140))/(A141-A140),"")</f>
        <v>9.6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25</v>
      </c>
      <c r="B142" s="63">
        <f>113+25</f>
        <v>138</v>
      </c>
      <c r="C142" s="53">
        <v>2</v>
      </c>
      <c r="D142" s="63">
        <f>25+27</f>
        <v>52</v>
      </c>
      <c r="E142" s="66"/>
      <c r="F142" s="66"/>
      <c r="G142" s="66"/>
      <c r="H142" s="66">
        <v>1</v>
      </c>
      <c r="I142" s="60">
        <f t="shared" si="5"/>
        <v>10.6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8">
        <v>31</v>
      </c>
      <c r="B143" s="58">
        <v>155</v>
      </c>
      <c r="C143" s="58">
        <v>3</v>
      </c>
      <c r="D143" s="58">
        <v>36</v>
      </c>
      <c r="E143" s="66"/>
      <c r="F143" s="66"/>
      <c r="G143" s="66"/>
      <c r="H143" s="66"/>
      <c r="I143" s="60">
        <f t="shared" si="5"/>
        <v>11.5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8">
        <v>37</v>
      </c>
      <c r="B144" s="58">
        <v>188</v>
      </c>
      <c r="C144" s="58">
        <v>4</v>
      </c>
      <c r="D144" s="58">
        <v>36</v>
      </c>
      <c r="E144" s="66"/>
      <c r="F144" s="66"/>
      <c r="G144" s="66"/>
      <c r="H144" s="66"/>
      <c r="I144" s="60">
        <f t="shared" si="5"/>
        <v>11.5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8">
        <v>44</v>
      </c>
      <c r="B145" s="58">
        <v>230</v>
      </c>
      <c r="C145" s="58">
        <v>5</v>
      </c>
      <c r="D145" s="58">
        <v>43</v>
      </c>
      <c r="E145" s="66"/>
      <c r="F145" s="66"/>
      <c r="G145" s="66"/>
      <c r="H145" s="66"/>
      <c r="I145" s="60">
        <f t="shared" si="5"/>
        <v>11.142857142857142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8">
        <v>52</v>
      </c>
      <c r="B146" s="58">
        <v>270</v>
      </c>
      <c r="C146" s="58">
        <v>6</v>
      </c>
      <c r="D146" s="58">
        <v>48</v>
      </c>
      <c r="E146" s="66"/>
      <c r="F146" s="66"/>
      <c r="G146" s="66"/>
      <c r="H146" s="66"/>
      <c r="I146" s="60">
        <f t="shared" si="5"/>
        <v>10.375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8">
        <v>60</v>
      </c>
      <c r="B147" s="58">
        <v>297</v>
      </c>
      <c r="C147" s="58">
        <v>7</v>
      </c>
      <c r="D147" s="58">
        <v>47</v>
      </c>
      <c r="E147" s="66"/>
      <c r="F147" s="66"/>
      <c r="G147" s="66"/>
      <c r="H147" s="66"/>
      <c r="I147" s="60">
        <f>IF(A147&lt;&gt;0,(B147-(B146-D146))/(A147-A146),"")</f>
        <v>9.375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8">
        <v>69</v>
      </c>
      <c r="B148" s="58">
        <v>328</v>
      </c>
      <c r="C148" s="58">
        <v>8</v>
      </c>
      <c r="D148" s="58">
        <v>328</v>
      </c>
      <c r="E148" s="66"/>
      <c r="F148" s="66"/>
      <c r="G148" s="66"/>
      <c r="H148" s="66"/>
      <c r="I148" s="60">
        <f t="shared" si="5"/>
        <v>8.6666666666666661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>Charme</v>
      </c>
      <c r="D162" s="258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2" t="s">
        <v>186</v>
      </c>
      <c r="D164" s="292"/>
      <c r="E164" s="293" t="s">
        <v>187</v>
      </c>
      <c r="F164" s="294"/>
      <c r="G164" s="294"/>
      <c r="H164" s="295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>
        <v>10</v>
      </c>
      <c r="B166" s="63">
        <f>38/1.56</f>
        <v>24.358974358974358</v>
      </c>
      <c r="C166" s="63"/>
      <c r="D166" s="63"/>
      <c r="E166" s="54"/>
      <c r="F166" s="54"/>
      <c r="G166" s="54"/>
      <c r="H166" s="54"/>
      <c r="I166" s="52">
        <f>IFERROR(B166/A166,"")</f>
        <v>2.4358974358974357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>
        <v>15</v>
      </c>
      <c r="B167" s="63">
        <f>(84+8)/1.56</f>
        <v>58.974358974358971</v>
      </c>
      <c r="C167" s="63"/>
      <c r="D167" s="63"/>
      <c r="E167" s="54"/>
      <c r="F167" s="54"/>
      <c r="G167" s="54"/>
      <c r="H167" s="54"/>
      <c r="I167" s="52">
        <f t="shared" ref="I167:I185" si="6">IF(A167&lt;&gt;0,(B167-(B166-D166))/(A167-A166),"")</f>
        <v>6.9230769230769225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>
        <v>20</v>
      </c>
      <c r="B168" s="63">
        <f>(131+8+16)/1.56</f>
        <v>99.358974358974351</v>
      </c>
      <c r="C168" s="63">
        <v>1</v>
      </c>
      <c r="D168" s="63">
        <f>(8+16+21)/1.56</f>
        <v>28.846153846153847</v>
      </c>
      <c r="E168" s="54"/>
      <c r="F168" s="54"/>
      <c r="G168" s="54"/>
      <c r="H168" s="54">
        <v>1</v>
      </c>
      <c r="I168" s="52">
        <f t="shared" si="6"/>
        <v>8.0769230769230766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>
        <v>25</v>
      </c>
      <c r="B169" s="63">
        <f>173/1.56</f>
        <v>110.8974358974359</v>
      </c>
      <c r="C169" s="63"/>
      <c r="D169" s="63"/>
      <c r="E169" s="54"/>
      <c r="F169" s="54"/>
      <c r="G169" s="54"/>
      <c r="H169" s="54"/>
      <c r="I169" s="52">
        <f t="shared" si="6"/>
        <v>8.0769230769230802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>
        <v>30</v>
      </c>
      <c r="B170" s="63">
        <f>(210+25)/1.56</f>
        <v>150.64102564102564</v>
      </c>
      <c r="C170" s="63">
        <v>2</v>
      </c>
      <c r="D170" s="63">
        <f>(25+28)/1.56</f>
        <v>33.974358974358971</v>
      </c>
      <c r="E170" s="54"/>
      <c r="F170" s="54"/>
      <c r="G170" s="54"/>
      <c r="H170" s="54">
        <v>1</v>
      </c>
      <c r="I170" s="52">
        <f t="shared" si="6"/>
        <v>7.9487179487179471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>
        <v>35</v>
      </c>
      <c r="B171" s="63">
        <f>241/1.56</f>
        <v>154.48717948717947</v>
      </c>
      <c r="C171" s="63"/>
      <c r="D171" s="63"/>
      <c r="E171" s="54"/>
      <c r="F171" s="54"/>
      <c r="G171" s="54"/>
      <c r="H171" s="54"/>
      <c r="I171" s="52">
        <f t="shared" si="6"/>
        <v>7.5641025641025639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>
        <v>40</v>
      </c>
      <c r="B172" s="63">
        <f>(268+29)/1.56</f>
        <v>190.38461538461539</v>
      </c>
      <c r="C172" s="63">
        <v>3</v>
      </c>
      <c r="D172" s="63">
        <f>(29+29)/1.56</f>
        <v>37.179487179487175</v>
      </c>
      <c r="E172" s="54"/>
      <c r="F172" s="54"/>
      <c r="G172" s="54"/>
      <c r="H172" s="54"/>
      <c r="I172" s="52">
        <f t="shared" si="6"/>
        <v>7.1794871794871824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>
        <v>45</v>
      </c>
      <c r="B173" s="53">
        <f>291/1.56</f>
        <v>186.53846153846152</v>
      </c>
      <c r="C173" s="53"/>
      <c r="D173" s="53"/>
      <c r="E173" s="54"/>
      <c r="F173" s="54"/>
      <c r="G173" s="54"/>
      <c r="H173" s="54"/>
      <c r="I173" s="52">
        <f t="shared" si="6"/>
        <v>6.6666666666666625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>
        <v>50</v>
      </c>
      <c r="B174" s="53">
        <f>(311+29)/1.56</f>
        <v>217.94871794871793</v>
      </c>
      <c r="C174" s="53">
        <v>4</v>
      </c>
      <c r="D174" s="53">
        <f>(29+29)/1.56</f>
        <v>37.179487179487175</v>
      </c>
      <c r="E174" s="54"/>
      <c r="F174" s="54"/>
      <c r="G174" s="54"/>
      <c r="H174" s="54"/>
      <c r="I174" s="52">
        <f t="shared" si="6"/>
        <v>6.2820512820512819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>
        <v>55</v>
      </c>
      <c r="B175" s="53">
        <f>328/1.56</f>
        <v>210.25641025641025</v>
      </c>
      <c r="C175" s="53"/>
      <c r="D175" s="53"/>
      <c r="E175" s="54"/>
      <c r="F175" s="54"/>
      <c r="G175" s="54"/>
      <c r="H175" s="54"/>
      <c r="I175" s="52">
        <f t="shared" si="6"/>
        <v>5.8974358974359005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>
        <v>60</v>
      </c>
      <c r="B176" s="53">
        <f>(343+28)/1.56</f>
        <v>237.82051282051282</v>
      </c>
      <c r="C176" s="53">
        <v>5</v>
      </c>
      <c r="D176" s="53">
        <f>(28+27)/1.56</f>
        <v>35.256410256410255</v>
      </c>
      <c r="E176" s="54"/>
      <c r="F176" s="54"/>
      <c r="G176" s="54"/>
      <c r="H176" s="54"/>
      <c r="I176" s="52">
        <f t="shared" si="6"/>
        <v>5.5128205128205137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>
        <v>65</v>
      </c>
      <c r="B177" s="53">
        <f>357/1.56</f>
        <v>228.84615384615384</v>
      </c>
      <c r="C177" s="53"/>
      <c r="D177" s="53"/>
      <c r="E177" s="54"/>
      <c r="F177" s="54"/>
      <c r="G177" s="54"/>
      <c r="H177" s="54"/>
      <c r="I177" s="52">
        <f t="shared" si="6"/>
        <v>5.2564102564102537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>
        <v>70</v>
      </c>
      <c r="B178" s="53">
        <f>(369+27)/1.56</f>
        <v>253.84615384615384</v>
      </c>
      <c r="C178" s="53">
        <v>6</v>
      </c>
      <c r="D178" s="53">
        <f>(27+26)/1.56</f>
        <v>33.974358974358971</v>
      </c>
      <c r="E178" s="54"/>
      <c r="F178" s="54"/>
      <c r="G178" s="54"/>
      <c r="H178" s="54"/>
      <c r="I178" s="52">
        <f t="shared" si="6"/>
        <v>5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>
        <v>75</v>
      </c>
      <c r="B179" s="53">
        <f>381/1.56</f>
        <v>244.23076923076923</v>
      </c>
      <c r="C179" s="53"/>
      <c r="D179" s="53"/>
      <c r="E179" s="54"/>
      <c r="F179" s="54"/>
      <c r="G179" s="54"/>
      <c r="H179" s="54"/>
      <c r="I179" s="52">
        <f t="shared" si="6"/>
        <v>4.8717948717948731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>
        <v>80</v>
      </c>
      <c r="B180" s="53">
        <f>(391+25)/1.56</f>
        <v>266.66666666666669</v>
      </c>
      <c r="C180" s="53">
        <v>7</v>
      </c>
      <c r="D180" s="53">
        <f>(25+24)/1.56</f>
        <v>31.410256410256409</v>
      </c>
      <c r="E180" s="54"/>
      <c r="F180" s="54"/>
      <c r="G180" s="54"/>
      <c r="H180" s="54"/>
      <c r="I180" s="52">
        <f t="shared" si="6"/>
        <v>4.4871794871794917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>
        <v>85</v>
      </c>
      <c r="B181" s="53">
        <f>401/1.56</f>
        <v>257.05128205128204</v>
      </c>
      <c r="C181" s="53"/>
      <c r="D181" s="53"/>
      <c r="E181" s="54"/>
      <c r="F181" s="54"/>
      <c r="G181" s="54"/>
      <c r="H181" s="54"/>
      <c r="I181" s="52">
        <f t="shared" si="6"/>
        <v>4.3589743589743533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>
        <v>90</v>
      </c>
      <c r="B182" s="53">
        <f>(409+24)/1.56</f>
        <v>277.56410256410254</v>
      </c>
      <c r="C182" s="53">
        <v>8</v>
      </c>
      <c r="D182" s="53">
        <f>(24+23)/1.56</f>
        <v>30.128205128205128</v>
      </c>
      <c r="E182" s="54"/>
      <c r="F182" s="54"/>
      <c r="G182" s="54"/>
      <c r="H182" s="54"/>
      <c r="I182" s="52">
        <f t="shared" si="6"/>
        <v>4.1025641025640995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>
        <v>100</v>
      </c>
      <c r="B183" s="53">
        <f>(424+22)/1.56</f>
        <v>285.89743589743591</v>
      </c>
      <c r="C183" s="53">
        <v>9</v>
      </c>
      <c r="D183" s="53">
        <f>(22+22)/1.56</f>
        <v>28.205128205128204</v>
      </c>
      <c r="E183" s="54"/>
      <c r="F183" s="54"/>
      <c r="G183" s="54"/>
      <c r="H183" s="54"/>
      <c r="I183" s="52">
        <f t="shared" si="6"/>
        <v>3.8461538461538511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>
        <v>110</v>
      </c>
      <c r="B184" s="53">
        <f>(437+21)/1.56</f>
        <v>293.58974358974359</v>
      </c>
      <c r="C184" s="53">
        <v>10</v>
      </c>
      <c r="D184" s="53">
        <f>(21+20)/1.56</f>
        <v>26.282051282051281</v>
      </c>
      <c r="E184" s="54"/>
      <c r="F184" s="54"/>
      <c r="G184" s="54"/>
      <c r="H184" s="54"/>
      <c r="I184" s="52">
        <f t="shared" si="6"/>
        <v>3.5897435897435854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>
        <v>120</v>
      </c>
      <c r="B185" s="53">
        <f>(449+20)/1.56</f>
        <v>300.64102564102564</v>
      </c>
      <c r="C185" s="53">
        <v>11</v>
      </c>
      <c r="D185" s="53">
        <f>B185</f>
        <v>300.64102564102564</v>
      </c>
      <c r="E185" s="54"/>
      <c r="F185" s="54"/>
      <c r="G185" s="54"/>
      <c r="H185" s="54"/>
      <c r="I185" s="52">
        <f t="shared" si="6"/>
        <v>3.3333333333333313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>Alisier torminal</v>
      </c>
      <c r="D188" s="258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2" t="s">
        <v>186</v>
      </c>
      <c r="D190" s="292"/>
      <c r="E190" s="293" t="s">
        <v>187</v>
      </c>
      <c r="F190" s="294"/>
      <c r="G190" s="294"/>
      <c r="H190" s="295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>
        <v>20</v>
      </c>
      <c r="B192" s="63">
        <v>42</v>
      </c>
      <c r="C192" s="63"/>
      <c r="D192" s="63"/>
      <c r="E192" s="54"/>
      <c r="F192" s="54"/>
      <c r="G192" s="54"/>
      <c r="H192" s="54"/>
      <c r="I192" s="52">
        <f>IFERROR(B192/A192,"")</f>
        <v>2.1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>
        <v>25</v>
      </c>
      <c r="B193" s="63">
        <f>62+8</f>
        <v>70</v>
      </c>
      <c r="C193" s="63"/>
      <c r="D193" s="63"/>
      <c r="E193" s="54"/>
      <c r="F193" s="54"/>
      <c r="G193" s="54"/>
      <c r="H193" s="54"/>
      <c r="I193" s="52">
        <f t="shared" ref="I193:I211" si="7">IF(A193&lt;&gt;0,(B193-(B192-D192))/(A193-A192),"")</f>
        <v>5.6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>
        <v>30</v>
      </c>
      <c r="B194" s="63">
        <f>76+8+21</f>
        <v>105</v>
      </c>
      <c r="C194" s="63">
        <v>1</v>
      </c>
      <c r="D194" s="63">
        <f>8+21</f>
        <v>29</v>
      </c>
      <c r="E194" s="54"/>
      <c r="F194" s="54"/>
      <c r="G194" s="54"/>
      <c r="H194" s="54">
        <v>1</v>
      </c>
      <c r="I194" s="52">
        <f t="shared" si="7"/>
        <v>7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>
        <v>35</v>
      </c>
      <c r="B195" s="63">
        <f>95+21</f>
        <v>116</v>
      </c>
      <c r="C195" s="63"/>
      <c r="D195" s="63"/>
      <c r="E195" s="54"/>
      <c r="F195" s="54"/>
      <c r="G195" s="54"/>
      <c r="H195" s="54"/>
      <c r="I195" s="52">
        <f t="shared" si="7"/>
        <v>8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>
        <v>40</v>
      </c>
      <c r="B196" s="63">
        <f>116+21+21</f>
        <v>158</v>
      </c>
      <c r="C196" s="63">
        <v>2</v>
      </c>
      <c r="D196" s="63">
        <f>21+21</f>
        <v>42</v>
      </c>
      <c r="E196" s="54"/>
      <c r="F196" s="54"/>
      <c r="G196" s="54"/>
      <c r="H196" s="54"/>
      <c r="I196" s="52">
        <f t="shared" si="7"/>
        <v>8.4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>
        <v>45</v>
      </c>
      <c r="B197" s="63">
        <f>137+21</f>
        <v>158</v>
      </c>
      <c r="C197" s="63"/>
      <c r="D197" s="63"/>
      <c r="E197" s="54"/>
      <c r="F197" s="54"/>
      <c r="G197" s="54"/>
      <c r="H197" s="54"/>
      <c r="I197" s="52">
        <f t="shared" si="7"/>
        <v>8.4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>
        <v>50</v>
      </c>
      <c r="B198" s="63">
        <f>157+21+21</f>
        <v>199</v>
      </c>
      <c r="C198" s="63">
        <v>3</v>
      </c>
      <c r="D198" s="63">
        <f>21+21</f>
        <v>42</v>
      </c>
      <c r="E198" s="54"/>
      <c r="F198" s="54"/>
      <c r="G198" s="54"/>
      <c r="H198" s="54"/>
      <c r="I198" s="52">
        <f t="shared" si="7"/>
        <v>8.1999999999999993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>
        <v>55</v>
      </c>
      <c r="B199" s="63">
        <f>176+21</f>
        <v>197</v>
      </c>
      <c r="C199" s="63"/>
      <c r="D199" s="63"/>
      <c r="E199" s="54"/>
      <c r="F199" s="54"/>
      <c r="G199" s="54"/>
      <c r="H199" s="54"/>
      <c r="I199" s="52">
        <f t="shared" si="7"/>
        <v>8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>
        <v>60</v>
      </c>
      <c r="B200" s="53">
        <v>235</v>
      </c>
      <c r="C200" s="53">
        <v>4</v>
      </c>
      <c r="D200" s="53">
        <v>42</v>
      </c>
      <c r="E200" s="54"/>
      <c r="F200" s="54"/>
      <c r="G200" s="54"/>
      <c r="H200" s="54"/>
      <c r="I200" s="52">
        <f t="shared" si="7"/>
        <v>7.6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>
        <v>65</v>
      </c>
      <c r="B201" s="53">
        <v>229</v>
      </c>
      <c r="C201" s="53"/>
      <c r="D201" s="53"/>
      <c r="E201" s="54"/>
      <c r="F201" s="54"/>
      <c r="G201" s="54"/>
      <c r="H201" s="54"/>
      <c r="I201" s="52">
        <f t="shared" si="7"/>
        <v>7.2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>
        <v>70</v>
      </c>
      <c r="B202" s="53">
        <v>263</v>
      </c>
      <c r="C202" s="53">
        <v>5</v>
      </c>
      <c r="D202" s="53">
        <v>42</v>
      </c>
      <c r="E202" s="54"/>
      <c r="F202" s="54"/>
      <c r="G202" s="54"/>
      <c r="H202" s="54"/>
      <c r="I202" s="52">
        <f t="shared" si="7"/>
        <v>6.8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>
        <v>75</v>
      </c>
      <c r="B203" s="53">
        <v>252</v>
      </c>
      <c r="C203" s="53"/>
      <c r="D203" s="53"/>
      <c r="E203" s="54"/>
      <c r="F203" s="54"/>
      <c r="G203" s="54"/>
      <c r="H203" s="54"/>
      <c r="I203" s="52">
        <f t="shared" si="7"/>
        <v>6.2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>
        <v>80</v>
      </c>
      <c r="B204" s="53">
        <v>282</v>
      </c>
      <c r="C204" s="53">
        <v>6</v>
      </c>
      <c r="D204" s="53">
        <v>42</v>
      </c>
      <c r="E204" s="54"/>
      <c r="F204" s="54"/>
      <c r="G204" s="54"/>
      <c r="H204" s="54"/>
      <c r="I204" s="52">
        <f t="shared" si="7"/>
        <v>6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>
        <v>90</v>
      </c>
      <c r="B205" s="53">
        <v>296</v>
      </c>
      <c r="C205" s="53">
        <v>7</v>
      </c>
      <c r="D205" s="53">
        <v>42</v>
      </c>
      <c r="E205" s="54"/>
      <c r="F205" s="54"/>
      <c r="G205" s="54"/>
      <c r="H205" s="54"/>
      <c r="I205" s="52">
        <f t="shared" si="7"/>
        <v>5.6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>
        <v>100</v>
      </c>
      <c r="B206" s="53">
        <v>303</v>
      </c>
      <c r="C206" s="53">
        <v>8</v>
      </c>
      <c r="D206" s="53">
        <v>42</v>
      </c>
      <c r="E206" s="54"/>
      <c r="F206" s="54"/>
      <c r="G206" s="54"/>
      <c r="H206" s="54"/>
      <c r="I206" s="52">
        <f t="shared" si="7"/>
        <v>4.9000000000000004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>
        <v>110</v>
      </c>
      <c r="B207" s="53">
        <v>305</v>
      </c>
      <c r="C207" s="53">
        <v>9</v>
      </c>
      <c r="D207" s="53">
        <v>39</v>
      </c>
      <c r="E207" s="54"/>
      <c r="F207" s="54"/>
      <c r="G207" s="54"/>
      <c r="H207" s="54"/>
      <c r="I207" s="52">
        <f t="shared" si="7"/>
        <v>4.4000000000000004</v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>
        <v>120</v>
      </c>
      <c r="B208" s="53">
        <v>303</v>
      </c>
      <c r="C208" s="53">
        <v>10</v>
      </c>
      <c r="D208" s="53">
        <v>35</v>
      </c>
      <c r="E208" s="54"/>
      <c r="F208" s="54"/>
      <c r="G208" s="54"/>
      <c r="H208" s="54"/>
      <c r="I208" s="52">
        <f t="shared" si="7"/>
        <v>3.7</v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>
        <v>130</v>
      </c>
      <c r="B209" s="53">
        <v>300</v>
      </c>
      <c r="C209" s="53">
        <v>11</v>
      </c>
      <c r="D209" s="53">
        <v>31</v>
      </c>
      <c r="E209" s="54"/>
      <c r="F209" s="54"/>
      <c r="G209" s="54"/>
      <c r="H209" s="54"/>
      <c r="I209" s="52">
        <f t="shared" si="7"/>
        <v>3.2</v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>
        <v>140</v>
      </c>
      <c r="B210" s="53">
        <v>296</v>
      </c>
      <c r="C210" s="53">
        <v>12</v>
      </c>
      <c r="D210" s="53">
        <v>27</v>
      </c>
      <c r="E210" s="54"/>
      <c r="F210" s="54"/>
      <c r="G210" s="54"/>
      <c r="H210" s="54"/>
      <c r="I210" s="52">
        <f t="shared" si="7"/>
        <v>2.7</v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>
        <v>150</v>
      </c>
      <c r="B211" s="53">
        <v>293</v>
      </c>
      <c r="C211" s="53">
        <v>13</v>
      </c>
      <c r="D211" s="53">
        <v>293</v>
      </c>
      <c r="E211" s="54"/>
      <c r="F211" s="54"/>
      <c r="G211" s="54"/>
      <c r="H211" s="54"/>
      <c r="I211" s="52">
        <f t="shared" si="7"/>
        <v>2.4</v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>Chêne rouge d'Amérique</v>
      </c>
      <c r="D214" s="258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2" t="s">
        <v>186</v>
      </c>
      <c r="D216" s="292"/>
      <c r="E216" s="293" t="s">
        <v>187</v>
      </c>
      <c r="F216" s="294"/>
      <c r="G216" s="294"/>
      <c r="H216" s="295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>
        <v>10</v>
      </c>
      <c r="B218" s="63">
        <v>29</v>
      </c>
      <c r="C218" s="63"/>
      <c r="D218" s="63"/>
      <c r="E218" s="54"/>
      <c r="F218" s="54"/>
      <c r="G218" s="54"/>
      <c r="H218" s="54"/>
      <c r="I218" s="56">
        <f>IFERROR(B218/A218,"")</f>
        <v>2.9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>
        <v>15</v>
      </c>
      <c r="B219" s="63">
        <v>73</v>
      </c>
      <c r="C219" s="63"/>
      <c r="D219" s="63"/>
      <c r="E219" s="54"/>
      <c r="F219" s="54"/>
      <c r="G219" s="54"/>
      <c r="H219" s="54"/>
      <c r="I219" s="56">
        <f t="shared" ref="I219:I237" si="8">IF(A219&lt;&gt;0,(B219-(B218-D218))/(A219-A218),"")</f>
        <v>8.8000000000000007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>
        <v>20</v>
      </c>
      <c r="B220" s="63">
        <f>75+54</f>
        <v>129</v>
      </c>
      <c r="C220" s="63">
        <v>1</v>
      </c>
      <c r="D220" s="63">
        <v>54</v>
      </c>
      <c r="E220" s="54"/>
      <c r="F220" s="54"/>
      <c r="G220" s="54"/>
      <c r="H220" s="54">
        <v>1</v>
      </c>
      <c r="I220" s="56">
        <f t="shared" si="8"/>
        <v>11.2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3">
        <v>25</v>
      </c>
      <c r="B221" s="63">
        <f>100+26</f>
        <v>126</v>
      </c>
      <c r="C221" s="63"/>
      <c r="D221" s="63"/>
      <c r="E221" s="54"/>
      <c r="F221" s="54"/>
      <c r="G221" s="54"/>
      <c r="H221" s="54"/>
      <c r="I221" s="56">
        <f t="shared" si="8"/>
        <v>10.199999999999999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3">
        <v>30</v>
      </c>
      <c r="B222" s="63">
        <f>122+26+27</f>
        <v>175</v>
      </c>
      <c r="C222" s="63">
        <v>2</v>
      </c>
      <c r="D222" s="63">
        <f>26+27</f>
        <v>53</v>
      </c>
      <c r="E222" s="54"/>
      <c r="F222" s="54"/>
      <c r="G222" s="54"/>
      <c r="H222" s="54">
        <v>1</v>
      </c>
      <c r="I222" s="56">
        <f t="shared" si="8"/>
        <v>9.8000000000000007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3">
        <v>35</v>
      </c>
      <c r="B223" s="63">
        <f>141+27</f>
        <v>168</v>
      </c>
      <c r="C223" s="63"/>
      <c r="D223" s="63"/>
      <c r="E223" s="54"/>
      <c r="F223" s="54"/>
      <c r="G223" s="54"/>
      <c r="H223" s="54"/>
      <c r="I223" s="56">
        <f t="shared" si="8"/>
        <v>9.1999999999999993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3">
        <v>40</v>
      </c>
      <c r="B224" s="63">
        <f>158+27+27</f>
        <v>212</v>
      </c>
      <c r="C224" s="63">
        <v>3</v>
      </c>
      <c r="D224" s="63">
        <f>27+27</f>
        <v>54</v>
      </c>
      <c r="E224" s="54"/>
      <c r="F224" s="54"/>
      <c r="G224" s="54"/>
      <c r="H224" s="54"/>
      <c r="I224" s="56">
        <f t="shared" si="8"/>
        <v>8.8000000000000007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3">
        <v>45</v>
      </c>
      <c r="B225" s="53">
        <f>172+26</f>
        <v>198</v>
      </c>
      <c r="C225" s="53"/>
      <c r="D225" s="53"/>
      <c r="E225" s="54"/>
      <c r="F225" s="54"/>
      <c r="G225" s="54"/>
      <c r="H225" s="54"/>
      <c r="I225" s="56">
        <f t="shared" si="8"/>
        <v>8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3">
        <v>50</v>
      </c>
      <c r="B226" s="53">
        <f>185+26+24</f>
        <v>235</v>
      </c>
      <c r="C226" s="53">
        <v>4</v>
      </c>
      <c r="D226" s="53">
        <f>26+24</f>
        <v>50</v>
      </c>
      <c r="E226" s="54"/>
      <c r="F226" s="54"/>
      <c r="G226" s="54"/>
      <c r="H226" s="54"/>
      <c r="I226" s="56">
        <f t="shared" si="8"/>
        <v>7.4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3">
        <v>55</v>
      </c>
      <c r="B227" s="53">
        <f>195+23</f>
        <v>218</v>
      </c>
      <c r="C227" s="53"/>
      <c r="D227" s="53"/>
      <c r="E227" s="54"/>
      <c r="F227" s="54"/>
      <c r="G227" s="54"/>
      <c r="H227" s="54"/>
      <c r="I227" s="56">
        <f t="shared" si="8"/>
        <v>6.6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3">
        <v>60</v>
      </c>
      <c r="B228" s="53">
        <f>204+23+21</f>
        <v>248</v>
      </c>
      <c r="C228" s="53">
        <v>5</v>
      </c>
      <c r="D228" s="53">
        <f>23+21</f>
        <v>44</v>
      </c>
      <c r="E228" s="54"/>
      <c r="F228" s="54"/>
      <c r="G228" s="54"/>
      <c r="H228" s="54"/>
      <c r="I228" s="56">
        <f t="shared" si="8"/>
        <v>6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3">
        <v>65</v>
      </c>
      <c r="B229" s="53">
        <f>212+20</f>
        <v>232</v>
      </c>
      <c r="C229" s="53"/>
      <c r="D229" s="53"/>
      <c r="E229" s="54"/>
      <c r="F229" s="54"/>
      <c r="G229" s="54"/>
      <c r="H229" s="54"/>
      <c r="I229" s="56">
        <f t="shared" si="8"/>
        <v>5.6</v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3">
        <v>70</v>
      </c>
      <c r="B230" s="53">
        <f>219+20+18</f>
        <v>257</v>
      </c>
      <c r="C230" s="53">
        <v>6</v>
      </c>
      <c r="D230" s="53">
        <f>20+18</f>
        <v>38</v>
      </c>
      <c r="E230" s="54"/>
      <c r="F230" s="54"/>
      <c r="G230" s="54"/>
      <c r="H230" s="54"/>
      <c r="I230" s="56">
        <f t="shared" si="8"/>
        <v>5</v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53">
        <v>75</v>
      </c>
      <c r="B231" s="53">
        <f>225+16</f>
        <v>241</v>
      </c>
      <c r="C231" s="53"/>
      <c r="D231" s="53"/>
      <c r="E231" s="54"/>
      <c r="F231" s="54"/>
      <c r="G231" s="54"/>
      <c r="H231" s="54"/>
      <c r="I231" s="56">
        <f t="shared" si="8"/>
        <v>4.4000000000000004</v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>
        <v>80</v>
      </c>
      <c r="B232" s="53">
        <f>230+16+15</f>
        <v>261</v>
      </c>
      <c r="C232" s="53">
        <v>7</v>
      </c>
      <c r="D232" s="53">
        <f>16+15</f>
        <v>31</v>
      </c>
      <c r="E232" s="54"/>
      <c r="F232" s="54"/>
      <c r="G232" s="54"/>
      <c r="H232" s="54"/>
      <c r="I232" s="56">
        <f t="shared" si="8"/>
        <v>4</v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>
        <v>85</v>
      </c>
      <c r="B233" s="53">
        <f>234+14</f>
        <v>248</v>
      </c>
      <c r="C233" s="53"/>
      <c r="D233" s="53"/>
      <c r="E233" s="54"/>
      <c r="F233" s="54"/>
      <c r="G233" s="54"/>
      <c r="H233" s="54"/>
      <c r="I233" s="56">
        <f t="shared" si="8"/>
        <v>3.6</v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>
        <v>90</v>
      </c>
      <c r="B234" s="53">
        <f>237+14+12</f>
        <v>263</v>
      </c>
      <c r="C234" s="53">
        <v>8</v>
      </c>
      <c r="D234" s="53">
        <f>14+12</f>
        <v>26</v>
      </c>
      <c r="E234" s="54"/>
      <c r="F234" s="54"/>
      <c r="G234" s="54"/>
      <c r="H234" s="54"/>
      <c r="I234" s="56">
        <f t="shared" si="8"/>
        <v>3</v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>
        <v>95</v>
      </c>
      <c r="B235" s="53">
        <f>240+12</f>
        <v>252</v>
      </c>
      <c r="C235" s="53"/>
      <c r="D235" s="53"/>
      <c r="E235" s="54"/>
      <c r="F235" s="54"/>
      <c r="G235" s="54"/>
      <c r="H235" s="54"/>
      <c r="I235" s="56">
        <f t="shared" si="8"/>
        <v>3</v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>
        <v>100</v>
      </c>
      <c r="B236" s="53">
        <f>243+12+12</f>
        <v>267</v>
      </c>
      <c r="C236" s="53">
        <v>9</v>
      </c>
      <c r="D236" s="53">
        <f>12+12</f>
        <v>24</v>
      </c>
      <c r="E236" s="54"/>
      <c r="F236" s="54"/>
      <c r="G236" s="54"/>
      <c r="H236" s="54"/>
      <c r="I236" s="56">
        <f t="shared" si="8"/>
        <v>3</v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4"/>
      <c r="F237" s="54"/>
      <c r="G237" s="54"/>
      <c r="H237" s="54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>Robinier faux-acacia</v>
      </c>
      <c r="D240" s="258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2" t="s">
        <v>186</v>
      </c>
      <c r="D242" s="292"/>
      <c r="E242" s="293" t="s">
        <v>187</v>
      </c>
      <c r="F242" s="294"/>
      <c r="G242" s="294"/>
      <c r="H242" s="295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>
        <v>5</v>
      </c>
      <c r="B244" s="63">
        <f>24+4</f>
        <v>28</v>
      </c>
      <c r="C244" s="63"/>
      <c r="D244" s="63"/>
      <c r="E244" s="54"/>
      <c r="F244" s="54"/>
      <c r="G244" s="54"/>
      <c r="H244" s="54"/>
      <c r="I244" s="56">
        <f>IFERROR(B244/A244,"")</f>
        <v>5.6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>
        <v>10</v>
      </c>
      <c r="B245" s="63">
        <f>58+4+21</f>
        <v>83</v>
      </c>
      <c r="C245" s="63"/>
      <c r="D245" s="63"/>
      <c r="E245" s="54"/>
      <c r="F245" s="54"/>
      <c r="G245" s="54"/>
      <c r="H245" s="54"/>
      <c r="I245" s="56">
        <f>IF(A245&lt;&gt;0,(B245-(B244-D244))/(A245-A244),"")</f>
        <v>11</v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>
        <v>15</v>
      </c>
      <c r="B246" s="63">
        <f>95+4+21+17</f>
        <v>137</v>
      </c>
      <c r="C246" s="63"/>
      <c r="D246" s="63"/>
      <c r="E246" s="54"/>
      <c r="F246" s="54"/>
      <c r="G246" s="54"/>
      <c r="H246" s="54"/>
      <c r="I246" s="56">
        <f>IF(A246&lt;&gt;0,(B246-(B245-D245))/(A246-A245),"")</f>
        <v>10.8</v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>
        <v>20</v>
      </c>
      <c r="B247" s="63">
        <f>131+4+21+17+14</f>
        <v>187</v>
      </c>
      <c r="C247" s="63">
        <v>1</v>
      </c>
      <c r="D247" s="63">
        <f>4+21+17+14</f>
        <v>56</v>
      </c>
      <c r="E247" s="54"/>
      <c r="F247" s="54"/>
      <c r="G247" s="54"/>
      <c r="H247" s="54">
        <v>1</v>
      </c>
      <c r="I247" s="56">
        <f t="shared" ref="I247:I263" si="9">IF(A247&lt;&gt;0,(B247-(B246-D246))/(A247-A246),"")</f>
        <v>10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>
        <v>25</v>
      </c>
      <c r="B248" s="63">
        <f>162+11</f>
        <v>173</v>
      </c>
      <c r="C248" s="63"/>
      <c r="D248" s="63"/>
      <c r="E248" s="54"/>
      <c r="F248" s="54"/>
      <c r="G248" s="54"/>
      <c r="H248" s="54"/>
      <c r="I248" s="56">
        <f t="shared" si="9"/>
        <v>8.4</v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>
        <v>30</v>
      </c>
      <c r="B249" s="63">
        <f>188+11+9</f>
        <v>208</v>
      </c>
      <c r="C249" s="63">
        <v>2</v>
      </c>
      <c r="D249" s="63">
        <f>11+9</f>
        <v>20</v>
      </c>
      <c r="E249" s="54"/>
      <c r="F249" s="54"/>
      <c r="G249" s="54"/>
      <c r="H249" s="54">
        <v>1</v>
      </c>
      <c r="I249" s="56">
        <f t="shared" si="9"/>
        <v>7</v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>
        <v>35</v>
      </c>
      <c r="B250" s="63">
        <f>209+7</f>
        <v>216</v>
      </c>
      <c r="C250" s="63"/>
      <c r="D250" s="63"/>
      <c r="E250" s="54"/>
      <c r="F250" s="54"/>
      <c r="G250" s="54"/>
      <c r="H250" s="54"/>
      <c r="I250" s="56">
        <f t="shared" si="9"/>
        <v>5.6</v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3">
        <v>40</v>
      </c>
      <c r="B251" s="53">
        <v>241</v>
      </c>
      <c r="C251" s="53"/>
      <c r="D251" s="53"/>
      <c r="E251" s="54"/>
      <c r="F251" s="54"/>
      <c r="G251" s="54"/>
      <c r="H251" s="54"/>
      <c r="I251" s="56">
        <f t="shared" si="9"/>
        <v>5</v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3">
        <v>45</v>
      </c>
      <c r="B252" s="53">
        <v>266</v>
      </c>
      <c r="C252" s="53">
        <v>3</v>
      </c>
      <c r="D252" s="53">
        <v>266</v>
      </c>
      <c r="E252" s="54"/>
      <c r="F252" s="54"/>
      <c r="G252" s="54"/>
      <c r="H252" s="54"/>
      <c r="I252" s="56">
        <f t="shared" si="9"/>
        <v>5</v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>Tilleul</v>
      </c>
      <c r="D266" s="258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2" t="s">
        <v>186</v>
      </c>
      <c r="D268" s="292"/>
      <c r="E268" s="293" t="s">
        <v>187</v>
      </c>
      <c r="F268" s="294"/>
      <c r="G268" s="294"/>
      <c r="H268" s="295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>
        <v>15</v>
      </c>
      <c r="B270" s="63">
        <f>78/1.56</f>
        <v>50</v>
      </c>
      <c r="C270" s="63"/>
      <c r="D270" s="63"/>
      <c r="E270" s="54"/>
      <c r="F270" s="54"/>
      <c r="G270" s="54"/>
      <c r="H270" s="54"/>
      <c r="I270" s="56">
        <f>IFERROR(B270/A270,"")</f>
        <v>3.3333333333333335</v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>
        <v>20</v>
      </c>
      <c r="B271" s="63">
        <f>(126+16)/1.56</f>
        <v>91.025641025641022</v>
      </c>
      <c r="C271" s="63">
        <v>1</v>
      </c>
      <c r="D271" s="63">
        <f>(16+22)/1.56</f>
        <v>24.358974358974358</v>
      </c>
      <c r="E271" s="54"/>
      <c r="F271" s="54"/>
      <c r="G271" s="54"/>
      <c r="H271" s="54">
        <v>1</v>
      </c>
      <c r="I271" s="56">
        <f>IF(A271&lt;&gt;0,(B271-(B270-D270))/(A271-A270),"")</f>
        <v>8.2051282051282044</v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>
        <v>25</v>
      </c>
      <c r="B272" s="63">
        <f>170/1.56</f>
        <v>108.97435897435896</v>
      </c>
      <c r="C272" s="63"/>
      <c r="D272" s="63"/>
      <c r="E272" s="54"/>
      <c r="F272" s="54"/>
      <c r="G272" s="54"/>
      <c r="H272" s="54"/>
      <c r="I272" s="56">
        <f t="shared" ref="I272:I289" si="10">IF(A272&lt;&gt;0,(B272-(B271-D271))/(A272-A271),"")</f>
        <v>8.4615384615384617</v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>
        <v>30</v>
      </c>
      <c r="B273" s="63">
        <f>(208+25)/1.56</f>
        <v>149.35897435897436</v>
      </c>
      <c r="C273" s="63">
        <v>2</v>
      </c>
      <c r="D273" s="63">
        <f>(25+26)/1.56</f>
        <v>32.692307692307693</v>
      </c>
      <c r="E273" s="54"/>
      <c r="F273" s="54"/>
      <c r="G273" s="54"/>
      <c r="H273" s="54">
        <v>1</v>
      </c>
      <c r="I273" s="56">
        <f t="shared" si="10"/>
        <v>8.0769230769230802</v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>
        <v>35</v>
      </c>
      <c r="B274" s="63">
        <f>242/1.56</f>
        <v>155.12820512820511</v>
      </c>
      <c r="C274" s="63"/>
      <c r="D274" s="63"/>
      <c r="E274" s="54"/>
      <c r="F274" s="54"/>
      <c r="G274" s="54"/>
      <c r="H274" s="54"/>
      <c r="I274" s="56">
        <f t="shared" si="10"/>
        <v>7.6923076923076881</v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>
        <v>40</v>
      </c>
      <c r="B275" s="63">
        <f>(271+27)/1.56</f>
        <v>191.02564102564102</v>
      </c>
      <c r="C275" s="63">
        <v>3</v>
      </c>
      <c r="D275" s="63">
        <f>(27+27)/1.56</f>
        <v>34.615384615384613</v>
      </c>
      <c r="E275" s="54"/>
      <c r="F275" s="54"/>
      <c r="G275" s="54"/>
      <c r="H275" s="54"/>
      <c r="I275" s="56">
        <f t="shared" si="10"/>
        <v>7.1794871794871824</v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>
        <v>45</v>
      </c>
      <c r="B276" s="63">
        <f>297/1.56</f>
        <v>190.38461538461539</v>
      </c>
      <c r="C276" s="63"/>
      <c r="D276" s="63"/>
      <c r="E276" s="54"/>
      <c r="F276" s="54"/>
      <c r="G276" s="54"/>
      <c r="H276" s="54"/>
      <c r="I276" s="56">
        <f t="shared" si="10"/>
        <v>6.7948717948717956</v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3">
        <v>50</v>
      </c>
      <c r="B277" s="53">
        <v>221.7948717948718</v>
      </c>
      <c r="C277" s="53">
        <v>4</v>
      </c>
      <c r="D277" s="53">
        <v>32.692307692307693</v>
      </c>
      <c r="E277" s="54"/>
      <c r="F277" s="54"/>
      <c r="G277" s="54"/>
      <c r="H277" s="54"/>
      <c r="I277" s="56">
        <f t="shared" si="10"/>
        <v>6.2820512820512819</v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3">
        <v>55</v>
      </c>
      <c r="B278" s="53">
        <v>217.94871794871793</v>
      </c>
      <c r="C278" s="53"/>
      <c r="D278" s="53"/>
      <c r="E278" s="54"/>
      <c r="F278" s="54"/>
      <c r="G278" s="54"/>
      <c r="H278" s="54"/>
      <c r="I278" s="56">
        <f t="shared" si="10"/>
        <v>5.7692307692307683</v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3">
        <v>60</v>
      </c>
      <c r="B279" s="53">
        <v>244.87179487179486</v>
      </c>
      <c r="C279" s="53">
        <v>5</v>
      </c>
      <c r="D279" s="53">
        <v>30.128205128205128</v>
      </c>
      <c r="E279" s="54"/>
      <c r="F279" s="54"/>
      <c r="G279" s="54"/>
      <c r="H279" s="54"/>
      <c r="I279" s="56">
        <f t="shared" si="10"/>
        <v>5.3846153846153868</v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3">
        <v>65</v>
      </c>
      <c r="B280" s="53">
        <v>240.38461538461539</v>
      </c>
      <c r="C280" s="53"/>
      <c r="D280" s="53"/>
      <c r="E280" s="54"/>
      <c r="F280" s="54"/>
      <c r="G280" s="54"/>
      <c r="H280" s="54"/>
      <c r="I280" s="56">
        <f t="shared" si="10"/>
        <v>5.1282051282051331</v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3">
        <v>70</v>
      </c>
      <c r="B281" s="53">
        <v>265.38461538461536</v>
      </c>
      <c r="C281" s="53">
        <v>6</v>
      </c>
      <c r="D281" s="53">
        <v>27.564102564102562</v>
      </c>
      <c r="E281" s="54"/>
      <c r="F281" s="54"/>
      <c r="G281" s="54"/>
      <c r="H281" s="54"/>
      <c r="I281" s="56">
        <f t="shared" si="10"/>
        <v>4.9999999999999947</v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3">
        <v>75</v>
      </c>
      <c r="B282" s="53">
        <v>260.89743589743591</v>
      </c>
      <c r="C282" s="53"/>
      <c r="D282" s="53"/>
      <c r="E282" s="54"/>
      <c r="F282" s="54"/>
      <c r="G282" s="54"/>
      <c r="H282" s="54"/>
      <c r="I282" s="56">
        <f t="shared" si="10"/>
        <v>4.6153846153846247</v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53">
        <v>80</v>
      </c>
      <c r="B283" s="53">
        <v>282.05128205128204</v>
      </c>
      <c r="C283" s="53">
        <v>7</v>
      </c>
      <c r="D283" s="53">
        <v>26.282051282051281</v>
      </c>
      <c r="E283" s="54"/>
      <c r="F283" s="54"/>
      <c r="G283" s="54"/>
      <c r="H283" s="54"/>
      <c r="I283" s="56">
        <f t="shared" si="10"/>
        <v>4.2307692307692264</v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>
        <v>85</v>
      </c>
      <c r="B284" s="53">
        <v>276.28205128205127</v>
      </c>
      <c r="C284" s="53"/>
      <c r="D284" s="53"/>
      <c r="E284" s="54"/>
      <c r="F284" s="54"/>
      <c r="G284" s="54"/>
      <c r="H284" s="54"/>
      <c r="I284" s="56">
        <f t="shared" si="10"/>
        <v>4.1025641025640995</v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>
        <v>90</v>
      </c>
      <c r="B285" s="53">
        <v>295.5128205128205</v>
      </c>
      <c r="C285" s="53">
        <v>8</v>
      </c>
      <c r="D285" s="53">
        <v>24.358974358974358</v>
      </c>
      <c r="E285" s="54"/>
      <c r="F285" s="54"/>
      <c r="G285" s="54"/>
      <c r="H285" s="54"/>
      <c r="I285" s="56">
        <f t="shared" si="10"/>
        <v>3.8461538461538454</v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>
        <v>95</v>
      </c>
      <c r="B286" s="53">
        <v>289.74358974358972</v>
      </c>
      <c r="C286" s="53"/>
      <c r="D286" s="53"/>
      <c r="E286" s="54"/>
      <c r="F286" s="54"/>
      <c r="G286" s="54"/>
      <c r="H286" s="54"/>
      <c r="I286" s="56">
        <f t="shared" si="10"/>
        <v>3.7179487179487181</v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>
        <v>100</v>
      </c>
      <c r="B287" s="53">
        <v>307.69230769230768</v>
      </c>
      <c r="C287" s="53">
        <v>9</v>
      </c>
      <c r="D287" s="53">
        <v>22.435897435897434</v>
      </c>
      <c r="E287" s="54"/>
      <c r="F287" s="54"/>
      <c r="G287" s="54"/>
      <c r="H287" s="54"/>
      <c r="I287" s="56">
        <f t="shared" si="10"/>
        <v>3.5897435897435912</v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>
        <v>105</v>
      </c>
      <c r="B288" s="53">
        <v>301.28205128205127</v>
      </c>
      <c r="C288" s="53"/>
      <c r="D288" s="53"/>
      <c r="E288" s="54"/>
      <c r="F288" s="54"/>
      <c r="G288" s="54"/>
      <c r="H288" s="54"/>
      <c r="I288" s="56">
        <f t="shared" si="10"/>
        <v>3.2051282051282102</v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>
        <v>110</v>
      </c>
      <c r="B289" s="53">
        <v>317.94871794871796</v>
      </c>
      <c r="C289" s="53">
        <v>10</v>
      </c>
      <c r="D289" s="53">
        <v>317.94871794871796</v>
      </c>
      <c r="E289" s="54"/>
      <c r="F289" s="54"/>
      <c r="G289" s="54"/>
      <c r="H289" s="54"/>
      <c r="I289" s="56">
        <f t="shared" si="10"/>
        <v>3.333333333333337</v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B18" sqref="B18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7" t="s">
        <v>191</v>
      </c>
      <c r="C2" s="308"/>
      <c r="D2" s="308"/>
      <c r="E2" s="308"/>
      <c r="F2" s="308"/>
      <c r="G2" s="30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6"/>
      <c r="C4" s="306"/>
      <c r="D4" s="306"/>
      <c r="E4" s="306"/>
      <c r="F4" s="306"/>
      <c r="G4" s="30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6"/>
      <c r="C6" s="236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4"/>
      <c r="E7" s="110"/>
      <c r="F7" s="29" t="s">
        <v>295</v>
      </c>
      <c r="G7" s="109" t="s">
        <v>215</v>
      </c>
      <c r="H7" s="235"/>
      <c r="I7" s="235"/>
      <c r="J7" s="235"/>
      <c r="K7" s="235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5"/>
      <c r="B13" s="116"/>
      <c r="C13" s="107" t="s">
        <v>273</v>
      </c>
      <c r="D13" s="235"/>
      <c r="E13" s="108"/>
      <c r="F13" s="116"/>
      <c r="G13" s="107" t="s">
        <v>301</v>
      </c>
      <c r="H13" s="235"/>
      <c r="I13" s="235"/>
      <c r="J13" s="235"/>
      <c r="K13" s="235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5"/>
      <c r="B14" s="116"/>
      <c r="C14" s="107" t="s">
        <v>309</v>
      </c>
      <c r="D14" s="235"/>
      <c r="E14" s="108"/>
      <c r="F14" s="116"/>
      <c r="G14" s="107" t="s">
        <v>294</v>
      </c>
      <c r="H14" s="235"/>
      <c r="I14" s="235"/>
      <c r="J14" s="235"/>
      <c r="K14" s="235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3" t="s">
        <v>176</v>
      </c>
      <c r="C1" s="314"/>
      <c r="D1" s="314"/>
      <c r="E1" s="314"/>
      <c r="F1" s="314"/>
      <c r="G1" s="314"/>
      <c r="H1" s="315"/>
      <c r="I1" s="310" t="str">
        <f>IF('Données projet'!$B$9="","",'Données projet'!$B$9)</f>
        <v>Chêne sessile</v>
      </c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2"/>
      <c r="AD1" s="311" t="str">
        <f>IF('Données projet'!$B$10="","",'Données projet'!$B$10)</f>
        <v>Châtaignier</v>
      </c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  <c r="AV1" s="311"/>
      <c r="AW1" s="311"/>
      <c r="AX1" s="312"/>
      <c r="AY1" s="310" t="str">
        <f>IF('Données projet'!$B$11="","",'Données projet'!$B$11)</f>
        <v>Chêne pubescent</v>
      </c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2"/>
      <c r="BT1" s="310" t="str">
        <f>IF('Données projet'!$B$12="","",'Données projet'!$B$12)</f>
        <v>Hêtre</v>
      </c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2"/>
      <c r="CO1" s="310" t="str">
        <f>IF('Données projet'!$B$13="","",'Données projet'!$B$13)</f>
        <v>Merisier</v>
      </c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2"/>
      <c r="DJ1" s="310" t="str">
        <f>IF('Données projet'!$B$14="","",'Données projet'!$B$14)</f>
        <v>Charme</v>
      </c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1"/>
      <c r="DZ1" s="311"/>
      <c r="EA1" s="311"/>
      <c r="EB1" s="311"/>
      <c r="EC1" s="311"/>
      <c r="ED1" s="312"/>
      <c r="EE1" s="310" t="str">
        <f>IF('Données projet'!$B$15="","",'Données projet'!$B$15)</f>
        <v>Alisier torminal</v>
      </c>
      <c r="EF1" s="311"/>
      <c r="EG1" s="311"/>
      <c r="EH1" s="311"/>
      <c r="EI1" s="311"/>
      <c r="EJ1" s="311"/>
      <c r="EK1" s="311"/>
      <c r="EL1" s="311"/>
      <c r="EM1" s="311"/>
      <c r="EN1" s="311"/>
      <c r="EO1" s="311"/>
      <c r="EP1" s="311"/>
      <c r="EQ1" s="311"/>
      <c r="ER1" s="311"/>
      <c r="ES1" s="311"/>
      <c r="ET1" s="311"/>
      <c r="EU1" s="311"/>
      <c r="EV1" s="311"/>
      <c r="EW1" s="311"/>
      <c r="EX1" s="311"/>
      <c r="EY1" s="312"/>
      <c r="EZ1" s="310" t="str">
        <f>IF('Données projet'!$B$16="","",'Données projet'!$B$16)</f>
        <v>Chêne rouge d'Amérique</v>
      </c>
      <c r="FA1" s="311"/>
      <c r="FB1" s="311"/>
      <c r="FC1" s="311"/>
      <c r="FD1" s="311"/>
      <c r="FE1" s="311"/>
      <c r="FF1" s="311"/>
      <c r="FG1" s="311"/>
      <c r="FH1" s="311"/>
      <c r="FI1" s="311"/>
      <c r="FJ1" s="311"/>
      <c r="FK1" s="311"/>
      <c r="FL1" s="311"/>
      <c r="FM1" s="311"/>
      <c r="FN1" s="311"/>
      <c r="FO1" s="311"/>
      <c r="FP1" s="311"/>
      <c r="FQ1" s="311"/>
      <c r="FR1" s="311"/>
      <c r="FS1" s="311"/>
      <c r="FT1" s="312"/>
      <c r="FU1" s="310" t="str">
        <f>IF('Données projet'!$B$17="","",'Données projet'!$B$17)</f>
        <v>Robinier faux-acacia</v>
      </c>
      <c r="FV1" s="311"/>
      <c r="FW1" s="311"/>
      <c r="FX1" s="311"/>
      <c r="FY1" s="311"/>
      <c r="FZ1" s="311"/>
      <c r="GA1" s="311"/>
      <c r="GB1" s="311"/>
      <c r="GC1" s="311"/>
      <c r="GD1" s="311"/>
      <c r="GE1" s="311"/>
      <c r="GF1" s="311"/>
      <c r="GG1" s="311"/>
      <c r="GH1" s="311"/>
      <c r="GI1" s="311"/>
      <c r="GJ1" s="311"/>
      <c r="GK1" s="311"/>
      <c r="GL1" s="311"/>
      <c r="GM1" s="311"/>
      <c r="GN1" s="311"/>
      <c r="GO1" s="312"/>
      <c r="GP1" s="310" t="str">
        <f>IF('Données projet'!$B$18="","",'Données projet'!$B$18)</f>
        <v>Tilleul</v>
      </c>
      <c r="GQ1" s="311"/>
      <c r="GR1" s="311"/>
      <c r="GS1" s="311"/>
      <c r="GT1" s="311"/>
      <c r="GU1" s="311"/>
      <c r="GV1" s="311"/>
      <c r="GW1" s="311"/>
      <c r="GX1" s="311"/>
      <c r="GY1" s="311"/>
      <c r="GZ1" s="311"/>
      <c r="HA1" s="311"/>
      <c r="HB1" s="311"/>
      <c r="HC1" s="311"/>
      <c r="HD1" s="311"/>
      <c r="HE1" s="311"/>
      <c r="HF1" s="311"/>
      <c r="HG1" s="311"/>
      <c r="HH1" s="311"/>
      <c r="HI1" s="311"/>
      <c r="HJ1" s="312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512.84819850818667</v>
      </c>
      <c r="T3" s="62">
        <f>IF('Données projet'!E9&gt;30,$R$33-$H$33,LOOKUP('Données projet'!$E$9,$A$3:$A$203,R3:R203)-LOOKUP('Données projet'!$E$9,$A$3:$A$203,$H$3:$H$203))</f>
        <v>332.61387922152159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344.45199703750711</v>
      </c>
      <c r="AO3" s="62">
        <f>IF('Données projet'!E10&gt;30,$AM$33-$H$33,LOOKUP('Données projet'!$E$10,$A$3:$A$203,AM3:AM203)-LOOKUP('Données projet'!$E$10,$A$3:$A$203,$H$3:$H$203))</f>
        <v>376.41441893222185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569.39473185784823</v>
      </c>
      <c r="BJ3" s="62">
        <f>IF('Données projet'!E11&gt;30,$BH$33-$H$33,LOOKUP('Données projet'!$E$11,$A$3:$A$203,BH3:BH203)-LOOKUP('Données projet'!$E$11,$A$3:$A$203,$H$3:$H$203))</f>
        <v>367.42881145517066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554.06253050955502</v>
      </c>
      <c r="CE3" s="62">
        <f>IF('Données projet'!E12&gt;30,$CC$33-$H$33,LOOKUP('Données projet'!$E$12,$A$3:$A$203,CC3:CC203)-LOOKUP('Données projet'!$E$12,$A$3:$A$203,$H$3:$H$203))</f>
        <v>269.71949336355789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292.21364130214391</v>
      </c>
      <c r="CZ3" s="62">
        <f>IF('Données projet'!E13&gt;30,$CX$33-$H$33,LOOKUP('Données projet'!$E$13,$A$3:$A$203,CX3:CX203)-LOOKUP('Données projet'!$E$13,$A$3:$A$203,$H$3:$H$203))</f>
        <v>283.48738729114024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256.66666666666669</v>
      </c>
      <c r="DT3" s="62">
        <f ca="1">AVERAGE(OFFSET($DS$3,0,0,'Données projet'!$E$14+1,1))-AVERAGE(OFFSET($H$3,0,0,'Données projet'!$E$14+1,1))</f>
        <v>427.47603885390191</v>
      </c>
      <c r="DU3" s="62">
        <f>IF('Données projet'!E14&gt;30,$DS$33-$H$33,LOOKUP('Données projet'!$E$14,$A$3:$A$203,DS3:DS203)-LOOKUP('Données projet'!$E$14,$A$3:$A$203,$H$3:$H$203))</f>
        <v>350.88664394632116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256.66666666666669</v>
      </c>
      <c r="EO3" s="62">
        <f ca="1">AVERAGE(OFFSET($EN$3,0,0,'Données projet'!$E$15+1,1))-AVERAGE(OFFSET($H$3,0,0,'Données projet'!$E$15+1,1))</f>
        <v>455.50822833641354</v>
      </c>
      <c r="EP3" s="62">
        <f>IF('Données projet'!E15&gt;30,$EN$33-$H$33,LOOKUP('Données projet'!$E$15,$A$3:$A$203,EN3:EN203)-LOOKUP('Données projet'!$E$15,$A$3:$A$203,$H$3:$H$203))</f>
        <v>261.14722581688039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2">
        <f>FH3+(EZ3+FA3)*44/12</f>
        <v>256.66666666666669</v>
      </c>
      <c r="FJ3" s="62">
        <f ca="1">AVERAGE(OFFSET($FI$3,0,0,'Données projet'!$E$16+1,1))-AVERAGE(OFFSET($H$3,0,0,'Données projet'!$E$16+1,1))</f>
        <v>369.34989412920129</v>
      </c>
      <c r="FK3" s="62">
        <f>IF('Données projet'!E16&gt;30,$FI$33-$H$33,LOOKUP('Données projet'!$E$16,$A$3:$A$203,FI3:FI203)-LOOKUP('Données projet'!$E$16,$A$3:$A$203,$H$3:$H$203))</f>
        <v>371.26234252426553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projet'!$B$17,Paramètres!$A$1:$I$89,3,0)*VLOOKUP('Données projet'!$B$17,Paramètres!$A$1:$I$89,5,0)</f>
        <v>0</v>
      </c>
      <c r="GB3" s="13">
        <v>0</v>
      </c>
      <c r="GC3" s="15">
        <f>(GA3+GB3)*0.475*44/12</f>
        <v>0</v>
      </c>
      <c r="GD3" s="62">
        <f>GC3+(FU3+FV3)*44/12</f>
        <v>256.66666666666669</v>
      </c>
      <c r="GE3" s="62">
        <f ca="1">AVERAGE(OFFSET($GD$3,0,0,'Données projet'!$E$17+1,1))-AVERAGE(OFFSET($H$3,0,0,'Données projet'!$E$17+1,1))</f>
        <v>324.4489531703187</v>
      </c>
      <c r="GF3" s="62">
        <f>IF('Données projet'!E17&gt;30,$GD$33-$H$33,LOOKUP('Données projet'!$E$17,$A$3:$A$203,GD3:GD203)-LOOKUP('Données projet'!$E$17,$A$3:$A$203,$H$3:$H$203))</f>
        <v>446.55019360848706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>
        <f>GU3*VLOOKUP('Données projet'!$B$18,Paramètres!$A$1:$I$89,3,0)*VLOOKUP('Données projet'!$B$18,Paramètres!$A$1:$I$89,5,0)</f>
        <v>0</v>
      </c>
      <c r="GW3" s="13">
        <v>0</v>
      </c>
      <c r="GX3" s="15">
        <f>(GV3+GW3)*0.475*44/12</f>
        <v>0</v>
      </c>
      <c r="GY3" s="62">
        <f>GX3+(GP3+GQ3)*44/12</f>
        <v>256.66666666666669</v>
      </c>
      <c r="GZ3" s="62">
        <f ca="1">AVERAGE(OFFSET($GY$3,0,0,'Données projet'!$E$18+1,1))-AVERAGE(OFFSET($H$3,0,0,'Données projet'!$E$18+1,1))</f>
        <v>312.06797204903796</v>
      </c>
      <c r="HA3" s="62">
        <f>IF('Données projet'!E18&gt;30,$GY$33-$H$33,LOOKUP('Données projet'!$E$18,$A$3:$A$203,GY3:GY203)-LOOKUP('Données projet'!$E$18,$A$3:$A$203,$H$3:$H$203))</f>
        <v>258.20189001775151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3.65</v>
      </c>
      <c r="N4" s="14">
        <f>IF('Données projet'!$A$36&gt;35,N3+M4-V3,IF(A4&lt;'Données projet'!$A$36,$K$205^A4,IF(A4='Données projet'!$A$36,'Données projet'!$B$36,N3+M4-V3)))</f>
        <v>1.2392705892426346</v>
      </c>
      <c r="O4" s="14">
        <f>N4*VLOOKUP('Données projet'!$B$9,Paramètres!$A$1:$I$89,3,0)*VLOOKUP('Données projet'!$B$9,Paramètres!$A$1:$I$89,5,0)</f>
        <v>1.1212920291467359</v>
      </c>
      <c r="P4" s="14">
        <f>EXP(-1.0587+0.8836*LN(O4)+0.284)</f>
        <v>0.50989827066551541</v>
      </c>
      <c r="Q4" s="22">
        <f t="shared" ref="Q4:Q34" si="2">(O4+P4)*0.475*44/12</f>
        <v>2.8409897721730037</v>
      </c>
      <c r="R4" s="62">
        <f t="shared" si="0"/>
        <v>260.72987866106189</v>
      </c>
      <c r="S4" s="62">
        <f ca="1">AVERAGE(OFFSET($R$3,0,0,'Données projet'!$E$9+1,1))-AVERAGE(OFFSET($H$3,0,0,'Données projet'!$E$9+1,1))</f>
        <v>512.84819850818667</v>
      </c>
      <c r="T4" s="62">
        <f>$T$3</f>
        <v>332.61387922152159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1.1099999999999999</v>
      </c>
      <c r="AI4" s="14">
        <f>IF('Données projet'!$A$62&gt;35,AI3+AH4-AQ3,IF(A4&lt;'Données projet'!$A$62,$AF$205^A4,IF(A4='Données projet'!$A$62,'Données projet'!$B$62,AI3+AH4-AQ3)))</f>
        <v>1.2721323532877689</v>
      </c>
      <c r="AJ4" s="14">
        <f>AI4*VLOOKUP('Données projet'!$B$10,Paramètres!$A$1:$I$89,3,0)*VLOOKUP('Données projet'!$B$10,Paramètres!$A$1:$I$89,5,0)</f>
        <v>0.93272744143059216</v>
      </c>
      <c r="AK4" s="14">
        <f>EXP(-1.0587+0.8836*LN(AJ4)+0.284)</f>
        <v>0.43333858977228618</v>
      </c>
      <c r="AL4" s="22">
        <f t="shared" ref="AL4:AL67" si="4">(AJ4+AK4)*0.475*44/12</f>
        <v>2.3792316710116794</v>
      </c>
      <c r="AM4" s="62">
        <f t="shared" ref="AM4:AM67" si="5">AL4+(AD4+AE4)*44/12</f>
        <v>260.26812055990052</v>
      </c>
      <c r="AN4" s="62">
        <f ca="1">AVERAGE(OFFSET($AM$3,0,0,'Données projet'!$E$10+1,1))-AVERAGE(OFFSET($H$3,0,0,'Données projet'!$E$10+1,1))</f>
        <v>344.45199703750711</v>
      </c>
      <c r="AO4" s="62">
        <f>$AO$3</f>
        <v>376.41441893222185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3.65</v>
      </c>
      <c r="BD4" s="13">
        <f>IF('Données projet'!$A$88&gt;35,BD3+BC4-BL3,IF(A4&lt;'Données projet'!$A$88,$BA$205^A4,IF(A4='Données projet'!$A$88,'Données projet'!$B$88,BD3+BC4-BL3)))</f>
        <v>1.2392705892426346</v>
      </c>
      <c r="BE4" s="14">
        <f>BD4*VLOOKUP('Données projet'!$B$11,Paramètres!$A$1:$I$89,3,0)*VLOOKUP('Données projet'!$B$11,Paramètres!$A$1:$I$89,5,0)</f>
        <v>1.2566203774920315</v>
      </c>
      <c r="BF4" s="14">
        <f>EXP(-1.0587+0.8836*LN(BE4)+0.284)</f>
        <v>0.56390871417545174</v>
      </c>
      <c r="BG4" s="22">
        <f t="shared" ref="BG4:BG67" si="7">(BE4+BF4)*0.475*44/12</f>
        <v>3.1707548346542</v>
      </c>
      <c r="BH4" s="62">
        <f t="shared" ref="BH4:BH67" si="8">BG4+(AY4+AZ4)*44/12</f>
        <v>261.05964372354305</v>
      </c>
      <c r="BI4" s="62">
        <f ca="1">AVERAGE(OFFSET($BH$3,0,0,'Données projet'!$E$11+1,1))-AVERAGE(OFFSET($H$3,0,0,'Données projet'!$E$11+1,1))</f>
        <v>569.39473185784823</v>
      </c>
      <c r="BJ4" s="62">
        <f>$BJ$3</f>
        <v>367.42881145517066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1.6</v>
      </c>
      <c r="BY4" s="13">
        <f>IF('Données projet'!$A$114&gt;35,BY3+BX4-CG3,IF(A4&lt;'Données projet'!$A$114,$BV$205^A4,IF(A4='Données projet'!$A$114,'Données projet'!$B$114,BY3+BX4-CG3)))</f>
        <v>1.189207115002721</v>
      </c>
      <c r="BZ4" s="14">
        <f>BY4*VLOOKUP('Données projet'!$B$12,Paramètres!$A$1:$I$89,3,0)*VLOOKUP('Données projet'!$B$12,Paramètres!$A$1:$I$89,5,0)</f>
        <v>1.0203397046723348</v>
      </c>
      <c r="CA4" s="14">
        <f>EXP(-1.0587+0.8836*LN(BZ4)+0.284)</f>
        <v>0.46911460970544039</v>
      </c>
      <c r="CB4" s="22">
        <f t="shared" ref="CB4:CB67" si="10">(BZ4+CA4)*0.475*44/12</f>
        <v>2.594132930874625</v>
      </c>
      <c r="CC4" s="62">
        <f t="shared" ref="CC4:CC67" si="11">CB4+(BT4+BU4)*44/12</f>
        <v>260.48302181976351</v>
      </c>
      <c r="CD4" s="62">
        <f ca="1">AVERAGE(OFFSET($CC$3,0,0,'Données projet'!$E$12+1,1))-AVERAGE(OFFSET($H$3,0,0,'Données projet'!$E$12+1,1))</f>
        <v>554.06253050955502</v>
      </c>
      <c r="CE4" s="62">
        <f>$CE$3</f>
        <v>269.71949336355789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2.6666666666666665</v>
      </c>
      <c r="CT4" s="13">
        <f>IF('Données projet'!$A$140&gt;35,CT3+CS4-DB3,IF(A4&lt;'Données projet'!$A$140,$CQ$205^A4,IF(A4='Données projet'!$A$140,'Données projet'!$B$140,CT3+CS4-DB3)))</f>
        <v>1.2788040393997409</v>
      </c>
      <c r="CU4" s="18">
        <f>CT4*VLOOKUP('Données projet'!$B$13,Paramètres!$A$1:$I$89,3,0)*VLOOKUP('Données projet'!$B$13,Paramètres!$A$1:$I$89,5,0)</f>
        <v>0.99746715073179792</v>
      </c>
      <c r="CV4" s="14">
        <f>EXP(-1.0587+0.8836*LN(CU4)+0.284)</f>
        <v>0.45981048445793882</v>
      </c>
      <c r="CW4" s="22">
        <f t="shared" ref="CW4:CW67" si="13">(CU4+CV4)*0.475*44/12</f>
        <v>2.5380918812887914</v>
      </c>
      <c r="CX4" s="62">
        <f t="shared" ref="CX4:CX67" si="14">CW4+(CO4+CP4)*44/12</f>
        <v>260.42698077017764</v>
      </c>
      <c r="CY4" s="62">
        <f ca="1">AVERAGE(OFFSET($CX$3,0,0,'Données projet'!$E$13+1,1))-AVERAGE(OFFSET($H$3,0,0,'Données projet'!$E$13+1,1))</f>
        <v>292.21364130214391</v>
      </c>
      <c r="CZ4" s="62">
        <f>$CZ$3</f>
        <v>283.48738729114024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2.4358974358974357</v>
      </c>
      <c r="DO4" s="13">
        <f>IF('Données projet'!$A$166&gt;35,DO3+DN4-DW3,IF(A4&lt;'Données projet'!$A$166,$DL$205^A4,IF(A4='Données projet'!$A$166,'Données projet'!$B$166,DO3+DN4-DW3)))</f>
        <v>1.3761503972240634</v>
      </c>
      <c r="DP4" s="18">
        <f>DO4*VLOOKUP('Données projet'!$B$14,Paramètres!$A$1:$I$89,3,0)*VLOOKUP('Données projet'!$B$14,Paramètres!$A$1:$I$89,5,0)</f>
        <v>1.3095447179984188</v>
      </c>
      <c r="DQ4" s="14">
        <f>EXP(-1.0587+0.8836*LN(DP4)+0.284)</f>
        <v>0.58484339737510005</v>
      </c>
      <c r="DR4" s="22">
        <f t="shared" ref="DR4:DR67" si="16">(DP4+DQ4)*0.475*44/12</f>
        <v>3.2993926342755451</v>
      </c>
      <c r="DS4" s="62">
        <f t="shared" ref="DS4:DS67" si="17">DR4+(DJ4+DK4)*44/12</f>
        <v>261.18828152316439</v>
      </c>
      <c r="DT4" s="62">
        <f ca="1">AVERAGE(OFFSET($DS$3,0,0,'Données projet'!$E$14+1,1))-AVERAGE(OFFSET($H$3,0,0,'Données projet'!$E$14+1,1))</f>
        <v>427.47603885390191</v>
      </c>
      <c r="DU4" s="62">
        <f>$DU$3</f>
        <v>350.88664394632116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2.1</v>
      </c>
      <c r="EJ4" s="13">
        <f>IF('Données projet'!$A$192&gt;35,EJ3+EI4-ER3,IF(A4&lt;'Données projet'!$A$192,$EG$205^A4,IF(A4='Données projet'!$A$192,'Données projet'!$B$192,EJ3+EI4-ER3)))</f>
        <v>1.2054868146447177</v>
      </c>
      <c r="EK4" s="18">
        <f>EJ4*VLOOKUP('Données projet'!$B$15,Paramètres!$A$1:$I$89,3,0)*VLOOKUP('Données projet'!$B$15,Paramètres!$A$1:$I$89,5,0)</f>
        <v>1.165946847124371</v>
      </c>
      <c r="EL4" s="14">
        <f>EXP(-1.0587+0.8836*LN(EK4)+0.284)</f>
        <v>0.52780002987456354</v>
      </c>
      <c r="EM4" s="22">
        <f t="shared" ref="EM4:EM67" si="19">(EK4+EL4)*0.475*44/12</f>
        <v>2.9499424774398109</v>
      </c>
      <c r="EN4" s="62">
        <f t="shared" ref="EN4:EN67" si="20">EM4+(EE4+EF4)*44/12</f>
        <v>260.83883136632869</v>
      </c>
      <c r="EO4" s="62">
        <f ca="1">AVERAGE(OFFSET($EN$3,0,0,'Données projet'!$E$15+1,1))-AVERAGE(OFFSET($H$3,0,0,'Données projet'!$E$15+1,1))</f>
        <v>455.50822833641354</v>
      </c>
      <c r="EP4" s="62">
        <f>$EP$3</f>
        <v>261.14722581688039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2.9</v>
      </c>
      <c r="FE4" s="13">
        <f>IF('Données projet'!$A$218&gt;35,FE3+FD4-FM3,IF(A4&lt;'Données projet'!$A$218,$FB$205^A4,IF(A4='Données projet'!$A$218,'Données projet'!$B$218,FE3+FD4-FM3)))</f>
        <v>1.4003603312913959</v>
      </c>
      <c r="FF4" s="18">
        <f>FE4*VLOOKUP('Données projet'!$B$16,Paramètres!$A$1:$I$89,3,0)*VLOOKUP('Données projet'!$B$16,Paramètres!$A$1:$I$89,5,0)</f>
        <v>1.2233547854161635</v>
      </c>
      <c r="FG4" s="14">
        <f>EXP(-1.0587+0.8836*LN(FF4)+0.284)</f>
        <v>0.55069785861405296</v>
      </c>
      <c r="FH4" s="22">
        <f t="shared" ref="FH4:FH67" si="22">(FF4+FG4)*0.475*44/12</f>
        <v>3.0898083550192936</v>
      </c>
      <c r="FI4" s="62">
        <f t="shared" ref="FI4:FI67" si="23">FH4+(EZ4+FA4)*44/12</f>
        <v>260.97869724390813</v>
      </c>
      <c r="FJ4" s="62">
        <f ca="1">AVERAGE(OFFSET($FI$3,0,0,'Données projet'!$E$16+1,1))-AVERAGE(OFFSET($H$3,0,0,'Données projet'!$E$16+1,1))</f>
        <v>369.34989412920129</v>
      </c>
      <c r="FK4" s="62">
        <f>$FK$3</f>
        <v>371.26234252426553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5.6</v>
      </c>
      <c r="FZ4" s="13">
        <f>IF('Données projet'!$A$244&gt;35,FZ3+FY4-GH3,IF(A4&lt;'Données projet'!$A$244,$FW$205^A4,IF(A4='Données projet'!$A$244,'Données projet'!$B$244,FZ3+FY4-GH3)))</f>
        <v>1.9472943612303364</v>
      </c>
      <c r="GA4" s="18">
        <f>FZ4*VLOOKUP('Données projet'!$B$17,Paramètres!$A$1:$I$89,3,0)*VLOOKUP('Données projet'!$B$17,Paramètres!$A$1:$I$89,5,0)</f>
        <v>1.7619119380412083</v>
      </c>
      <c r="GB4" s="14">
        <f>EXP(-1.0587+0.8836*LN(GA4)+0.284)</f>
        <v>0.76015770586189668</v>
      </c>
      <c r="GC4" s="22">
        <f t="shared" ref="GC4:GC67" si="25">(GA4+GB4)*0.475*44/12</f>
        <v>4.3926046297979076</v>
      </c>
      <c r="GD4" s="62">
        <f t="shared" ref="GD4:GD67" si="26">GC4+(FU4+FV4)*44/12</f>
        <v>262.28149351868677</v>
      </c>
      <c r="GE4" s="62">
        <f ca="1">AVERAGE(OFFSET($GD$3,0,0,'Données projet'!$E$17+1,1))-AVERAGE(OFFSET($H$3,0,0,'Données projet'!$E$17+1,1))</f>
        <v>324.4489531703187</v>
      </c>
      <c r="GF4" s="62">
        <f>$GF$3</f>
        <v>446.55019360848706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projet'!$B$17,Paramètres!$A$1:$I$89,3,0)*0.475*44/12</f>
        <v>0</v>
      </c>
      <c r="GM4" s="23">
        <f>EXP(-LN(2)/25)*GM3+(1-EXP(-LN(2)/25))/(LN(2)/25)*Calculateur!GH4*Calculateur!GJ4*VLOOKUP('Données projet'!$B$17,Paramètres!$A$1:$I$89,3,0)*0.475*44/12</f>
        <v>0</v>
      </c>
      <c r="GN4" s="23">
        <f>EXP(-LN(2)/2)*GN3+(1-EXP(-LN(2)/2))/(LN(2)/2)*GH4*GK4*VLOOKUP('Données projet'!$B$17,Paramètres!$A$1:$I$89,3,0)*0.475*44/12</f>
        <v>0</v>
      </c>
      <c r="GO4" s="23">
        <f t="shared" ref="GO4:GO67" si="27">SUM(GL4:GN4)</f>
        <v>0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3.3333333333333335</v>
      </c>
      <c r="GU4" s="13">
        <f>IF('Données projet'!$A$270&gt;35,GU3+GT4-HC3,IF(A4&lt;'Données projet'!$A$270,$GR$205^A4,IF(A4='Données projet'!$A$270,'Données projet'!$B$270,GU3+GT4-HC3)))</f>
        <v>1.2979700365523266</v>
      </c>
      <c r="GV4" s="18">
        <f>GU4*VLOOKUP('Données projet'!$B$18,Paramètres!$A$1:$I$89,3,0)*VLOOKUP('Données projet'!$B$18,Paramètres!$A$1:$I$89,5,0)</f>
        <v>0.87067830051930062</v>
      </c>
      <c r="GW4" s="14">
        <f>EXP(-1.0587+0.8836*LN(GV4)+0.284)</f>
        <v>0.40776537662742923</v>
      </c>
      <c r="GX4" s="22">
        <f t="shared" ref="GX4:GX67" si="28">(GV4+GW4)*0.475*44/12</f>
        <v>2.226622737697221</v>
      </c>
      <c r="GY4" s="62">
        <f t="shared" ref="GY4:GY67" si="29">GX4+(GP4+GQ4)*44/12</f>
        <v>260.11551162658606</v>
      </c>
      <c r="GZ4" s="62">
        <f ca="1">AVERAGE(OFFSET($GY$3,0,0,'Données projet'!$E$18+1,1))-AVERAGE(OFFSET($H$3,0,0,'Données projet'!$E$18+1,1))</f>
        <v>312.06797204903796</v>
      </c>
      <c r="HA4" s="62">
        <f>$HA$3</f>
        <v>258.20189001775151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>
        <f>EXP(-LN(2)/35)*HG3+(1-EXP(-LN(2)/35))/(LN(2)/35)*HC4*HD4*VLOOKUP('Données projet'!$B$18,Paramètres!$A$1:$I$89,3,0)*0.475*44/12</f>
        <v>0</v>
      </c>
      <c r="HH4" s="23">
        <f>EXP(-LN(2)/25)*HH3+(1-EXP(-LN(2)/25))/(LN(2)/25)*Calculateur!HC4*Calculateur!HE4*VLOOKUP('Données projet'!$B$18,Paramètres!$A$1:$I$89,3,0)*0.475*44/12</f>
        <v>0</v>
      </c>
      <c r="HI4" s="23">
        <f>EXP(-LN(2)/2)*HI3+(1-EXP(-LN(2)/2))/(LN(2)/2)*HC4*HF4*VLOOKUP('Données projet'!$B$18,Paramètres!$A$1:$I$89,3,0)*0.475*44/12</f>
        <v>0</v>
      </c>
      <c r="HJ4" s="24">
        <f t="shared" ref="HJ4:HJ67" si="30">SUM(HG4:HI4)</f>
        <v>0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3.65</v>
      </c>
      <c r="N5" s="14">
        <f>IF('Données projet'!$A$36&gt;35,N4+M5-V4,IF(A5&lt;'Données projet'!$A$36,$K$205^A5,IF(A5='Données projet'!$A$36,'Données projet'!$B$36,N4+M5-V4)))</f>
        <v>1.5357915933617867</v>
      </c>
      <c r="O5" s="14">
        <f>N5*VLOOKUP('Données projet'!$B$9,Paramètres!$A$1:$I$89,3,0)*VLOOKUP('Données projet'!$B$9,Paramètres!$A$1:$I$89,5,0)</f>
        <v>1.3895842336737447</v>
      </c>
      <c r="P5" s="14">
        <f t="shared" ref="P5:P68" si="33">EXP(-1.0587+0.8836*LN(O5)+0.284)</f>
        <v>0.61631841327304715</v>
      </c>
      <c r="Q5" s="22">
        <f t="shared" si="2"/>
        <v>3.4936137767656628</v>
      </c>
      <c r="R5" s="62">
        <f t="shared" si="0"/>
        <v>262.60472488787678</v>
      </c>
      <c r="S5" s="62">
        <f ca="1">AVERAGE(OFFSET($R$3,0,0,'Données projet'!$E$9+1,1))-AVERAGE(OFFSET($H$3,0,0,'Données projet'!$E$9+1,1))</f>
        <v>512.84819850818667</v>
      </c>
      <c r="T5" s="62">
        <f t="shared" ref="T5:T68" si="34">$T$3</f>
        <v>332.61387922152159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1.1099999999999999</v>
      </c>
      <c r="AI5" s="14">
        <f>IF('Données projet'!$A$62&gt;35,AI4+AH5-AQ4,IF(A5&lt;'Données projet'!$A$62,$AF$205^A5,IF(A5='Données projet'!$A$62,'Données projet'!$B$62,AI4+AH5-AQ4)))</f>
        <v>1.6183207242814768</v>
      </c>
      <c r="AJ5" s="14">
        <f>AI5*VLOOKUP('Données projet'!$B$10,Paramètres!$A$1:$I$89,3,0)*VLOOKUP('Données projet'!$B$10,Paramètres!$A$1:$I$89,5,0)</f>
        <v>1.1865527550431787</v>
      </c>
      <c r="AK5" s="14">
        <f t="shared" ref="AK5:AK68" si="35">EXP(-1.0587+0.8836*LN(AJ5)+0.284)</f>
        <v>0.53603371205753736</v>
      </c>
      <c r="AL5" s="22">
        <f t="shared" si="4"/>
        <v>3.0001714302004134</v>
      </c>
      <c r="AM5" s="62">
        <f t="shared" si="5"/>
        <v>262.11128254131154</v>
      </c>
      <c r="AN5" s="62">
        <f ca="1">AVERAGE(OFFSET($AM$3,0,0,'Données projet'!$E$10+1,1))-AVERAGE(OFFSET($H$3,0,0,'Données projet'!$E$10+1,1))</f>
        <v>344.45199703750711</v>
      </c>
      <c r="AO5" s="62">
        <f t="shared" ref="AO5:AO68" si="36">$AO$3</f>
        <v>376.41441893222185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3.65</v>
      </c>
      <c r="BD5" s="13">
        <f>IF('Données projet'!$A$88&gt;35,BD4+BC5-BL4,IF(A5&lt;'Données projet'!$A$88,$BA$205^A5,IF(A5='Données projet'!$A$88,'Données projet'!$B$88,BD4+BC5-BL4)))</f>
        <v>1.5357915933617867</v>
      </c>
      <c r="BE5" s="14">
        <f>BD5*VLOOKUP('Données projet'!$B$11,Paramètres!$A$1:$I$89,3,0)*VLOOKUP('Données projet'!$B$11,Paramètres!$A$1:$I$89,5,0)</f>
        <v>1.5572926756688519</v>
      </c>
      <c r="BF5" s="14">
        <f t="shared" ref="BF5:BF68" si="37">EXP(-1.0587+0.8836*LN(BE5)+0.284)</f>
        <v>0.68160129960402205</v>
      </c>
      <c r="BG5" s="22">
        <f t="shared" si="7"/>
        <v>3.8994070069335893</v>
      </c>
      <c r="BH5" s="62">
        <f t="shared" si="8"/>
        <v>263.01051811804473</v>
      </c>
      <c r="BI5" s="62">
        <f ca="1">AVERAGE(OFFSET($BH$3,0,0,'Données projet'!$E$11+1,1))-AVERAGE(OFFSET($H$3,0,0,'Données projet'!$E$11+1,1))</f>
        <v>569.39473185784823</v>
      </c>
      <c r="BJ5" s="62">
        <f t="shared" ref="BJ5:BJ68" si="38">$BJ$3</f>
        <v>367.42881145517066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1.6</v>
      </c>
      <c r="BY5" s="13">
        <f>IF('Données projet'!$A$114&gt;35,BY4+BX5-CG4,IF(A5&lt;'Données projet'!$A$114,$BV$205^A5,IF(A5='Données projet'!$A$114,'Données projet'!$B$114,BY4+BX5-CG4)))</f>
        <v>1.4142135623730949</v>
      </c>
      <c r="BZ5" s="14">
        <f>BY5*VLOOKUP('Données projet'!$B$12,Paramètres!$A$1:$I$89,3,0)*VLOOKUP('Données projet'!$B$12,Paramètres!$A$1:$I$89,5,0)</f>
        <v>1.2133952365161156</v>
      </c>
      <c r="CA5" s="14">
        <f t="shared" ref="CA5:CA68" si="39">EXP(-1.0587+0.8836*LN(BZ5)+0.284)</f>
        <v>0.54673450619692521</v>
      </c>
      <c r="CB5" s="22">
        <f t="shared" si="10"/>
        <v>3.0655593018918794</v>
      </c>
      <c r="CC5" s="62">
        <f t="shared" si="11"/>
        <v>262.17667041300302</v>
      </c>
      <c r="CD5" s="62">
        <f ca="1">AVERAGE(OFFSET($CC$3,0,0,'Données projet'!$E$12+1,1))-AVERAGE(OFFSET($H$3,0,0,'Données projet'!$E$12+1,1))</f>
        <v>554.06253050955502</v>
      </c>
      <c r="CE5" s="62">
        <f t="shared" ref="CE5:CE68" si="40">$CE$3</f>
        <v>269.71949336355789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2.6666666666666665</v>
      </c>
      <c r="CT5" s="13">
        <f>IF('Données projet'!$A$140&gt;35,CT4+CS5-DB4,IF(A5&lt;'Données projet'!$A$140,$CQ$205^A5,IF(A5='Données projet'!$A$140,'Données projet'!$B$140,CT4+CS5-DB4)))</f>
        <v>1.6353397711850939</v>
      </c>
      <c r="CU5" s="18">
        <f>CT5*VLOOKUP('Données projet'!$B$13,Paramètres!$A$1:$I$89,3,0)*VLOOKUP('Données projet'!$B$13,Paramètres!$A$1:$I$89,5,0)</f>
        <v>1.2755650215243732</v>
      </c>
      <c r="CV5" s="14">
        <f t="shared" ref="CV5:CV68" si="41">EXP(-1.0587+0.8836*LN(CU5)+0.284)</f>
        <v>0.57141400910743001</v>
      </c>
      <c r="CW5" s="22">
        <f t="shared" si="13"/>
        <v>3.2168218116837237</v>
      </c>
      <c r="CX5" s="62">
        <f t="shared" si="14"/>
        <v>262.32793292279484</v>
      </c>
      <c r="CY5" s="62">
        <f ca="1">AVERAGE(OFFSET($CX$3,0,0,'Données projet'!$E$13+1,1))-AVERAGE(OFFSET($H$3,0,0,'Données projet'!$E$13+1,1))</f>
        <v>292.21364130214391</v>
      </c>
      <c r="CZ5" s="62">
        <f t="shared" ref="CZ5:CZ68" si="42">$CZ$3</f>
        <v>283.48738729114024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2.4358974358974357</v>
      </c>
      <c r="DO5" s="13">
        <f>IF('Données projet'!$A$166&gt;35,DO4+DN5-DW4,IF(A5&lt;'Données projet'!$A$166,$DL$205^A5,IF(A5='Données projet'!$A$166,'Données projet'!$B$166,DO4+DN5-DW4)))</f>
        <v>1.8937899157799476</v>
      </c>
      <c r="DP5" s="18">
        <f>DO5*VLOOKUP('Données projet'!$B$14,Paramètres!$A$1:$I$89,3,0)*VLOOKUP('Données projet'!$B$14,Paramètres!$A$1:$I$89,5,0)</f>
        <v>1.8021304838561982</v>
      </c>
      <c r="DQ5" s="14">
        <f t="shared" ref="DQ5:DQ68" si="43">EXP(-1.0587+0.8836*LN(DP5)+0.284)</f>
        <v>0.77546960556345013</v>
      </c>
      <c r="DR5" s="22">
        <f t="shared" si="16"/>
        <v>4.4893201557392208</v>
      </c>
      <c r="DS5" s="62">
        <f t="shared" si="17"/>
        <v>263.60043126685036</v>
      </c>
      <c r="DT5" s="62">
        <f ca="1">AVERAGE(OFFSET($DS$3,0,0,'Données projet'!$E$14+1,1))-AVERAGE(OFFSET($H$3,0,0,'Données projet'!$E$14+1,1))</f>
        <v>427.47603885390191</v>
      </c>
      <c r="DU5" s="62">
        <f t="shared" ref="DU5:DU68" si="44">$DU$3</f>
        <v>350.88664394632116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2.1</v>
      </c>
      <c r="EJ5" s="13">
        <f>IF('Données projet'!$A$192&gt;35,EJ4+EI5-ER4,IF(A5&lt;'Données projet'!$A$192,$EG$205^A5,IF(A5='Données projet'!$A$192,'Données projet'!$B$192,EJ4+EI5-ER4)))</f>
        <v>1.4531984602822681</v>
      </c>
      <c r="EK5" s="18">
        <f>EJ5*VLOOKUP('Données projet'!$B$15,Paramètres!$A$1:$I$89,3,0)*VLOOKUP('Données projet'!$B$15,Paramètres!$A$1:$I$89,5,0)</f>
        <v>1.4055335507850097</v>
      </c>
      <c r="EL5" s="14">
        <f t="shared" ref="EL5:EL68" si="45">EXP(-1.0587+0.8836*LN(EK5)+0.284)</f>
        <v>0.62256480317525631</v>
      </c>
      <c r="EM5" s="22">
        <f t="shared" si="19"/>
        <v>3.5322712998141292</v>
      </c>
      <c r="EN5" s="62">
        <f t="shared" si="20"/>
        <v>262.64338241092526</v>
      </c>
      <c r="EO5" s="62">
        <f ca="1">AVERAGE(OFFSET($EN$3,0,0,'Données projet'!$E$15+1,1))-AVERAGE(OFFSET($H$3,0,0,'Données projet'!$E$15+1,1))</f>
        <v>455.50822833641354</v>
      </c>
      <c r="EP5" s="62">
        <f t="shared" ref="EP5:EP68" si="46">$EP$3</f>
        <v>261.14722581688039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2.9</v>
      </c>
      <c r="FE5" s="13">
        <f>IF('Données projet'!$A$218&gt;35,FE4+FD5-FM4,IF(A5&lt;'Données projet'!$A$218,$FB$205^A5,IF(A5='Données projet'!$A$218,'Données projet'!$B$218,FE4+FD5-FM4)))</f>
        <v>1.9610090574545482</v>
      </c>
      <c r="FF5" s="18">
        <f>FE5*VLOOKUP('Données projet'!$B$16,Paramètres!$A$1:$I$89,3,0)*VLOOKUP('Données projet'!$B$16,Paramètres!$A$1:$I$89,5,0)</f>
        <v>1.7131375125922934</v>
      </c>
      <c r="FG5" s="14">
        <f t="shared" ref="FG5:FG68" si="47">EXP(-1.0587+0.8836*LN(FF5)+0.284)</f>
        <v>0.74153366912094132</v>
      </c>
      <c r="FH5" s="22">
        <f t="shared" si="22"/>
        <v>4.2752189748172169</v>
      </c>
      <c r="FI5" s="62">
        <f t="shared" si="23"/>
        <v>263.38633008592836</v>
      </c>
      <c r="FJ5" s="62">
        <f ca="1">AVERAGE(OFFSET($FI$3,0,0,'Données projet'!$E$16+1,1))-AVERAGE(OFFSET($H$3,0,0,'Données projet'!$E$16+1,1))</f>
        <v>369.34989412920129</v>
      </c>
      <c r="FK5" s="62">
        <f t="shared" ref="FK5:FK68" si="48">$FK$3</f>
        <v>371.26234252426553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5.6</v>
      </c>
      <c r="FZ5" s="13">
        <f>IF('Données projet'!$A$244&gt;35,FZ4+FY5-GH4,IF(A5&lt;'Données projet'!$A$244,$FW$205^A5,IF(A5='Données projet'!$A$244,'Données projet'!$B$244,FZ4+FY5-GH4)))</f>
        <v>3.7919553292794639</v>
      </c>
      <c r="GA5" s="18">
        <f>FZ5*VLOOKUP('Données projet'!$B$17,Paramètres!$A$1:$I$89,3,0)*VLOOKUP('Données projet'!$B$17,Paramètres!$A$1:$I$89,5,0)</f>
        <v>3.4309611819320587</v>
      </c>
      <c r="GB5" s="14">
        <f t="shared" ref="GB5:GB68" si="49">EXP(-1.0587+0.8836*LN(GA5)+0.284)</f>
        <v>1.3697631223860498</v>
      </c>
      <c r="GC5" s="22">
        <f t="shared" si="25"/>
        <v>8.3612614966873711</v>
      </c>
      <c r="GD5" s="62">
        <f t="shared" si="26"/>
        <v>267.47237260779849</v>
      </c>
      <c r="GE5" s="62">
        <f ca="1">AVERAGE(OFFSET($GD$3,0,0,'Données projet'!$E$17+1,1))-AVERAGE(OFFSET($H$3,0,0,'Données projet'!$E$17+1,1))</f>
        <v>324.4489531703187</v>
      </c>
      <c r="GF5" s="62">
        <f t="shared" ref="GF5:GF68" si="50">$GF$3</f>
        <v>446.55019360848706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projet'!$B$17,Paramètres!$A$1:$I$89,3,0)*0.475*44/12</f>
        <v>0</v>
      </c>
      <c r="GM5" s="23">
        <f>EXP(-LN(2)/25)*GM4+(1-EXP(-LN(2)/25))/(LN(2)/25)*Calculateur!GH5*Calculateur!GJ5*VLOOKUP('Données projet'!$B$17,Paramètres!$A$1:$I$89,3,0)*0.475*44/12</f>
        <v>0</v>
      </c>
      <c r="GN5" s="23">
        <f>EXP(-LN(2)/2)*GN4+(1-EXP(-LN(2)/2))/(LN(2)/2)*GH5*GK5*VLOOKUP('Données projet'!$B$17,Paramètres!$A$1:$I$89,3,0)*0.475*44/12</f>
        <v>0</v>
      </c>
      <c r="GO5" s="23">
        <f t="shared" si="27"/>
        <v>0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3.3333333333333335</v>
      </c>
      <c r="GU5" s="13">
        <f>IF('Données projet'!$A$270&gt;35,GU4+GT5-HC4,IF(A5&lt;'Données projet'!$A$270,$GR$205^A5,IF(A5='Données projet'!$A$270,'Données projet'!$B$270,GU4+GT5-HC4)))</f>
        <v>1.6847262157876479</v>
      </c>
      <c r="GV5" s="18">
        <f>GU5*VLOOKUP('Données projet'!$B$18,Paramètres!$A$1:$I$89,3,0)*VLOOKUP('Données projet'!$B$18,Paramètres!$A$1:$I$89,5,0)</f>
        <v>1.1301143455503542</v>
      </c>
      <c r="GW5" s="14">
        <f t="shared" ref="GW5:GW68" si="51">EXP(-1.0587+0.8836*LN(GV5)+0.284)</f>
        <v>0.5134415452108555</v>
      </c>
      <c r="GX5" s="22">
        <f t="shared" si="28"/>
        <v>2.8625265097424397</v>
      </c>
      <c r="GY5" s="62">
        <f t="shared" si="29"/>
        <v>261.97363762085359</v>
      </c>
      <c r="GZ5" s="62">
        <f ca="1">AVERAGE(OFFSET($GY$3,0,0,'Données projet'!$E$18+1,1))-AVERAGE(OFFSET($H$3,0,0,'Données projet'!$E$18+1,1))</f>
        <v>312.06797204903796</v>
      </c>
      <c r="HA5" s="62">
        <f t="shared" ref="HA5:HA68" si="52">$HA$3</f>
        <v>258.20189001775151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>
        <f>EXP(-LN(2)/35)*HG4+(1-EXP(-LN(2)/35))/(LN(2)/35)*HC5*HD5*VLOOKUP('Données projet'!$B$18,Paramètres!$A$1:$I$89,3,0)*0.475*44/12</f>
        <v>0</v>
      </c>
      <c r="HH5" s="23">
        <f>EXP(-LN(2)/25)*HH4+(1-EXP(-LN(2)/25))/(LN(2)/25)*Calculateur!HC5*Calculateur!HE5*VLOOKUP('Données projet'!$B$18,Paramètres!$A$1:$I$89,3,0)*0.475*44/12</f>
        <v>0</v>
      </c>
      <c r="HI5" s="23">
        <f>EXP(-LN(2)/2)*HI4+(1-EXP(-LN(2)/2))/(LN(2)/2)*HC5*HF5*VLOOKUP('Données projet'!$B$18,Paramètres!$A$1:$I$89,3,0)*0.475*44/12</f>
        <v>0</v>
      </c>
      <c r="HJ5" s="24">
        <f t="shared" si="30"/>
        <v>0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3.65</v>
      </c>
      <c r="N6" s="14">
        <f>IF('Données projet'!$A$36&gt;35,N5+M6-V5,IF(A6&lt;'Données projet'!$A$36,$K$205^A6,IF(A6='Données projet'!$A$36,'Données projet'!$B$36,N5+M6-V5)))</f>
        <v>1.9032613528593461</v>
      </c>
      <c r="O6" s="14">
        <f>N6*VLOOKUP('Données projet'!$B$9,Paramètres!$A$1:$I$89,3,0)*VLOOKUP('Données projet'!$B$9,Paramètres!$A$1:$I$89,5,0)</f>
        <v>1.7220708720671365</v>
      </c>
      <c r="P6" s="14">
        <f t="shared" si="33"/>
        <v>0.74494935243383209</v>
      </c>
      <c r="Q6" s="22">
        <f t="shared" si="2"/>
        <v>4.2967268910058536</v>
      </c>
      <c r="R6" s="62">
        <f t="shared" si="0"/>
        <v>264.63006022433916</v>
      </c>
      <c r="S6" s="62">
        <f ca="1">AVERAGE(OFFSET($R$3,0,0,'Données projet'!$E$9+1,1))-AVERAGE(OFFSET($H$3,0,0,'Données projet'!$E$9+1,1))</f>
        <v>512.84819850818667</v>
      </c>
      <c r="T6" s="62">
        <f t="shared" si="34"/>
        <v>332.61387922152159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1.1099999999999999</v>
      </c>
      <c r="AI6" s="14">
        <f>IF('Données projet'!$A$62&gt;35,AI5+AH6-AQ5,IF(A6&lt;'Données projet'!$A$62,$AF$205^A6,IF(A6='Données projet'!$A$62,'Données projet'!$B$62,AI5+AH6-AQ5)))</f>
        <v>2.0587181513545616</v>
      </c>
      <c r="AJ6" s="14">
        <f>AI6*VLOOKUP('Données projet'!$B$10,Paramètres!$A$1:$I$89,3,0)*VLOOKUP('Données projet'!$B$10,Paramètres!$A$1:$I$89,5,0)</f>
        <v>1.5094521485731647</v>
      </c>
      <c r="AK6" s="14">
        <f t="shared" si="35"/>
        <v>0.66306612714360913</v>
      </c>
      <c r="AL6" s="22">
        <f t="shared" si="4"/>
        <v>3.7838026635400475</v>
      </c>
      <c r="AM6" s="62">
        <f t="shared" si="5"/>
        <v>264.11713599687334</v>
      </c>
      <c r="AN6" s="62">
        <f ca="1">AVERAGE(OFFSET($AM$3,0,0,'Données projet'!$E$10+1,1))-AVERAGE(OFFSET($H$3,0,0,'Données projet'!$E$10+1,1))</f>
        <v>344.45199703750711</v>
      </c>
      <c r="AO6" s="62">
        <f t="shared" si="36"/>
        <v>376.41441893222185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3.65</v>
      </c>
      <c r="BD6" s="13">
        <f>IF('Données projet'!$A$88&gt;35,BD5+BC6-BL5,IF(A6&lt;'Données projet'!$A$88,$BA$205^A6,IF(A6='Données projet'!$A$88,'Données projet'!$B$88,BD5+BC6-BL5)))</f>
        <v>1.9032613528593461</v>
      </c>
      <c r="BE6" s="14">
        <f>BD6*VLOOKUP('Données projet'!$B$11,Paramètres!$A$1:$I$89,3,0)*VLOOKUP('Données projet'!$B$11,Paramètres!$A$1:$I$89,5,0)</f>
        <v>1.9299070117993768</v>
      </c>
      <c r="BF6" s="14">
        <f t="shared" si="37"/>
        <v>0.82385733708903885</v>
      </c>
      <c r="BG6" s="22">
        <f t="shared" si="7"/>
        <v>4.7961395743139903</v>
      </c>
      <c r="BH6" s="62">
        <f t="shared" si="8"/>
        <v>265.12947290764731</v>
      </c>
      <c r="BI6" s="62">
        <f ca="1">AVERAGE(OFFSET($BH$3,0,0,'Données projet'!$E$11+1,1))-AVERAGE(OFFSET($H$3,0,0,'Données projet'!$E$11+1,1))</f>
        <v>569.39473185784823</v>
      </c>
      <c r="BJ6" s="62">
        <f t="shared" si="38"/>
        <v>367.42881145517066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1.6</v>
      </c>
      <c r="BY6" s="13">
        <f>IF('Données projet'!$A$114&gt;35,BY5+BX6-CG5,IF(A6&lt;'Données projet'!$A$114,$BV$205^A6,IF(A6='Données projet'!$A$114,'Données projet'!$B$114,BY5+BX6-CG5)))</f>
        <v>1.6817928305074288</v>
      </c>
      <c r="BZ6" s="14">
        <f>BY6*VLOOKUP('Données projet'!$B$12,Paramètres!$A$1:$I$89,3,0)*VLOOKUP('Données projet'!$B$12,Paramètres!$A$1:$I$89,5,0)</f>
        <v>1.4429782485753739</v>
      </c>
      <c r="CA6" s="14">
        <f t="shared" si="39"/>
        <v>0.6371974227238163</v>
      </c>
      <c r="CB6" s="22">
        <f t="shared" si="10"/>
        <v>3.6229726275127558</v>
      </c>
      <c r="CC6" s="62">
        <f t="shared" si="11"/>
        <v>263.95630596084607</v>
      </c>
      <c r="CD6" s="62">
        <f ca="1">AVERAGE(OFFSET($CC$3,0,0,'Données projet'!$E$12+1,1))-AVERAGE(OFFSET($H$3,0,0,'Données projet'!$E$12+1,1))</f>
        <v>554.06253050955502</v>
      </c>
      <c r="CE6" s="62">
        <f t="shared" si="40"/>
        <v>269.71949336355789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2.6666666666666665</v>
      </c>
      <c r="CT6" s="13">
        <f>IF('Données projet'!$A$140&gt;35,CT5+CS6-DB5,IF(A6&lt;'Données projet'!$A$140,$CQ$205^A6,IF(A6='Données projet'!$A$140,'Données projet'!$B$140,CT5+CS6-DB5)))</f>
        <v>2.0912791051825459</v>
      </c>
      <c r="CU6" s="18">
        <f>CT6*VLOOKUP('Données projet'!$B$13,Paramètres!$A$1:$I$89,3,0)*VLOOKUP('Données projet'!$B$13,Paramètres!$A$1:$I$89,5,0)</f>
        <v>1.6311977020423858</v>
      </c>
      <c r="CV6" s="14">
        <f t="shared" si="41"/>
        <v>0.71010553443370616</v>
      </c>
      <c r="CW6" s="22">
        <f t="shared" si="13"/>
        <v>4.0777698035291934</v>
      </c>
      <c r="CX6" s="62">
        <f t="shared" si="14"/>
        <v>264.41110313686249</v>
      </c>
      <c r="CY6" s="62">
        <f ca="1">AVERAGE(OFFSET($CX$3,0,0,'Données projet'!$E$13+1,1))-AVERAGE(OFFSET($H$3,0,0,'Données projet'!$E$13+1,1))</f>
        <v>292.21364130214391</v>
      </c>
      <c r="CZ6" s="62">
        <f t="shared" si="42"/>
        <v>283.48738729114024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2.4358974358974357</v>
      </c>
      <c r="DO6" s="13">
        <f>IF('Données projet'!$A$166&gt;35,DO5+DN6-DW5,IF(A6&lt;'Données projet'!$A$166,$DL$205^A6,IF(A6='Données projet'!$A$166,'Données projet'!$B$166,DO5+DN6-DW5)))</f>
        <v>2.6061397448595005</v>
      </c>
      <c r="DP6" s="18">
        <f>DO6*VLOOKUP('Données projet'!$B$14,Paramètres!$A$1:$I$89,3,0)*VLOOKUP('Données projet'!$B$14,Paramètres!$A$1:$I$89,5,0)</f>
        <v>2.4800025812083004</v>
      </c>
      <c r="DQ6" s="14">
        <f t="shared" si="43"/>
        <v>1.0282292864239075</v>
      </c>
      <c r="DR6" s="22">
        <f t="shared" si="16"/>
        <v>6.1101705027927622</v>
      </c>
      <c r="DS6" s="62">
        <f t="shared" si="17"/>
        <v>266.44350383612607</v>
      </c>
      <c r="DT6" s="62">
        <f ca="1">AVERAGE(OFFSET($DS$3,0,0,'Données projet'!$E$14+1,1))-AVERAGE(OFFSET($H$3,0,0,'Données projet'!$E$14+1,1))</f>
        <v>427.47603885390191</v>
      </c>
      <c r="DU6" s="62">
        <f t="shared" si="44"/>
        <v>350.88664394632116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2.1</v>
      </c>
      <c r="EJ6" s="13">
        <f>IF('Données projet'!$A$192&gt;35,EJ5+EI6-ER5,IF(A6&lt;'Données projet'!$A$192,$EG$205^A6,IF(A6='Données projet'!$A$192,'Données projet'!$B$192,EJ5+EI6-ER5)))</f>
        <v>1.7518115829322798</v>
      </c>
      <c r="EK6" s="18">
        <f>EJ6*VLOOKUP('Données projet'!$B$15,Paramètres!$A$1:$I$89,3,0)*VLOOKUP('Données projet'!$B$15,Paramètres!$A$1:$I$89,5,0)</f>
        <v>1.694352163012101</v>
      </c>
      <c r="EL6" s="14">
        <f t="shared" si="45"/>
        <v>0.73434428233124405</v>
      </c>
      <c r="EM6" s="22">
        <f t="shared" si="19"/>
        <v>4.2299796423063247</v>
      </c>
      <c r="EN6" s="62">
        <f t="shared" si="20"/>
        <v>264.56331297563963</v>
      </c>
      <c r="EO6" s="62">
        <f ca="1">AVERAGE(OFFSET($EN$3,0,0,'Données projet'!$E$15+1,1))-AVERAGE(OFFSET($H$3,0,0,'Données projet'!$E$15+1,1))</f>
        <v>455.50822833641354</v>
      </c>
      <c r="EP6" s="62">
        <f t="shared" si="46"/>
        <v>261.14722581688039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2.9</v>
      </c>
      <c r="FE6" s="13">
        <f>IF('Données projet'!$A$218&gt;35,FE5+FD6-FM5,IF(A6&lt;'Données projet'!$A$218,$FB$205^A6,IF(A6='Données projet'!$A$218,'Données projet'!$B$218,FE5+FD6-FM5)))</f>
        <v>2.7461192933624794</v>
      </c>
      <c r="FF6" s="18">
        <f>FE6*VLOOKUP('Données projet'!$B$16,Paramètres!$A$1:$I$89,3,0)*VLOOKUP('Données projet'!$B$16,Paramètres!$A$1:$I$89,5,0)</f>
        <v>2.3990098146814622</v>
      </c>
      <c r="FG6" s="14">
        <f t="shared" si="47"/>
        <v>0.99850067298942213</v>
      </c>
      <c r="FH6" s="22">
        <f t="shared" si="22"/>
        <v>5.9173307660267902</v>
      </c>
      <c r="FI6" s="62">
        <f t="shared" si="23"/>
        <v>266.25066409936011</v>
      </c>
      <c r="FJ6" s="62">
        <f ca="1">AVERAGE(OFFSET($FI$3,0,0,'Données projet'!$E$16+1,1))-AVERAGE(OFFSET($H$3,0,0,'Données projet'!$E$16+1,1))</f>
        <v>369.34989412920129</v>
      </c>
      <c r="FK6" s="62">
        <f t="shared" si="48"/>
        <v>371.26234252426553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5.6</v>
      </c>
      <c r="FZ6" s="13">
        <f>IF('Données projet'!$A$244&gt;35,FZ5+FY6-GH5,IF(A6&lt;'Données projet'!$A$244,$FW$205^A6,IF(A6='Données projet'!$A$244,'Données projet'!$B$244,FZ5+FY6-GH5)))</f>
        <v>7.3840532307432234</v>
      </c>
      <c r="GA6" s="18">
        <f>FZ6*VLOOKUP('Données projet'!$B$17,Paramètres!$A$1:$I$89,3,0)*VLOOKUP('Données projet'!$B$17,Paramètres!$A$1:$I$89,5,0)</f>
        <v>6.6810913631764679</v>
      </c>
      <c r="GB6" s="14">
        <f t="shared" si="49"/>
        <v>2.4682391521919964</v>
      </c>
      <c r="GC6" s="22">
        <f t="shared" si="25"/>
        <v>15.935083980933408</v>
      </c>
      <c r="GD6" s="62">
        <f t="shared" si="26"/>
        <v>276.26841731426674</v>
      </c>
      <c r="GE6" s="62">
        <f ca="1">AVERAGE(OFFSET($GD$3,0,0,'Données projet'!$E$17+1,1))-AVERAGE(OFFSET($H$3,0,0,'Données projet'!$E$17+1,1))</f>
        <v>324.4489531703187</v>
      </c>
      <c r="GF6" s="62">
        <f t="shared" si="50"/>
        <v>446.55019360848706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projet'!$B$17,Paramètres!$A$1:$I$89,3,0)*0.475*44/12</f>
        <v>0</v>
      </c>
      <c r="GM6" s="23">
        <f>EXP(-LN(2)/25)*GM5+(1-EXP(-LN(2)/25))/(LN(2)/25)*Calculateur!GH6*Calculateur!GJ6*VLOOKUP('Données projet'!$B$17,Paramètres!$A$1:$I$89,3,0)*0.475*44/12</f>
        <v>0</v>
      </c>
      <c r="GN6" s="23">
        <f>EXP(-LN(2)/2)*GN5+(1-EXP(-LN(2)/2))/(LN(2)/2)*GH6*GK6*VLOOKUP('Données projet'!$B$17,Paramètres!$A$1:$I$89,3,0)*0.475*44/12</f>
        <v>0</v>
      </c>
      <c r="GO6" s="23">
        <f t="shared" si="27"/>
        <v>0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3.3333333333333335</v>
      </c>
      <c r="GU6" s="13">
        <f>IF('Données projet'!$A$270&gt;35,GU5+GT6-HC5,IF(A6&lt;'Données projet'!$A$270,$GR$205^A6,IF(A6='Données projet'!$A$270,'Données projet'!$B$270,GU5+GT6-HC5)))</f>
        <v>2.1867241478865562</v>
      </c>
      <c r="GV6" s="18">
        <f>GU6*VLOOKUP('Données projet'!$B$18,Paramètres!$A$1:$I$89,3,0)*VLOOKUP('Données projet'!$B$18,Paramètres!$A$1:$I$89,5,0)</f>
        <v>1.4668545584023018</v>
      </c>
      <c r="GW6" s="14">
        <f t="shared" si="51"/>
        <v>0.64650467023192038</v>
      </c>
      <c r="GX6" s="22">
        <f t="shared" si="28"/>
        <v>3.6807673232046039</v>
      </c>
      <c r="GY6" s="62">
        <f t="shared" si="29"/>
        <v>264.01410065653789</v>
      </c>
      <c r="GZ6" s="62">
        <f ca="1">AVERAGE(OFFSET($GY$3,0,0,'Données projet'!$E$18+1,1))-AVERAGE(OFFSET($H$3,0,0,'Données projet'!$E$18+1,1))</f>
        <v>312.06797204903796</v>
      </c>
      <c r="HA6" s="62">
        <f t="shared" si="52"/>
        <v>258.20189001775151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>
        <f>EXP(-LN(2)/35)*HG5+(1-EXP(-LN(2)/35))/(LN(2)/35)*HC6*HD6*VLOOKUP('Données projet'!$B$18,Paramètres!$A$1:$I$89,3,0)*0.475*44/12</f>
        <v>0</v>
      </c>
      <c r="HH6" s="23">
        <f>EXP(-LN(2)/25)*HH5+(1-EXP(-LN(2)/25))/(LN(2)/25)*Calculateur!HC6*Calculateur!HE6*VLOOKUP('Données projet'!$B$18,Paramètres!$A$1:$I$89,3,0)*0.475*44/12</f>
        <v>0</v>
      </c>
      <c r="HI6" s="23">
        <f>EXP(-LN(2)/2)*HI5+(1-EXP(-LN(2)/2))/(LN(2)/2)*HC6*HF6*VLOOKUP('Données projet'!$B$18,Paramètres!$A$1:$I$89,3,0)*0.475*44/12</f>
        <v>0</v>
      </c>
      <c r="HJ6" s="24">
        <f t="shared" si="30"/>
        <v>0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3.65</v>
      </c>
      <c r="N7" s="14">
        <f>IF('Données projet'!$A$36&gt;35,N6+M7-V6,IF(A7&lt;'Données projet'!$A$36,$K$205^A7,IF(A7='Données projet'!$A$36,'Données projet'!$B$36,N6+M7-V6)))</f>
        <v>2.3586558182407358</v>
      </c>
      <c r="O7" s="14">
        <f>N7*VLOOKUP('Données projet'!$B$9,Paramètres!$A$1:$I$89,3,0)*VLOOKUP('Données projet'!$B$9,Paramètres!$A$1:$I$89,5,0)</f>
        <v>2.1341117843442179</v>
      </c>
      <c r="P7" s="14">
        <f t="shared" si="33"/>
        <v>0.90042667189585779</v>
      </c>
      <c r="Q7" s="22">
        <f t="shared" si="2"/>
        <v>5.2851544779514645</v>
      </c>
      <c r="R7" s="62">
        <f t="shared" si="0"/>
        <v>266.84071003350698</v>
      </c>
      <c r="S7" s="62">
        <f ca="1">AVERAGE(OFFSET($R$3,0,0,'Données projet'!$E$9+1,1))-AVERAGE(OFFSET($H$3,0,0,'Données projet'!$E$9+1,1))</f>
        <v>512.84819850818667</v>
      </c>
      <c r="T7" s="62">
        <f t="shared" si="34"/>
        <v>332.61387922152159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1.1099999999999999</v>
      </c>
      <c r="AI7" s="14">
        <f>IF('Données projet'!$A$62&gt;35,AI6+AH7-AQ6,IF(A7&lt;'Données projet'!$A$62,$AF$205^A7,IF(A7='Données projet'!$A$62,'Données projet'!$B$62,AI6+AH7-AQ6)))</f>
        <v>2.6189619666389237</v>
      </c>
      <c r="AJ7" s="14">
        <f>AI7*VLOOKUP('Données projet'!$B$10,Paramètres!$A$1:$I$89,3,0)*VLOOKUP('Données projet'!$B$10,Paramètres!$A$1:$I$89,5,0)</f>
        <v>1.9202229139396587</v>
      </c>
      <c r="AK7" s="14">
        <f t="shared" si="35"/>
        <v>0.82020342951495628</v>
      </c>
      <c r="AL7" s="22">
        <f t="shared" si="4"/>
        <v>4.7729092148501211</v>
      </c>
      <c r="AM7" s="62">
        <f t="shared" si="5"/>
        <v>266.32846477040567</v>
      </c>
      <c r="AN7" s="62">
        <f ca="1">AVERAGE(OFFSET($AM$3,0,0,'Données projet'!$E$10+1,1))-AVERAGE(OFFSET($H$3,0,0,'Données projet'!$E$10+1,1))</f>
        <v>344.45199703750711</v>
      </c>
      <c r="AO7" s="62">
        <f t="shared" si="36"/>
        <v>376.41441893222185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3.65</v>
      </c>
      <c r="BD7" s="13">
        <f>IF('Données projet'!$A$88&gt;35,BD6+BC7-BL6,IF(A7&lt;'Données projet'!$A$88,$BA$205^A7,IF(A7='Données projet'!$A$88,'Données projet'!$B$88,BD6+BC7-BL6)))</f>
        <v>2.3586558182407358</v>
      </c>
      <c r="BE7" s="14">
        <f>BD7*VLOOKUP('Données projet'!$B$11,Paramètres!$A$1:$I$89,3,0)*VLOOKUP('Données projet'!$B$11,Paramètres!$A$1:$I$89,5,0)</f>
        <v>2.3916769996961063</v>
      </c>
      <c r="BF7" s="14">
        <f t="shared" si="37"/>
        <v>0.9958034297612971</v>
      </c>
      <c r="BG7" s="22">
        <f t="shared" si="7"/>
        <v>5.8998617479716442</v>
      </c>
      <c r="BH7" s="62">
        <f t="shared" si="8"/>
        <v>267.45541730352721</v>
      </c>
      <c r="BI7" s="62">
        <f ca="1">AVERAGE(OFFSET($BH$3,0,0,'Données projet'!$E$11+1,1))-AVERAGE(OFFSET($H$3,0,0,'Données projet'!$E$11+1,1))</f>
        <v>569.39473185784823</v>
      </c>
      <c r="BJ7" s="62">
        <f t="shared" si="38"/>
        <v>367.42881145517066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1.6</v>
      </c>
      <c r="BY7" s="13">
        <f>IF('Données projet'!$A$114&gt;35,BY6+BX7-CG6,IF(A7&lt;'Données projet'!$A$114,$BV$205^A7,IF(A7='Données projet'!$A$114,'Données projet'!$B$114,BY6+BX7-CG6)))</f>
        <v>1.9999999999999996</v>
      </c>
      <c r="BZ7" s="14">
        <f>BY7*VLOOKUP('Données projet'!$B$12,Paramètres!$A$1:$I$89,3,0)*VLOOKUP('Données projet'!$B$12,Paramètres!$A$1:$I$89,5,0)</f>
        <v>1.7159999999999997</v>
      </c>
      <c r="CA7" s="14">
        <f t="shared" si="39"/>
        <v>0.74262837066960552</v>
      </c>
      <c r="CB7" s="22">
        <f t="shared" si="10"/>
        <v>4.2821110789162296</v>
      </c>
      <c r="CC7" s="62">
        <f t="shared" si="11"/>
        <v>265.83766663447176</v>
      </c>
      <c r="CD7" s="62">
        <f ca="1">AVERAGE(OFFSET($CC$3,0,0,'Données projet'!$E$12+1,1))-AVERAGE(OFFSET($H$3,0,0,'Données projet'!$E$12+1,1))</f>
        <v>554.06253050955502</v>
      </c>
      <c r="CE7" s="62">
        <f t="shared" si="40"/>
        <v>269.71949336355789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2.6666666666666665</v>
      </c>
      <c r="CT7" s="13">
        <f>IF('Données projet'!$A$140&gt;35,CT6+CS7-DB6,IF(A7&lt;'Données projet'!$A$140,$CQ$205^A7,IF(A7='Données projet'!$A$140,'Données projet'!$B$140,CT6+CS7-DB6)))</f>
        <v>2.6743361672197152</v>
      </c>
      <c r="CU7" s="18">
        <f>CT7*VLOOKUP('Données projet'!$B$13,Paramètres!$A$1:$I$89,3,0)*VLOOKUP('Données projet'!$B$13,Paramètres!$A$1:$I$89,5,0)</f>
        <v>2.0859822104313781</v>
      </c>
      <c r="CV7" s="14">
        <f t="shared" si="41"/>
        <v>0.88245976121767966</v>
      </c>
      <c r="CW7" s="22">
        <f t="shared" si="13"/>
        <v>5.1700364339554419</v>
      </c>
      <c r="CX7" s="62">
        <f t="shared" si="14"/>
        <v>266.72559198951097</v>
      </c>
      <c r="CY7" s="62">
        <f ca="1">AVERAGE(OFFSET($CX$3,0,0,'Données projet'!$E$13+1,1))-AVERAGE(OFFSET($H$3,0,0,'Données projet'!$E$13+1,1))</f>
        <v>292.21364130214391</v>
      </c>
      <c r="CZ7" s="62">
        <f t="shared" si="42"/>
        <v>283.48738729114024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2.4358974358974357</v>
      </c>
      <c r="DO7" s="13">
        <f>IF('Données projet'!$A$166&gt;35,DO6+DN7-DW6,IF(A7&lt;'Données projet'!$A$166,$DL$205^A7,IF(A7='Données projet'!$A$166,'Données projet'!$B$166,DO6+DN7-DW6)))</f>
        <v>3.586440245109821</v>
      </c>
      <c r="DP7" s="18">
        <f>DO7*VLOOKUP('Données projet'!$B$14,Paramètres!$A$1:$I$89,3,0)*VLOOKUP('Données projet'!$B$14,Paramètres!$A$1:$I$89,5,0)</f>
        <v>3.4128565372465061</v>
      </c>
      <c r="DQ7" s="14">
        <f t="shared" si="43"/>
        <v>1.3633744738346318</v>
      </c>
      <c r="DR7" s="22">
        <f t="shared" si="16"/>
        <v>8.3186023442996486</v>
      </c>
      <c r="DS7" s="62">
        <f t="shared" si="17"/>
        <v>269.87415789985516</v>
      </c>
      <c r="DT7" s="62">
        <f ca="1">AVERAGE(OFFSET($DS$3,0,0,'Données projet'!$E$14+1,1))-AVERAGE(OFFSET($H$3,0,0,'Données projet'!$E$14+1,1))</f>
        <v>427.47603885390191</v>
      </c>
      <c r="DU7" s="62">
        <f t="shared" si="44"/>
        <v>350.88664394632116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2.1</v>
      </c>
      <c r="EJ7" s="13">
        <f>IF('Données projet'!$A$192&gt;35,EJ6+EI7-ER6,IF(A7&lt;'Données projet'!$A$192,$EG$205^A7,IF(A7='Données projet'!$A$192,'Données projet'!$B$192,EJ6+EI7-ER6)))</f>
        <v>2.1117857649667546</v>
      </c>
      <c r="EK7" s="18">
        <f>EJ7*VLOOKUP('Données projet'!$B$15,Paramètres!$A$1:$I$89,3,0)*VLOOKUP('Données projet'!$B$15,Paramètres!$A$1:$I$89,5,0)</f>
        <v>2.042519191875845</v>
      </c>
      <c r="EL7" s="14">
        <f t="shared" si="45"/>
        <v>0.86619340226463792</v>
      </c>
      <c r="EM7" s="22">
        <f t="shared" si="19"/>
        <v>5.0660077681280073</v>
      </c>
      <c r="EN7" s="62">
        <f t="shared" si="20"/>
        <v>266.62156332368357</v>
      </c>
      <c r="EO7" s="62">
        <f ca="1">AVERAGE(OFFSET($EN$3,0,0,'Données projet'!$E$15+1,1))-AVERAGE(OFFSET($H$3,0,0,'Données projet'!$E$15+1,1))</f>
        <v>455.50822833641354</v>
      </c>
      <c r="EP7" s="62">
        <f t="shared" si="46"/>
        <v>261.14722581688039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2.9</v>
      </c>
      <c r="FE7" s="13">
        <f>IF('Données projet'!$A$218&gt;35,FE6+FD7-FM6,IF(A7&lt;'Données projet'!$A$218,$FB$205^A7,IF(A7='Données projet'!$A$218,'Données projet'!$B$218,FE6+FD7-FM6)))</f>
        <v>3.8455565234187756</v>
      </c>
      <c r="FF7" s="18">
        <f>FE7*VLOOKUP('Données projet'!$B$16,Paramètres!$A$1:$I$89,3,0)*VLOOKUP('Données projet'!$B$16,Paramètres!$A$1:$I$89,5,0)</f>
        <v>3.3594781788586427</v>
      </c>
      <c r="FG7" s="14">
        <f t="shared" si="47"/>
        <v>1.3445156106562728</v>
      </c>
      <c r="FH7" s="22">
        <f t="shared" si="22"/>
        <v>8.1927891834051447</v>
      </c>
      <c r="FI7" s="62">
        <f t="shared" si="23"/>
        <v>269.74834473896067</v>
      </c>
      <c r="FJ7" s="62">
        <f ca="1">AVERAGE(OFFSET($FI$3,0,0,'Données projet'!$E$16+1,1))-AVERAGE(OFFSET($H$3,0,0,'Données projet'!$E$16+1,1))</f>
        <v>369.34989412920129</v>
      </c>
      <c r="FK7" s="62">
        <f t="shared" si="48"/>
        <v>371.26234252426553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5.6</v>
      </c>
      <c r="FZ7" s="13">
        <f>IF('Données projet'!$A$244&gt;35,FZ6+FY7-GH6,IF(A7&lt;'Données projet'!$A$244,$FW$205^A7,IF(A7='Données projet'!$A$244,'Données projet'!$B$244,FZ6+FY7-GH6)))</f>
        <v>14.378925219250927</v>
      </c>
      <c r="GA7" s="18">
        <f>FZ7*VLOOKUP('Données projet'!$B$17,Paramètres!$A$1:$I$89,3,0)*VLOOKUP('Données projet'!$B$17,Paramètres!$A$1:$I$89,5,0)</f>
        <v>13.010051538378239</v>
      </c>
      <c r="GB7" s="14">
        <f t="shared" si="49"/>
        <v>4.4476336184326453</v>
      </c>
      <c r="GC7" s="22">
        <f t="shared" si="25"/>
        <v>30.405468314778947</v>
      </c>
      <c r="GD7" s="62">
        <f t="shared" si="26"/>
        <v>291.96102387033449</v>
      </c>
      <c r="GE7" s="62">
        <f ca="1">AVERAGE(OFFSET($GD$3,0,0,'Données projet'!$E$17+1,1))-AVERAGE(OFFSET($H$3,0,0,'Données projet'!$E$17+1,1))</f>
        <v>324.4489531703187</v>
      </c>
      <c r="GF7" s="62">
        <f t="shared" si="50"/>
        <v>446.55019360848706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projet'!$B$17,Paramètres!$A$1:$I$89,3,0)*0.475*44/12</f>
        <v>0</v>
      </c>
      <c r="GM7" s="23">
        <f>EXP(-LN(2)/25)*GM6+(1-EXP(-LN(2)/25))/(LN(2)/25)*Calculateur!GH7*Calculateur!GJ7*VLOOKUP('Données projet'!$B$17,Paramètres!$A$1:$I$89,3,0)*0.475*44/12</f>
        <v>0</v>
      </c>
      <c r="GN7" s="23">
        <f>EXP(-LN(2)/2)*GN6+(1-EXP(-LN(2)/2))/(LN(2)/2)*GH7*GK7*VLOOKUP('Données projet'!$B$17,Paramètres!$A$1:$I$89,3,0)*0.475*44/12</f>
        <v>0</v>
      </c>
      <c r="GO7" s="23">
        <f t="shared" si="27"/>
        <v>0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3.3333333333333335</v>
      </c>
      <c r="GU7" s="13">
        <f>IF('Données projet'!$A$270&gt;35,GU6+GT7-HC6,IF(A7&lt;'Données projet'!$A$270,$GR$205^A7,IF(A7='Données projet'!$A$270,'Données projet'!$B$270,GU6+GT7-HC6)))</f>
        <v>2.8383024221621684</v>
      </c>
      <c r="GV7" s="18">
        <f>GU7*VLOOKUP('Données projet'!$B$18,Paramètres!$A$1:$I$89,3,0)*VLOOKUP('Données projet'!$B$18,Paramètres!$A$1:$I$89,5,0)</f>
        <v>1.9039332647863827</v>
      </c>
      <c r="GW7" s="14">
        <f t="shared" si="51"/>
        <v>0.81405233474053373</v>
      </c>
      <c r="GX7" s="22">
        <f t="shared" si="28"/>
        <v>4.7338249191760466</v>
      </c>
      <c r="GY7" s="62">
        <f t="shared" si="29"/>
        <v>266.28938047473162</v>
      </c>
      <c r="GZ7" s="62">
        <f ca="1">AVERAGE(OFFSET($GY$3,0,0,'Données projet'!$E$18+1,1))-AVERAGE(OFFSET($H$3,0,0,'Données projet'!$E$18+1,1))</f>
        <v>312.06797204903796</v>
      </c>
      <c r="HA7" s="62">
        <f t="shared" si="52"/>
        <v>258.20189001775151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>
        <f>EXP(-LN(2)/35)*HG6+(1-EXP(-LN(2)/35))/(LN(2)/35)*HC7*HD7*VLOOKUP('Données projet'!$B$18,Paramètres!$A$1:$I$89,3,0)*0.475*44/12</f>
        <v>0</v>
      </c>
      <c r="HH7" s="23">
        <f>EXP(-LN(2)/25)*HH6+(1-EXP(-LN(2)/25))/(LN(2)/25)*Calculateur!HC7*Calculateur!HE7*VLOOKUP('Données projet'!$B$18,Paramètres!$A$1:$I$89,3,0)*0.475*44/12</f>
        <v>0</v>
      </c>
      <c r="HI7" s="23">
        <f>EXP(-LN(2)/2)*HI6+(1-EXP(-LN(2)/2))/(LN(2)/2)*HC7*HF7*VLOOKUP('Données projet'!$B$18,Paramètres!$A$1:$I$89,3,0)*0.475*44/12</f>
        <v>0</v>
      </c>
      <c r="HJ7" s="24">
        <f t="shared" si="30"/>
        <v>0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3.65</v>
      </c>
      <c r="N8" s="14">
        <f>IF('Données projet'!$A$36&gt;35,N7+M8-V7,IF(A8&lt;'Données projet'!$A$36,$K$205^A8,IF(A8='Données projet'!$A$36,'Données projet'!$B$36,N7+M8-V7)))</f>
        <v>2.9230127856917649</v>
      </c>
      <c r="O8" s="14">
        <f>N8*VLOOKUP('Données projet'!$B$9,Paramètres!$A$1:$I$89,3,0)*VLOOKUP('Données projet'!$B$9,Paramètres!$A$1:$I$89,5,0)</f>
        <v>2.6447419684939089</v>
      </c>
      <c r="P8" s="14">
        <f t="shared" si="33"/>
        <v>1.0883534414958294</v>
      </c>
      <c r="Q8" s="22">
        <f t="shared" si="2"/>
        <v>6.5018078390654601</v>
      </c>
      <c r="R8" s="62">
        <f t="shared" si="0"/>
        <v>269.27958561684324</v>
      </c>
      <c r="S8" s="62">
        <f ca="1">AVERAGE(OFFSET($R$3,0,0,'Données projet'!$E$9+1,1))-AVERAGE(OFFSET($H$3,0,0,'Données projet'!$E$9+1,1))</f>
        <v>512.84819850818667</v>
      </c>
      <c r="T8" s="62">
        <f t="shared" si="34"/>
        <v>332.61387922152159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1.1099999999999999</v>
      </c>
      <c r="AI8" s="14">
        <f>IF('Données projet'!$A$62&gt;35,AI7+AH8-AQ7,IF(A8&lt;'Données projet'!$A$62,$AF$205^A8,IF(A8='Données projet'!$A$62,'Données projet'!$B$62,AI7+AH8-AQ7)))</f>
        <v>3.331666249791537</v>
      </c>
      <c r="AJ8" s="14">
        <f>AI8*VLOOKUP('Données projet'!$B$10,Paramètres!$A$1:$I$89,3,0)*VLOOKUP('Données projet'!$B$10,Paramètres!$A$1:$I$89,5,0)</f>
        <v>2.4427776943471549</v>
      </c>
      <c r="AK8" s="14">
        <f t="shared" si="35"/>
        <v>1.0145800520471964</v>
      </c>
      <c r="AL8" s="22">
        <f t="shared" si="4"/>
        <v>6.0215647416368272</v>
      </c>
      <c r="AM8" s="62">
        <f t="shared" si="5"/>
        <v>268.79934251941461</v>
      </c>
      <c r="AN8" s="62">
        <f ca="1">AVERAGE(OFFSET($AM$3,0,0,'Données projet'!$E$10+1,1))-AVERAGE(OFFSET($H$3,0,0,'Données projet'!$E$10+1,1))</f>
        <v>344.45199703750711</v>
      </c>
      <c r="AO8" s="62">
        <f t="shared" si="36"/>
        <v>376.41441893222185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3.65</v>
      </c>
      <c r="BD8" s="13">
        <f>IF('Données projet'!$A$88&gt;35,BD7+BC8-BL7,IF(A8&lt;'Données projet'!$A$88,$BA$205^A8,IF(A8='Données projet'!$A$88,'Données projet'!$B$88,BD7+BC8-BL7)))</f>
        <v>2.9230127856917649</v>
      </c>
      <c r="BE8" s="14">
        <f>BD8*VLOOKUP('Données projet'!$B$11,Paramètres!$A$1:$I$89,3,0)*VLOOKUP('Données projet'!$B$11,Paramètres!$A$1:$I$89,5,0)</f>
        <v>2.9639349646914495</v>
      </c>
      <c r="BF8" s="14">
        <f t="shared" si="37"/>
        <v>1.2036361467970902</v>
      </c>
      <c r="BG8" s="22">
        <f t="shared" si="7"/>
        <v>7.2585196858425398</v>
      </c>
      <c r="BH8" s="62">
        <f t="shared" si="8"/>
        <v>270.03629746362031</v>
      </c>
      <c r="BI8" s="62">
        <f ca="1">AVERAGE(OFFSET($BH$3,0,0,'Données projet'!$E$11+1,1))-AVERAGE(OFFSET($H$3,0,0,'Données projet'!$E$11+1,1))</f>
        <v>569.39473185784823</v>
      </c>
      <c r="BJ8" s="62">
        <f t="shared" si="38"/>
        <v>367.42881145517066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1.6</v>
      </c>
      <c r="BY8" s="13">
        <f>IF('Données projet'!$A$114&gt;35,BY7+BX8-CG7,IF(A8&lt;'Données projet'!$A$114,$BV$205^A8,IF(A8='Données projet'!$A$114,'Données projet'!$B$114,BY7+BX8-CG7)))</f>
        <v>2.3784142300054416</v>
      </c>
      <c r="BZ8" s="14">
        <f>BY8*VLOOKUP('Données projet'!$B$12,Paramètres!$A$1:$I$89,3,0)*VLOOKUP('Données projet'!$B$12,Paramètres!$A$1:$I$89,5,0)</f>
        <v>2.0406794093446692</v>
      </c>
      <c r="CA8" s="14">
        <f t="shared" si="39"/>
        <v>0.86550396667632346</v>
      </c>
      <c r="CB8" s="22">
        <f t="shared" si="10"/>
        <v>5.061602713236562</v>
      </c>
      <c r="CC8" s="62">
        <f t="shared" si="11"/>
        <v>267.83938049101431</v>
      </c>
      <c r="CD8" s="62">
        <f ca="1">AVERAGE(OFFSET($CC$3,0,0,'Données projet'!$E$12+1,1))-AVERAGE(OFFSET($H$3,0,0,'Données projet'!$E$12+1,1))</f>
        <v>554.06253050955502</v>
      </c>
      <c r="CE8" s="62">
        <f t="shared" si="40"/>
        <v>269.71949336355789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2.6666666666666665</v>
      </c>
      <c r="CT8" s="13">
        <f>IF('Données projet'!$A$140&gt;35,CT7+CS8-DB7,IF(A8&lt;'Données projet'!$A$140,$CQ$205^A8,IF(A8='Données projet'!$A$140,'Données projet'!$B$140,CT7+CS8-DB7)))</f>
        <v>3.4199518933533928</v>
      </c>
      <c r="CU8" s="18">
        <f>CT8*VLOOKUP('Données projet'!$B$13,Paramètres!$A$1:$I$89,3,0)*VLOOKUP('Données projet'!$B$13,Paramètres!$A$1:$I$89,5,0)</f>
        <v>2.6675624768156463</v>
      </c>
      <c r="CV8" s="14">
        <f t="shared" si="41"/>
        <v>1.0966471776471767</v>
      </c>
      <c r="CW8" s="22">
        <f t="shared" si="13"/>
        <v>6.5559984815227494</v>
      </c>
      <c r="CX8" s="62">
        <f t="shared" si="14"/>
        <v>269.33377625930052</v>
      </c>
      <c r="CY8" s="62">
        <f ca="1">AVERAGE(OFFSET($CX$3,0,0,'Données projet'!$E$13+1,1))-AVERAGE(OFFSET($H$3,0,0,'Données projet'!$E$13+1,1))</f>
        <v>292.21364130214391</v>
      </c>
      <c r="CZ8" s="62">
        <f t="shared" si="42"/>
        <v>283.48738729114024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2.4358974358974357</v>
      </c>
      <c r="DO8" s="13">
        <f>IF('Données projet'!$A$166&gt;35,DO7+DN8-DW7,IF(A8&lt;'Données projet'!$A$166,$DL$205^A8,IF(A8='Données projet'!$A$166,'Données projet'!$B$166,DO7+DN8-DW7)))</f>
        <v>4.9354811679282475</v>
      </c>
      <c r="DP8" s="18">
        <f>DO8*VLOOKUP('Données projet'!$B$14,Paramètres!$A$1:$I$89,3,0)*VLOOKUP('Données projet'!$B$14,Paramètres!$A$1:$I$89,5,0)</f>
        <v>4.69660387940052</v>
      </c>
      <c r="DQ8" s="14">
        <f t="shared" si="43"/>
        <v>1.8077582310153499</v>
      </c>
      <c r="DR8" s="22">
        <f t="shared" si="16"/>
        <v>11.328430675640973</v>
      </c>
      <c r="DS8" s="62">
        <f t="shared" si="17"/>
        <v>274.10620845341873</v>
      </c>
      <c r="DT8" s="62">
        <f ca="1">AVERAGE(OFFSET($DS$3,0,0,'Données projet'!$E$14+1,1))-AVERAGE(OFFSET($H$3,0,0,'Données projet'!$E$14+1,1))</f>
        <v>427.47603885390191</v>
      </c>
      <c r="DU8" s="62">
        <f t="shared" si="44"/>
        <v>350.88664394632116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2.1</v>
      </c>
      <c r="EJ8" s="13">
        <f>IF('Données projet'!$A$192&gt;35,EJ7+EI8-ER7,IF(A8&lt;'Données projet'!$A$192,$EG$205^A8,IF(A8='Données projet'!$A$192,'Données projet'!$B$192,EJ7+EI8-ER7)))</f>
        <v>2.5457298950218314</v>
      </c>
      <c r="EK8" s="18">
        <f>EJ8*VLOOKUP('Données projet'!$B$15,Paramètres!$A$1:$I$89,3,0)*VLOOKUP('Données projet'!$B$15,Paramètres!$A$1:$I$89,5,0)</f>
        <v>2.4622299544651152</v>
      </c>
      <c r="EL8" s="14">
        <f t="shared" si="45"/>
        <v>1.021715601495419</v>
      </c>
      <c r="EM8" s="22">
        <f t="shared" si="19"/>
        <v>6.0678718432979295</v>
      </c>
      <c r="EN8" s="62">
        <f t="shared" si="20"/>
        <v>268.84564962107572</v>
      </c>
      <c r="EO8" s="62">
        <f ca="1">AVERAGE(OFFSET($EN$3,0,0,'Données projet'!$E$15+1,1))-AVERAGE(OFFSET($H$3,0,0,'Données projet'!$E$15+1,1))</f>
        <v>455.50822833641354</v>
      </c>
      <c r="EP8" s="62">
        <f t="shared" si="46"/>
        <v>261.14722581688039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2.9</v>
      </c>
      <c r="FE8" s="13">
        <f>IF('Données projet'!$A$218&gt;35,FE7+FD8-FM7,IF(A8&lt;'Données projet'!$A$218,$FB$205^A8,IF(A8='Données projet'!$A$218,'Données projet'!$B$218,FE7+FD8-FM7)))</f>
        <v>5.3851648071345055</v>
      </c>
      <c r="FF8" s="18">
        <f>FE8*VLOOKUP('Données projet'!$B$16,Paramètres!$A$1:$I$89,3,0)*VLOOKUP('Données projet'!$B$16,Paramètres!$A$1:$I$89,5,0)</f>
        <v>4.7044799755127045</v>
      </c>
      <c r="FG8" s="14">
        <f t="shared" si="47"/>
        <v>1.8104366638895204</v>
      </c>
      <c r="FH8" s="22">
        <f t="shared" si="22"/>
        <v>11.346813146958874</v>
      </c>
      <c r="FI8" s="62">
        <f t="shared" si="23"/>
        <v>274.12459092473665</v>
      </c>
      <c r="FJ8" s="62">
        <f ca="1">AVERAGE(OFFSET($FI$3,0,0,'Données projet'!$E$16+1,1))-AVERAGE(OFFSET($H$3,0,0,'Données projet'!$E$16+1,1))</f>
        <v>369.34989412920129</v>
      </c>
      <c r="FK8" s="62">
        <f t="shared" si="48"/>
        <v>371.26234252426553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>
        <f>VLOOKUP(A8,'Données projet'!$A$243:$I$263,2,0)</f>
        <v>28</v>
      </c>
      <c r="FX8" s="13">
        <f>VLOOKUP(A8,'Données projet'!$A$243:$I$263,9,0)</f>
        <v>5.6</v>
      </c>
      <c r="FY8" s="13">
        <f t="array" ref="FY8">INDEX(FX:FX,MIN(IF(ISNUMBER(FX8:FX204),ROW(FX8:FX204),"")))</f>
        <v>5.6</v>
      </c>
      <c r="FZ8" s="13">
        <f>IF('Données projet'!$A$244&gt;35,FZ7+FY8-GH7,IF(A8&lt;'Données projet'!$A$244,$FW$205^A8,IF(A8='Données projet'!$A$244,'Données projet'!$B$244,FZ7+FY8-GH7)))</f>
        <v>28</v>
      </c>
      <c r="GA8" s="18">
        <f>FZ8*VLOOKUP('Données projet'!$B$17,Paramètres!$A$1:$I$89,3,0)*VLOOKUP('Données projet'!$B$17,Paramètres!$A$1:$I$89,5,0)</f>
        <v>25.334399999999999</v>
      </c>
      <c r="GB8" s="14">
        <f t="shared" si="49"/>
        <v>8.0143955200794572</v>
      </c>
      <c r="GC8" s="22">
        <f t="shared" si="25"/>
        <v>58.082485530805052</v>
      </c>
      <c r="GD8" s="62">
        <f t="shared" si="26"/>
        <v>320.86026330858283</v>
      </c>
      <c r="GE8" s="62">
        <f ca="1">AVERAGE(OFFSET($GD$3,0,0,'Données projet'!$E$17+1,1))-AVERAGE(OFFSET($H$3,0,0,'Données projet'!$E$17+1,1))</f>
        <v>324.4489531703187</v>
      </c>
      <c r="GF8" s="62">
        <f t="shared" si="50"/>
        <v>446.55019360848706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projet'!$B$17,Paramètres!$A$1:$I$89,3,0)*0.475*44/12</f>
        <v>0</v>
      </c>
      <c r="GM8" s="23">
        <f>EXP(-LN(2)/25)*GM7+(1-EXP(-LN(2)/25))/(LN(2)/25)*Calculateur!GH8*Calculateur!GJ8*VLOOKUP('Données projet'!$B$17,Paramètres!$A$1:$I$89,3,0)*0.475*44/12</f>
        <v>0</v>
      </c>
      <c r="GN8" s="23">
        <f>EXP(-LN(2)/2)*GN7+(1-EXP(-LN(2)/2))/(LN(2)/2)*GH8*GK8*VLOOKUP('Données projet'!$B$17,Paramètres!$A$1:$I$89,3,0)*0.475*44/12</f>
        <v>0</v>
      </c>
      <c r="GO8" s="23">
        <f t="shared" si="27"/>
        <v>0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3.3333333333333335</v>
      </c>
      <c r="GU8" s="13">
        <f>IF('Données projet'!$A$270&gt;35,GU7+GT8-HC7,IF(A8&lt;'Données projet'!$A$270,$GR$205^A8,IF(A8='Données projet'!$A$270,'Données projet'!$B$270,GU7+GT8-HC7)))</f>
        <v>3.6840314986403868</v>
      </c>
      <c r="GV8" s="18">
        <f>GU8*VLOOKUP('Données projet'!$B$18,Paramètres!$A$1:$I$89,3,0)*VLOOKUP('Données projet'!$B$18,Paramètres!$A$1:$I$89,5,0)</f>
        <v>2.4712483292879717</v>
      </c>
      <c r="GW8" s="14">
        <f t="shared" si="51"/>
        <v>1.0250215260762008</v>
      </c>
      <c r="GX8" s="22">
        <f t="shared" si="28"/>
        <v>6.0893366647592657</v>
      </c>
      <c r="GY8" s="62">
        <f t="shared" si="29"/>
        <v>268.86711444253706</v>
      </c>
      <c r="GZ8" s="62">
        <f ca="1">AVERAGE(OFFSET($GY$3,0,0,'Données projet'!$E$18+1,1))-AVERAGE(OFFSET($H$3,0,0,'Données projet'!$E$18+1,1))</f>
        <v>312.06797204903796</v>
      </c>
      <c r="HA8" s="62">
        <f t="shared" si="52"/>
        <v>258.20189001775151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>
        <f>EXP(-LN(2)/35)*HG7+(1-EXP(-LN(2)/35))/(LN(2)/35)*HC8*HD8*VLOOKUP('Données projet'!$B$18,Paramètres!$A$1:$I$89,3,0)*0.475*44/12</f>
        <v>0</v>
      </c>
      <c r="HH8" s="23">
        <f>EXP(-LN(2)/25)*HH7+(1-EXP(-LN(2)/25))/(LN(2)/25)*Calculateur!HC8*Calculateur!HE8*VLOOKUP('Données projet'!$B$18,Paramètres!$A$1:$I$89,3,0)*0.475*44/12</f>
        <v>0</v>
      </c>
      <c r="HI8" s="23">
        <f>EXP(-LN(2)/2)*HI7+(1-EXP(-LN(2)/2))/(LN(2)/2)*HC8*HF8*VLOOKUP('Données projet'!$B$18,Paramètres!$A$1:$I$89,3,0)*0.475*44/12</f>
        <v>0</v>
      </c>
      <c r="HJ8" s="24">
        <f t="shared" si="30"/>
        <v>0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3.65</v>
      </c>
      <c r="N9" s="14">
        <f>IF('Données projet'!$A$36&gt;35,N8+M9-V8,IF(A9&lt;'Données projet'!$A$36,$K$205^A9,IF(A9='Données projet'!$A$36,'Données projet'!$B$36,N8+M9-V8)))</f>
        <v>3.6224037772879885</v>
      </c>
      <c r="O9" s="14">
        <f>N9*VLOOKUP('Données projet'!$B$9,Paramètres!$A$1:$I$89,3,0)*VLOOKUP('Données projet'!$B$9,Paramètres!$A$1:$I$89,5,0)</f>
        <v>3.2775509376901719</v>
      </c>
      <c r="P9" s="14">
        <f t="shared" si="33"/>
        <v>1.315502139804245</v>
      </c>
      <c r="Q9" s="22">
        <f t="shared" si="2"/>
        <v>7.9995674433027766</v>
      </c>
      <c r="R9" s="62">
        <f t="shared" si="0"/>
        <v>271.99956744330279</v>
      </c>
      <c r="S9" s="62">
        <f ca="1">AVERAGE(OFFSET($R$3,0,0,'Données projet'!$E$9+1,1))-AVERAGE(OFFSET($H$3,0,0,'Données projet'!$E$9+1,1))</f>
        <v>512.84819850818667</v>
      </c>
      <c r="T9" s="62">
        <f t="shared" si="34"/>
        <v>332.61387922152159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1.1099999999999999</v>
      </c>
      <c r="AI9" s="14">
        <f>IF('Données projet'!$A$62&gt;35,AI8+AH9-AQ8,IF(A9&lt;'Données projet'!$A$62,$AF$205^A9,IF(A9='Données projet'!$A$62,'Données projet'!$B$62,AI8+AH9-AQ8)))</f>
        <v>4.2383204267167436</v>
      </c>
      <c r="AJ9" s="14">
        <f>AI9*VLOOKUP('Données projet'!$B$10,Paramètres!$A$1:$I$89,3,0)*VLOOKUP('Données projet'!$B$10,Paramètres!$A$1:$I$89,5,0)</f>
        <v>3.1075365368687162</v>
      </c>
      <c r="AK9" s="14">
        <f t="shared" si="35"/>
        <v>1.2550211873910744</v>
      </c>
      <c r="AL9" s="22">
        <f t="shared" si="4"/>
        <v>7.5981213697524668</v>
      </c>
      <c r="AM9" s="62">
        <f t="shared" si="5"/>
        <v>271.59812136975245</v>
      </c>
      <c r="AN9" s="62">
        <f ca="1">AVERAGE(OFFSET($AM$3,0,0,'Données projet'!$E$10+1,1))-AVERAGE(OFFSET($H$3,0,0,'Données projet'!$E$10+1,1))</f>
        <v>344.45199703750711</v>
      </c>
      <c r="AO9" s="62">
        <f t="shared" si="36"/>
        <v>376.41441893222185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3.65</v>
      </c>
      <c r="BD9" s="13">
        <f>IF('Données projet'!$A$88&gt;35,BD8+BC9-BL8,IF(A9&lt;'Données projet'!$A$88,$BA$205^A9,IF(A9='Données projet'!$A$88,'Données projet'!$B$88,BD8+BC9-BL8)))</f>
        <v>3.6224037772879885</v>
      </c>
      <c r="BE9" s="14">
        <f>BD9*VLOOKUP('Données projet'!$B$11,Paramètres!$A$1:$I$89,3,0)*VLOOKUP('Données projet'!$B$11,Paramètres!$A$1:$I$89,5,0)</f>
        <v>3.6731174301700205</v>
      </c>
      <c r="BF9" s="14">
        <f t="shared" si="37"/>
        <v>1.4548453345092642</v>
      </c>
      <c r="BG9" s="22">
        <f t="shared" si="7"/>
        <v>8.9312018151497536</v>
      </c>
      <c r="BH9" s="62">
        <f t="shared" si="8"/>
        <v>272.93120181514973</v>
      </c>
      <c r="BI9" s="62">
        <f ca="1">AVERAGE(OFFSET($BH$3,0,0,'Données projet'!$E$11+1,1))-AVERAGE(OFFSET($H$3,0,0,'Données projet'!$E$11+1,1))</f>
        <v>569.39473185784823</v>
      </c>
      <c r="BJ9" s="62">
        <f t="shared" si="38"/>
        <v>367.42881145517066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1.6</v>
      </c>
      <c r="BY9" s="13">
        <f>IF('Données projet'!$A$114&gt;35,BY8+BX9-CG8,IF(A9&lt;'Données projet'!$A$114,$BV$205^A9,IF(A9='Données projet'!$A$114,'Données projet'!$B$114,BY8+BX9-CG8)))</f>
        <v>2.8284271247461894</v>
      </c>
      <c r="BZ9" s="14">
        <f>BY9*VLOOKUP('Données projet'!$B$12,Paramètres!$A$1:$I$89,3,0)*VLOOKUP('Données projet'!$B$12,Paramètres!$A$1:$I$89,5,0)</f>
        <v>2.4267904730322307</v>
      </c>
      <c r="CA9" s="14">
        <f t="shared" si="39"/>
        <v>1.0087106093953995</v>
      </c>
      <c r="CB9" s="22">
        <f t="shared" si="10"/>
        <v>5.9834977185614555</v>
      </c>
      <c r="CC9" s="62">
        <f t="shared" si="11"/>
        <v>269.98349771856147</v>
      </c>
      <c r="CD9" s="62">
        <f ca="1">AVERAGE(OFFSET($CC$3,0,0,'Données projet'!$E$12+1,1))-AVERAGE(OFFSET($H$3,0,0,'Données projet'!$E$12+1,1))</f>
        <v>554.06253050955502</v>
      </c>
      <c r="CE9" s="62">
        <f t="shared" si="40"/>
        <v>269.71949336355789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2.6666666666666665</v>
      </c>
      <c r="CT9" s="13">
        <f>IF('Données projet'!$A$140&gt;35,CT8+CS9-DB8,IF(A9&lt;'Données projet'!$A$140,$CQ$205^A9,IF(A9='Données projet'!$A$140,'Données projet'!$B$140,CT8+CS9-DB8)))</f>
        <v>4.3734482957731098</v>
      </c>
      <c r="CU9" s="18">
        <f>CT9*VLOOKUP('Données projet'!$B$13,Paramètres!$A$1:$I$89,3,0)*VLOOKUP('Données projet'!$B$13,Paramètres!$A$1:$I$89,5,0)</f>
        <v>3.4112896707030256</v>
      </c>
      <c r="CV9" s="14">
        <f t="shared" si="41"/>
        <v>1.3628213830192535</v>
      </c>
      <c r="CW9" s="22">
        <f t="shared" si="13"/>
        <v>8.3149100852329703</v>
      </c>
      <c r="CX9" s="62">
        <f t="shared" si="14"/>
        <v>272.31491008523295</v>
      </c>
      <c r="CY9" s="62">
        <f ca="1">AVERAGE(OFFSET($CX$3,0,0,'Données projet'!$E$13+1,1))-AVERAGE(OFFSET($H$3,0,0,'Données projet'!$E$13+1,1))</f>
        <v>292.21364130214391</v>
      </c>
      <c r="CZ9" s="62">
        <f t="shared" si="42"/>
        <v>283.48738729114024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2.4358974358974357</v>
      </c>
      <c r="DO9" s="13">
        <f>IF('Données projet'!$A$166&gt;35,DO8+DN9-DW8,IF(A9&lt;'Données projet'!$A$166,$DL$205^A9,IF(A9='Données projet'!$A$166,'Données projet'!$B$166,DO8+DN9-DW8)))</f>
        <v>6.7919643697363421</v>
      </c>
      <c r="DP9" s="18">
        <f>DO9*VLOOKUP('Données projet'!$B$14,Paramètres!$A$1:$I$89,3,0)*VLOOKUP('Données projet'!$B$14,Paramètres!$A$1:$I$89,5,0)</f>
        <v>6.4632332942411033</v>
      </c>
      <c r="DQ9" s="14">
        <f t="shared" si="43"/>
        <v>2.3969862165690898</v>
      </c>
      <c r="DR9" s="22">
        <f t="shared" si="16"/>
        <v>15.431548981327753</v>
      </c>
      <c r="DS9" s="62">
        <f t="shared" si="17"/>
        <v>279.43154898132775</v>
      </c>
      <c r="DT9" s="62">
        <f ca="1">AVERAGE(OFFSET($DS$3,0,0,'Données projet'!$E$14+1,1))-AVERAGE(OFFSET($H$3,0,0,'Données projet'!$E$14+1,1))</f>
        <v>427.47603885390191</v>
      </c>
      <c r="DU9" s="62">
        <f t="shared" si="44"/>
        <v>350.88664394632116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2.1</v>
      </c>
      <c r="EJ9" s="13">
        <f>IF('Données projet'!$A$192&gt;35,EJ8+EI9-ER8,IF(A9&lt;'Données projet'!$A$192,$EG$205^A9,IF(A9='Données projet'!$A$192,'Données projet'!$B$192,EJ8+EI9-ER8)))</f>
        <v>3.0688438220956993</v>
      </c>
      <c r="EK9" s="18">
        <f>EJ9*VLOOKUP('Données projet'!$B$15,Paramètres!$A$1:$I$89,3,0)*VLOOKUP('Données projet'!$B$15,Paramètres!$A$1:$I$89,5,0)</f>
        <v>2.9681857447309605</v>
      </c>
      <c r="EL9" s="14">
        <f t="shared" si="45"/>
        <v>1.2051613041728233</v>
      </c>
      <c r="EM9" s="22">
        <f t="shared" si="19"/>
        <v>7.2685794435074236</v>
      </c>
      <c r="EN9" s="62">
        <f t="shared" si="20"/>
        <v>271.26857944350741</v>
      </c>
      <c r="EO9" s="62">
        <f ca="1">AVERAGE(OFFSET($EN$3,0,0,'Données projet'!$E$15+1,1))-AVERAGE(OFFSET($H$3,0,0,'Données projet'!$E$15+1,1))</f>
        <v>455.50822833641354</v>
      </c>
      <c r="EP9" s="62">
        <f t="shared" si="46"/>
        <v>261.14722581688039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2.9</v>
      </c>
      <c r="FE9" s="13">
        <f>IF('Données projet'!$A$218&gt;35,FE8+FD9-FM8,IF(A9&lt;'Données projet'!$A$218,$FB$205^A9,IF(A9='Données projet'!$A$218,'Données projet'!$B$218,FE8+FD9-FM8)))</f>
        <v>7.5411711733776423</v>
      </c>
      <c r="FF9" s="18">
        <f>FE9*VLOOKUP('Données projet'!$B$16,Paramètres!$A$1:$I$89,3,0)*VLOOKUP('Données projet'!$B$16,Paramètres!$A$1:$I$89,5,0)</f>
        <v>6.5879671370627086</v>
      </c>
      <c r="FG9" s="14">
        <f t="shared" si="47"/>
        <v>2.4378154392387783</v>
      </c>
      <c r="FH9" s="22">
        <f t="shared" si="22"/>
        <v>15.71990465372509</v>
      </c>
      <c r="FI9" s="62">
        <f t="shared" si="23"/>
        <v>279.71990465372511</v>
      </c>
      <c r="FJ9" s="62">
        <f ca="1">AVERAGE(OFFSET($FI$3,0,0,'Données projet'!$E$16+1,1))-AVERAGE(OFFSET($H$3,0,0,'Données projet'!$E$16+1,1))</f>
        <v>369.34989412920129</v>
      </c>
      <c r="FK9" s="62">
        <f t="shared" si="48"/>
        <v>371.26234252426553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11</v>
      </c>
      <c r="FZ9" s="13">
        <f>IF('Données projet'!$A$244&gt;35,FZ8+FY9-GH8,IF(A9&lt;'Données projet'!$A$244,$FW$205^A9,IF(A9='Données projet'!$A$244,'Données projet'!$B$244,FZ8+FY9-GH8)))</f>
        <v>39</v>
      </c>
      <c r="GA9" s="18">
        <f>FZ9*VLOOKUP('Données projet'!$B$17,Paramètres!$A$1:$I$89,3,0)*VLOOKUP('Données projet'!$B$17,Paramètres!$A$1:$I$89,5,0)</f>
        <v>35.287199999999999</v>
      </c>
      <c r="GB9" s="14">
        <f t="shared" si="49"/>
        <v>10.740552489323523</v>
      </c>
      <c r="GC9" s="22">
        <f t="shared" si="25"/>
        <v>80.165002252238452</v>
      </c>
      <c r="GD9" s="62">
        <f t="shared" si="26"/>
        <v>344.16500225223842</v>
      </c>
      <c r="GE9" s="62">
        <f ca="1">AVERAGE(OFFSET($GD$3,0,0,'Données projet'!$E$17+1,1))-AVERAGE(OFFSET($H$3,0,0,'Données projet'!$E$17+1,1))</f>
        <v>324.4489531703187</v>
      </c>
      <c r="GF9" s="62">
        <f t="shared" si="50"/>
        <v>446.55019360848706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projet'!$B$17,Paramètres!$A$1:$I$89,3,0)*0.475*44/12</f>
        <v>0</v>
      </c>
      <c r="GM9" s="23">
        <f>EXP(-LN(2)/25)*GM8+(1-EXP(-LN(2)/25))/(LN(2)/25)*Calculateur!GH9*Calculateur!GJ9*VLOOKUP('Données projet'!$B$17,Paramètres!$A$1:$I$89,3,0)*0.475*44/12</f>
        <v>0</v>
      </c>
      <c r="GN9" s="23">
        <f>EXP(-LN(2)/2)*GN8+(1-EXP(-LN(2)/2))/(LN(2)/2)*GH9*GK9*VLOOKUP('Données projet'!$B$17,Paramètres!$A$1:$I$89,3,0)*0.475*44/12</f>
        <v>0</v>
      </c>
      <c r="GO9" s="23">
        <f t="shared" si="27"/>
        <v>0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3.3333333333333335</v>
      </c>
      <c r="GU9" s="13">
        <f>IF('Données projet'!$A$270&gt;35,GU8+GT9-HC8,IF(A9&lt;'Données projet'!$A$270,$GR$205^A9,IF(A9='Données projet'!$A$270,'Données projet'!$B$270,GU8+GT9-HC8)))</f>
        <v>4.7817624989501848</v>
      </c>
      <c r="GV9" s="18">
        <f>GU9*VLOOKUP('Données projet'!$B$18,Paramètres!$A$1:$I$89,3,0)*VLOOKUP('Données projet'!$B$18,Paramètres!$A$1:$I$89,5,0)</f>
        <v>3.2076062842957844</v>
      </c>
      <c r="GW9" s="14">
        <f t="shared" si="51"/>
        <v>1.2906653345014574</v>
      </c>
      <c r="GX9" s="22">
        <f t="shared" si="28"/>
        <v>7.8344897360718626</v>
      </c>
      <c r="GY9" s="62">
        <f t="shared" si="29"/>
        <v>271.83448973607187</v>
      </c>
      <c r="GZ9" s="62">
        <f ca="1">AVERAGE(OFFSET($GY$3,0,0,'Données projet'!$E$18+1,1))-AVERAGE(OFFSET($H$3,0,0,'Données projet'!$E$18+1,1))</f>
        <v>312.06797204903796</v>
      </c>
      <c r="HA9" s="62">
        <f t="shared" si="52"/>
        <v>258.20189001775151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>
        <f>EXP(-LN(2)/35)*HG8+(1-EXP(-LN(2)/35))/(LN(2)/35)*HC9*HD9*VLOOKUP('Données projet'!$B$18,Paramètres!$A$1:$I$89,3,0)*0.475*44/12</f>
        <v>0</v>
      </c>
      <c r="HH9" s="23">
        <f>EXP(-LN(2)/25)*HH8+(1-EXP(-LN(2)/25))/(LN(2)/25)*Calculateur!HC9*Calculateur!HE9*VLOOKUP('Données projet'!$B$18,Paramètres!$A$1:$I$89,3,0)*0.475*44/12</f>
        <v>0</v>
      </c>
      <c r="HI9" s="23">
        <f>EXP(-LN(2)/2)*HI8+(1-EXP(-LN(2)/2))/(LN(2)/2)*HC9*HF9*VLOOKUP('Données projet'!$B$18,Paramètres!$A$1:$I$89,3,0)*0.475*44/12</f>
        <v>0</v>
      </c>
      <c r="HJ9" s="24">
        <f t="shared" si="30"/>
        <v>0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3.65</v>
      </c>
      <c r="N10" s="14">
        <f>IF('Données projet'!$A$36&gt;35,N9+M10-V9,IF(A10&lt;'Données projet'!$A$36,$K$205^A10,IF(A10='Données projet'!$A$36,'Données projet'!$B$36,N9+M10-V9)))</f>
        <v>4.4891384635544309</v>
      </c>
      <c r="O10" s="14">
        <f>N10*VLOOKUP('Données projet'!$B$9,Paramètres!$A$1:$I$89,3,0)*VLOOKUP('Données projet'!$B$9,Paramètres!$A$1:$I$89,5,0)</f>
        <v>4.0617724818240486</v>
      </c>
      <c r="P10" s="14">
        <f t="shared" si="33"/>
        <v>1.590058719758437</v>
      </c>
      <c r="Q10" s="22">
        <f t="shared" si="2"/>
        <v>9.8436060094228282</v>
      </c>
      <c r="R10" s="62">
        <f t="shared" si="0"/>
        <v>275.06582823164507</v>
      </c>
      <c r="S10" s="62">
        <f ca="1">AVERAGE(OFFSET($R$3,0,0,'Données projet'!$E$9+1,1))-AVERAGE(OFFSET($H$3,0,0,'Données projet'!$E$9+1,1))</f>
        <v>512.84819850818667</v>
      </c>
      <c r="T10" s="62">
        <f t="shared" si="34"/>
        <v>332.61387922152159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1.1099999999999999</v>
      </c>
      <c r="AI10" s="14">
        <f>IF('Données projet'!$A$62&gt;35,AI9+AH10-AQ9,IF(A10&lt;'Données projet'!$A$62,$AF$205^A10,IF(A10='Données projet'!$A$62,'Données projet'!$B$62,AI9+AH10-AQ9)))</f>
        <v>5.3917045384267919</v>
      </c>
      <c r="AJ10" s="14">
        <f>AI10*VLOOKUP('Données projet'!$B$10,Paramètres!$A$1:$I$89,3,0)*VLOOKUP('Données projet'!$B$10,Paramètres!$A$1:$I$89,5,0)</f>
        <v>3.9531977675745238</v>
      </c>
      <c r="AK10" s="14">
        <f t="shared" si="35"/>
        <v>1.5524434741471074</v>
      </c>
      <c r="AL10" s="22">
        <f t="shared" si="4"/>
        <v>9.5889918293318406</v>
      </c>
      <c r="AM10" s="62">
        <f t="shared" si="5"/>
        <v>274.81121405155409</v>
      </c>
      <c r="AN10" s="62">
        <f ca="1">AVERAGE(OFFSET($AM$3,0,0,'Données projet'!$E$10+1,1))-AVERAGE(OFFSET($H$3,0,0,'Données projet'!$E$10+1,1))</f>
        <v>344.45199703750711</v>
      </c>
      <c r="AO10" s="62">
        <f t="shared" si="36"/>
        <v>376.41441893222185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3.65</v>
      </c>
      <c r="BD10" s="13">
        <f>IF('Données projet'!$A$88&gt;35,BD9+BC10-BL9,IF(A10&lt;'Données projet'!$A$88,$BA$205^A10,IF(A10='Données projet'!$A$88,'Données projet'!$B$88,BD9+BC10-BL9)))</f>
        <v>4.4891384635544309</v>
      </c>
      <c r="BE10" s="14">
        <f>BD10*VLOOKUP('Données projet'!$B$11,Paramètres!$A$1:$I$89,3,0)*VLOOKUP('Données projet'!$B$11,Paramètres!$A$1:$I$89,5,0)</f>
        <v>4.5519864020441929</v>
      </c>
      <c r="BF10" s="14">
        <f t="shared" si="37"/>
        <v>1.7584840343783612</v>
      </c>
      <c r="BG10" s="22">
        <f t="shared" si="7"/>
        <v>10.990736010102614</v>
      </c>
      <c r="BH10" s="62">
        <f t="shared" si="8"/>
        <v>276.21295823232487</v>
      </c>
      <c r="BI10" s="62">
        <f ca="1">AVERAGE(OFFSET($BH$3,0,0,'Données projet'!$E$11+1,1))-AVERAGE(OFFSET($H$3,0,0,'Données projet'!$E$11+1,1))</f>
        <v>569.39473185784823</v>
      </c>
      <c r="BJ10" s="62">
        <f t="shared" si="38"/>
        <v>367.42881145517066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1.6</v>
      </c>
      <c r="BY10" s="13">
        <f>IF('Données projet'!$A$114&gt;35,BY9+BX10-CG9,IF(A10&lt;'Données projet'!$A$114,$BV$205^A10,IF(A10='Données projet'!$A$114,'Données projet'!$B$114,BY9+BX10-CG9)))</f>
        <v>3.3635856610148567</v>
      </c>
      <c r="BZ10" s="14">
        <f>BY10*VLOOKUP('Données projet'!$B$12,Paramètres!$A$1:$I$89,3,0)*VLOOKUP('Données projet'!$B$12,Paramètres!$A$1:$I$89,5,0)</f>
        <v>2.8859564971507474</v>
      </c>
      <c r="CA10" s="14">
        <f t="shared" si="39"/>
        <v>1.1756122821876749</v>
      </c>
      <c r="CB10" s="22">
        <f t="shared" si="10"/>
        <v>7.073898957347752</v>
      </c>
      <c r="CC10" s="62">
        <f t="shared" si="11"/>
        <v>272.29612117956998</v>
      </c>
      <c r="CD10" s="62">
        <f ca="1">AVERAGE(OFFSET($CC$3,0,0,'Données projet'!$E$12+1,1))-AVERAGE(OFFSET($H$3,0,0,'Données projet'!$E$12+1,1))</f>
        <v>554.06253050955502</v>
      </c>
      <c r="CE10" s="62">
        <f t="shared" si="40"/>
        <v>269.71949336355789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2.6666666666666665</v>
      </c>
      <c r="CT10" s="13">
        <f>IF('Données projet'!$A$140&gt;35,CT9+CS10-DB9,IF(A10&lt;'Données projet'!$A$140,$CQ$205^A10,IF(A10='Données projet'!$A$140,'Données projet'!$B$140,CT9+CS10-DB9)))</f>
        <v>5.5927833467405659</v>
      </c>
      <c r="CU10" s="18">
        <f>CT10*VLOOKUP('Données projet'!$B$13,Paramètres!$A$1:$I$89,3,0)*VLOOKUP('Données projet'!$B$13,Paramètres!$A$1:$I$89,5,0)</f>
        <v>4.3623710104576414</v>
      </c>
      <c r="CV10" s="14">
        <f t="shared" si="41"/>
        <v>1.6936004212396314</v>
      </c>
      <c r="CW10" s="22">
        <f t="shared" si="13"/>
        <v>10.54748357687275</v>
      </c>
      <c r="CX10" s="62">
        <f t="shared" si="14"/>
        <v>275.76970579909499</v>
      </c>
      <c r="CY10" s="62">
        <f ca="1">AVERAGE(OFFSET($CX$3,0,0,'Données projet'!$E$13+1,1))-AVERAGE(OFFSET($H$3,0,0,'Données projet'!$E$13+1,1))</f>
        <v>292.21364130214391</v>
      </c>
      <c r="CZ10" s="62">
        <f t="shared" si="42"/>
        <v>283.48738729114024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2.4358974358974357</v>
      </c>
      <c r="DO10" s="13">
        <f>IF('Données projet'!$A$166&gt;35,DO9+DN10-DW9,IF(A10&lt;'Données projet'!$A$166,$DL$205^A10,IF(A10='Données projet'!$A$166,'Données projet'!$B$166,DO9+DN10-DW9)))</f>
        <v>9.3467644653443536</v>
      </c>
      <c r="DP10" s="18">
        <f>DO10*VLOOKUP('Données projet'!$B$14,Paramètres!$A$1:$I$89,3,0)*VLOOKUP('Données projet'!$B$14,Paramètres!$A$1:$I$89,5,0)</f>
        <v>8.8943810652216868</v>
      </c>
      <c r="DQ10" s="14">
        <f t="shared" si="43"/>
        <v>3.178269540609501</v>
      </c>
      <c r="DR10" s="22">
        <f t="shared" si="16"/>
        <v>21.026533138489317</v>
      </c>
      <c r="DS10" s="62">
        <f t="shared" si="17"/>
        <v>286.24875536071153</v>
      </c>
      <c r="DT10" s="62">
        <f ca="1">AVERAGE(OFFSET($DS$3,0,0,'Données projet'!$E$14+1,1))-AVERAGE(OFFSET($H$3,0,0,'Données projet'!$E$14+1,1))</f>
        <v>427.47603885390191</v>
      </c>
      <c r="DU10" s="62">
        <f t="shared" si="44"/>
        <v>350.88664394632116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2.1</v>
      </c>
      <c r="EJ10" s="13">
        <f>IF('Données projet'!$A$192&gt;35,EJ9+EI10-ER9,IF(A10&lt;'Données projet'!$A$192,$EG$205^A10,IF(A10='Données projet'!$A$192,'Données projet'!$B$192,EJ9+EI10-ER9)))</f>
        <v>3.6994507637402658</v>
      </c>
      <c r="EK10" s="18">
        <f>EJ10*VLOOKUP('Données projet'!$B$15,Paramètres!$A$1:$I$89,3,0)*VLOOKUP('Données projet'!$B$15,Paramètres!$A$1:$I$89,5,0)</f>
        <v>3.5781087786895851</v>
      </c>
      <c r="EL10" s="14">
        <f t="shared" si="45"/>
        <v>1.4215440842341414</v>
      </c>
      <c r="EM10" s="22">
        <f t="shared" si="19"/>
        <v>8.707728736258824</v>
      </c>
      <c r="EN10" s="62">
        <f t="shared" si="20"/>
        <v>273.92995095848107</v>
      </c>
      <c r="EO10" s="62">
        <f ca="1">AVERAGE(OFFSET($EN$3,0,0,'Données projet'!$E$15+1,1))-AVERAGE(OFFSET($H$3,0,0,'Données projet'!$E$15+1,1))</f>
        <v>455.50822833641354</v>
      </c>
      <c r="EP10" s="62">
        <f t="shared" si="46"/>
        <v>261.14722581688039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2.9</v>
      </c>
      <c r="FE10" s="13">
        <f>IF('Données projet'!$A$218&gt;35,FE9+FD10-FM9,IF(A10&lt;'Données projet'!$A$218,$FB$205^A10,IF(A10='Données projet'!$A$218,'Données projet'!$B$218,FE9+FD10-FM9)))</f>
        <v>10.560356962676241</v>
      </c>
      <c r="FF10" s="18">
        <f>FE10*VLOOKUP('Données projet'!$B$16,Paramètres!$A$1:$I$89,3,0)*VLOOKUP('Données projet'!$B$16,Paramètres!$A$1:$I$89,5,0)</f>
        <v>9.2255278425939657</v>
      </c>
      <c r="FG10" s="14">
        <f t="shared" si="47"/>
        <v>3.282602608711652</v>
      </c>
      <c r="FH10" s="22">
        <f t="shared" si="22"/>
        <v>21.784993869357283</v>
      </c>
      <c r="FI10" s="62">
        <f t="shared" si="23"/>
        <v>287.00721609157949</v>
      </c>
      <c r="FJ10" s="62">
        <f ca="1">AVERAGE(OFFSET($FI$3,0,0,'Données projet'!$E$16+1,1))-AVERAGE(OFFSET($H$3,0,0,'Données projet'!$E$16+1,1))</f>
        <v>369.34989412920129</v>
      </c>
      <c r="FK10" s="62">
        <f t="shared" si="48"/>
        <v>371.26234252426553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11</v>
      </c>
      <c r="FZ10" s="13">
        <f>IF('Données projet'!$A$244&gt;35,FZ9+FY10-GH9,IF(A10&lt;'Données projet'!$A$244,$FW$205^A10,IF(A10='Données projet'!$A$244,'Données projet'!$B$244,FZ9+FY10-GH9)))</f>
        <v>50</v>
      </c>
      <c r="GA10" s="18">
        <f>FZ10*VLOOKUP('Données projet'!$B$17,Paramètres!$A$1:$I$89,3,0)*VLOOKUP('Données projet'!$B$17,Paramètres!$A$1:$I$89,5,0)</f>
        <v>45.239999999999995</v>
      </c>
      <c r="GB10" s="14">
        <f t="shared" si="49"/>
        <v>13.377403626687906</v>
      </c>
      <c r="GC10" s="22">
        <f t="shared" si="25"/>
        <v>102.09197798314808</v>
      </c>
      <c r="GD10" s="62">
        <f t="shared" si="26"/>
        <v>367.3142002053703</v>
      </c>
      <c r="GE10" s="62">
        <f ca="1">AVERAGE(OFFSET($GD$3,0,0,'Données projet'!$E$17+1,1))-AVERAGE(OFFSET($H$3,0,0,'Données projet'!$E$17+1,1))</f>
        <v>324.4489531703187</v>
      </c>
      <c r="GF10" s="62">
        <f t="shared" si="50"/>
        <v>446.55019360848706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projet'!$B$17,Paramètres!$A$1:$I$89,3,0)*0.475*44/12</f>
        <v>0</v>
      </c>
      <c r="GM10" s="23">
        <f>EXP(-LN(2)/25)*GM9+(1-EXP(-LN(2)/25))/(LN(2)/25)*Calculateur!GH10*Calculateur!GJ10*VLOOKUP('Données projet'!$B$17,Paramètres!$A$1:$I$89,3,0)*0.475*44/12</f>
        <v>0</v>
      </c>
      <c r="GN10" s="23">
        <f>EXP(-LN(2)/2)*GN9+(1-EXP(-LN(2)/2))/(LN(2)/2)*GH10*GK10*VLOOKUP('Données projet'!$B$17,Paramètres!$A$1:$I$89,3,0)*0.475*44/12</f>
        <v>0</v>
      </c>
      <c r="GO10" s="23">
        <f t="shared" si="27"/>
        <v>0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3.3333333333333335</v>
      </c>
      <c r="GU10" s="13">
        <f>IF('Données projet'!$A$270&gt;35,GU9+GT10-HC9,IF(A10&lt;'Données projet'!$A$270,$GR$205^A10,IF(A10='Données projet'!$A$270,'Données projet'!$B$270,GU9+GT10-HC9)))</f>
        <v>6.2065844455469161</v>
      </c>
      <c r="GV10" s="18">
        <f>GU10*VLOOKUP('Données projet'!$B$18,Paramètres!$A$1:$I$89,3,0)*VLOOKUP('Données projet'!$B$18,Paramètres!$A$1:$I$89,5,0)</f>
        <v>4.1633768460728717</v>
      </c>
      <c r="GW10" s="14">
        <f t="shared" si="51"/>
        <v>1.6251531926949223</v>
      </c>
      <c r="GX10" s="22">
        <f t="shared" si="28"/>
        <v>10.081689817520575</v>
      </c>
      <c r="GY10" s="62">
        <f t="shared" si="29"/>
        <v>275.30391203974278</v>
      </c>
      <c r="GZ10" s="62">
        <f ca="1">AVERAGE(OFFSET($GY$3,0,0,'Données projet'!$E$18+1,1))-AVERAGE(OFFSET($H$3,0,0,'Données projet'!$E$18+1,1))</f>
        <v>312.06797204903796</v>
      </c>
      <c r="HA10" s="62">
        <f t="shared" si="52"/>
        <v>258.20189001775151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>
        <f>EXP(-LN(2)/35)*HG9+(1-EXP(-LN(2)/35))/(LN(2)/35)*HC10*HD10*VLOOKUP('Données projet'!$B$18,Paramètres!$A$1:$I$89,3,0)*0.475*44/12</f>
        <v>0</v>
      </c>
      <c r="HH10" s="23">
        <f>EXP(-LN(2)/25)*HH9+(1-EXP(-LN(2)/25))/(LN(2)/25)*Calculateur!HC10*Calculateur!HE10*VLOOKUP('Données projet'!$B$18,Paramètres!$A$1:$I$89,3,0)*0.475*44/12</f>
        <v>0</v>
      </c>
      <c r="HI10" s="23">
        <f>EXP(-LN(2)/2)*HI9+(1-EXP(-LN(2)/2))/(LN(2)/2)*HC10*HF10*VLOOKUP('Données projet'!$B$18,Paramètres!$A$1:$I$89,3,0)*0.475*44/12</f>
        <v>0</v>
      </c>
      <c r="HJ10" s="24">
        <f t="shared" si="30"/>
        <v>0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3.65</v>
      </c>
      <c r="N11" s="14">
        <f>IF('Données projet'!$A$36&gt;35,N10+M11-V10,IF(A11&lt;'Données projet'!$A$36,$K$205^A11,IF(A11='Données projet'!$A$36,'Données projet'!$B$36,N10+M11-V10)))</f>
        <v>5.563257268920875</v>
      </c>
      <c r="O11" s="14">
        <f>N11*VLOOKUP('Données projet'!$B$9,Paramètres!$A$1:$I$89,3,0)*VLOOKUP('Données projet'!$B$9,Paramètres!$A$1:$I$89,5,0)</f>
        <v>5.0336351769196082</v>
      </c>
      <c r="P11" s="14">
        <f t="shared" si="33"/>
        <v>1.9219176128866391</v>
      </c>
      <c r="Q11" s="22">
        <f t="shared" si="2"/>
        <v>12.11425444224588</v>
      </c>
      <c r="R11" s="62">
        <f t="shared" si="0"/>
        <v>278.55869888669031</v>
      </c>
      <c r="S11" s="62">
        <f ca="1">AVERAGE(OFFSET($R$3,0,0,'Données projet'!$E$9+1,1))-AVERAGE(OFFSET($H$3,0,0,'Données projet'!$E$9+1,1))</f>
        <v>512.84819850818667</v>
      </c>
      <c r="T11" s="62">
        <f t="shared" si="34"/>
        <v>332.61387922152159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1.1099999999999999</v>
      </c>
      <c r="AI11" s="14">
        <f>IF('Données projet'!$A$62&gt;35,AI10+AH11-AQ10,IF(A11&lt;'Données projet'!$A$62,$AF$205^A11,IF(A11='Données projet'!$A$62,'Données projet'!$B$62,AI10+AH11-AQ10)))</f>
        <v>6.8589617827012184</v>
      </c>
      <c r="AJ11" s="14">
        <f>AI11*VLOOKUP('Données projet'!$B$10,Paramètres!$A$1:$I$89,3,0)*VLOOKUP('Données projet'!$B$10,Paramètres!$A$1:$I$89,5,0)</f>
        <v>5.0289907790765334</v>
      </c>
      <c r="AK11" s="14">
        <f t="shared" si="35"/>
        <v>1.920350640001538</v>
      </c>
      <c r="AL11" s="22">
        <f t="shared" si="4"/>
        <v>12.103436304894307</v>
      </c>
      <c r="AM11" s="62">
        <f t="shared" si="5"/>
        <v>278.54788074933879</v>
      </c>
      <c r="AN11" s="62">
        <f ca="1">AVERAGE(OFFSET($AM$3,0,0,'Données projet'!$E$10+1,1))-AVERAGE(OFFSET($H$3,0,0,'Données projet'!$E$10+1,1))</f>
        <v>344.45199703750711</v>
      </c>
      <c r="AO11" s="62">
        <f t="shared" si="36"/>
        <v>376.41441893222185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3.65</v>
      </c>
      <c r="BD11" s="13">
        <f>IF('Données projet'!$A$88&gt;35,BD10+BC11-BL10,IF(A11&lt;'Données projet'!$A$88,$BA$205^A11,IF(A11='Données projet'!$A$88,'Données projet'!$B$88,BD10+BC11-BL10)))</f>
        <v>5.563257268920875</v>
      </c>
      <c r="BE11" s="14">
        <f>BD11*VLOOKUP('Données projet'!$B$11,Paramètres!$A$1:$I$89,3,0)*VLOOKUP('Données projet'!$B$11,Paramètres!$A$1:$I$89,5,0)</f>
        <v>5.6411428706857674</v>
      </c>
      <c r="BF11" s="14">
        <f t="shared" si="37"/>
        <v>2.125494735292019</v>
      </c>
      <c r="BG11" s="22">
        <f t="shared" si="7"/>
        <v>13.526893830411311</v>
      </c>
      <c r="BH11" s="62">
        <f t="shared" si="8"/>
        <v>279.97133827485578</v>
      </c>
      <c r="BI11" s="62">
        <f ca="1">AVERAGE(OFFSET($BH$3,0,0,'Données projet'!$E$11+1,1))-AVERAGE(OFFSET($H$3,0,0,'Données projet'!$E$11+1,1))</f>
        <v>569.39473185784823</v>
      </c>
      <c r="BJ11" s="62">
        <f t="shared" si="38"/>
        <v>367.42881145517066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1.6</v>
      </c>
      <c r="BY11" s="13">
        <f>IF('Données projet'!$A$114&gt;35,BY10+BX11-CG10,IF(A11&lt;'Données projet'!$A$114,$BV$205^A11,IF(A11='Données projet'!$A$114,'Données projet'!$B$114,BY10+BX11-CG10)))</f>
        <v>3.9999999999999982</v>
      </c>
      <c r="BZ11" s="14">
        <f>BY11*VLOOKUP('Données projet'!$B$12,Paramètres!$A$1:$I$89,3,0)*VLOOKUP('Données projet'!$B$12,Paramètres!$A$1:$I$89,5,0)</f>
        <v>3.4319999999999991</v>
      </c>
      <c r="CA11" s="14">
        <f t="shared" si="39"/>
        <v>1.3701295744860806</v>
      </c>
      <c r="CB11" s="22">
        <f t="shared" si="10"/>
        <v>8.3637090088965884</v>
      </c>
      <c r="CC11" s="62">
        <f t="shared" si="11"/>
        <v>274.80815345334105</v>
      </c>
      <c r="CD11" s="62">
        <f ca="1">AVERAGE(OFFSET($CC$3,0,0,'Données projet'!$E$12+1,1))-AVERAGE(OFFSET($H$3,0,0,'Données projet'!$E$12+1,1))</f>
        <v>554.06253050955502</v>
      </c>
      <c r="CE11" s="62">
        <f t="shared" si="40"/>
        <v>269.71949336355789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2.6666666666666665</v>
      </c>
      <c r="CT11" s="13">
        <f>IF('Données projet'!$A$140&gt;35,CT10+CS11-DB10,IF(A11&lt;'Données projet'!$A$140,$CQ$205^A11,IF(A11='Données projet'!$A$140,'Données projet'!$B$140,CT10+CS11-DB10)))</f>
        <v>7.1520739352994367</v>
      </c>
      <c r="CU11" s="18">
        <f>CT11*VLOOKUP('Données projet'!$B$13,Paramètres!$A$1:$I$89,3,0)*VLOOKUP('Données projet'!$B$13,Paramètres!$A$1:$I$89,5,0)</f>
        <v>5.5786176695335605</v>
      </c>
      <c r="CV11" s="14">
        <f t="shared" si="41"/>
        <v>2.1046649418345189</v>
      </c>
      <c r="CW11" s="22">
        <f t="shared" si="13"/>
        <v>13.381717214799407</v>
      </c>
      <c r="CX11" s="62">
        <f t="shared" si="14"/>
        <v>279.82616165924384</v>
      </c>
      <c r="CY11" s="62">
        <f ca="1">AVERAGE(OFFSET($CX$3,0,0,'Données projet'!$E$13+1,1))-AVERAGE(OFFSET($H$3,0,0,'Données projet'!$E$13+1,1))</f>
        <v>292.21364130214391</v>
      </c>
      <c r="CZ11" s="62">
        <f t="shared" si="42"/>
        <v>283.48738729114024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2.4358974358974357</v>
      </c>
      <c r="DO11" s="13">
        <f>IF('Données projet'!$A$166&gt;35,DO10+DN11-DW10,IF(A11&lt;'Données projet'!$A$166,$DL$205^A11,IF(A11='Données projet'!$A$166,'Données projet'!$B$166,DO10+DN11-DW10)))</f>
        <v>12.862553631743392</v>
      </c>
      <c r="DP11" s="18">
        <f>DO11*VLOOKUP('Données projet'!$B$14,Paramètres!$A$1:$I$89,3,0)*VLOOKUP('Données projet'!$B$14,Paramètres!$A$1:$I$89,5,0)</f>
        <v>12.240006035967012</v>
      </c>
      <c r="DQ11" s="14">
        <f t="shared" si="43"/>
        <v>4.2142074922836628</v>
      </c>
      <c r="DR11" s="22">
        <f t="shared" si="16"/>
        <v>28.657755228369926</v>
      </c>
      <c r="DS11" s="62">
        <f t="shared" si="17"/>
        <v>295.10219967281438</v>
      </c>
      <c r="DT11" s="62">
        <f ca="1">AVERAGE(OFFSET($DS$3,0,0,'Données projet'!$E$14+1,1))-AVERAGE(OFFSET($H$3,0,0,'Données projet'!$E$14+1,1))</f>
        <v>427.47603885390191</v>
      </c>
      <c r="DU11" s="62">
        <f t="shared" si="44"/>
        <v>350.88664394632116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2.1</v>
      </c>
      <c r="EJ11" s="13">
        <f>IF('Données projet'!$A$192&gt;35,EJ10+EI11-ER10,IF(A11&lt;'Données projet'!$A$192,$EG$205^A11,IF(A11='Données projet'!$A$192,'Données projet'!$B$192,EJ10+EI11-ER10)))</f>
        <v>4.4596391171162209</v>
      </c>
      <c r="EK11" s="18">
        <f>EJ11*VLOOKUP('Données projet'!$B$15,Paramètres!$A$1:$I$89,3,0)*VLOOKUP('Données projet'!$B$15,Paramètres!$A$1:$I$89,5,0)</f>
        <v>4.3133629540748091</v>
      </c>
      <c r="EL11" s="14">
        <f t="shared" si="45"/>
        <v>1.6767776864592203</v>
      </c>
      <c r="EM11" s="22">
        <f t="shared" si="19"/>
        <v>10.432828282263435</v>
      </c>
      <c r="EN11" s="62">
        <f t="shared" si="20"/>
        <v>276.87727272670787</v>
      </c>
      <c r="EO11" s="62">
        <f ca="1">AVERAGE(OFFSET($EN$3,0,0,'Données projet'!$E$15+1,1))-AVERAGE(OFFSET($H$3,0,0,'Données projet'!$E$15+1,1))</f>
        <v>455.50822833641354</v>
      </c>
      <c r="EP11" s="62">
        <f t="shared" si="46"/>
        <v>261.14722581688039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2.9</v>
      </c>
      <c r="FE11" s="13">
        <f>IF('Données projet'!$A$218&gt;35,FE10+FD11-FM10,IF(A11&lt;'Données projet'!$A$218,$FB$205^A11,IF(A11='Données projet'!$A$218,'Données projet'!$B$218,FE10+FD11-FM10)))</f>
        <v>14.7883049748087</v>
      </c>
      <c r="FF11" s="18">
        <f>FE11*VLOOKUP('Données projet'!$B$16,Paramètres!$A$1:$I$89,3,0)*VLOOKUP('Données projet'!$B$16,Paramètres!$A$1:$I$89,5,0)</f>
        <v>12.919063225992881</v>
      </c>
      <c r="FG11" s="14">
        <f t="shared" si="47"/>
        <v>4.4201376828121335</v>
      </c>
      <c r="FH11" s="22">
        <f t="shared" si="22"/>
        <v>30.199108249502064</v>
      </c>
      <c r="FI11" s="62">
        <f t="shared" si="23"/>
        <v>296.6435526939465</v>
      </c>
      <c r="FJ11" s="62">
        <f ca="1">AVERAGE(OFFSET($FI$3,0,0,'Données projet'!$E$16+1,1))-AVERAGE(OFFSET($H$3,0,0,'Données projet'!$E$16+1,1))</f>
        <v>369.34989412920129</v>
      </c>
      <c r="FK11" s="62">
        <f t="shared" si="48"/>
        <v>371.26234252426553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11</v>
      </c>
      <c r="FZ11" s="13">
        <f>IF('Données projet'!$A$244&gt;35,FZ10+FY11-GH10,IF(A11&lt;'Données projet'!$A$244,$FW$205^A11,IF(A11='Données projet'!$A$244,'Données projet'!$B$244,FZ10+FY11-GH10)))</f>
        <v>61</v>
      </c>
      <c r="GA11" s="18">
        <f>FZ11*VLOOKUP('Données projet'!$B$17,Paramètres!$A$1:$I$89,3,0)*VLOOKUP('Données projet'!$B$17,Paramètres!$A$1:$I$89,5,0)</f>
        <v>55.192799999999998</v>
      </c>
      <c r="GB11" s="14">
        <f t="shared" si="49"/>
        <v>15.94701406628168</v>
      </c>
      <c r="GC11" s="22">
        <f t="shared" si="25"/>
        <v>123.90184283210725</v>
      </c>
      <c r="GD11" s="62">
        <f t="shared" si="26"/>
        <v>390.34628727655172</v>
      </c>
      <c r="GE11" s="62">
        <f ca="1">AVERAGE(OFFSET($GD$3,0,0,'Données projet'!$E$17+1,1))-AVERAGE(OFFSET($H$3,0,0,'Données projet'!$E$17+1,1))</f>
        <v>324.4489531703187</v>
      </c>
      <c r="GF11" s="62">
        <f t="shared" si="50"/>
        <v>446.55019360848706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projet'!$B$17,Paramètres!$A$1:$I$89,3,0)*0.475*44/12</f>
        <v>0</v>
      </c>
      <c r="GM11" s="23">
        <f>EXP(-LN(2)/25)*GM10+(1-EXP(-LN(2)/25))/(LN(2)/25)*Calculateur!GH11*Calculateur!GJ11*VLOOKUP('Données projet'!$B$17,Paramètres!$A$1:$I$89,3,0)*0.475*44/12</f>
        <v>0</v>
      </c>
      <c r="GN11" s="23">
        <f>EXP(-LN(2)/2)*GN10+(1-EXP(-LN(2)/2))/(LN(2)/2)*GH11*GK11*VLOOKUP('Données projet'!$B$17,Paramètres!$A$1:$I$89,3,0)*0.475*44/12</f>
        <v>0</v>
      </c>
      <c r="GO11" s="23">
        <f t="shared" si="27"/>
        <v>0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3.3333333333333335</v>
      </c>
      <c r="GU11" s="13">
        <f>IF('Données projet'!$A$270&gt;35,GU10+GT11-HC10,IF(A11&lt;'Données projet'!$A$270,$GR$205^A11,IF(A11='Données projet'!$A$270,'Données projet'!$B$270,GU10+GT11-HC10)))</f>
        <v>8.0559606396516319</v>
      </c>
      <c r="GV11" s="18">
        <f>GU11*VLOOKUP('Données projet'!$B$18,Paramètres!$A$1:$I$89,3,0)*VLOOKUP('Données projet'!$B$18,Paramètres!$A$1:$I$89,5,0)</f>
        <v>5.4039383970783144</v>
      </c>
      <c r="GW11" s="14">
        <f t="shared" si="51"/>
        <v>2.0463266728603036</v>
      </c>
      <c r="GX11" s="22">
        <f t="shared" si="28"/>
        <v>12.975878330143091</v>
      </c>
      <c r="GY11" s="62">
        <f t="shared" si="29"/>
        <v>279.42032277458753</v>
      </c>
      <c r="GZ11" s="62">
        <f ca="1">AVERAGE(OFFSET($GY$3,0,0,'Données projet'!$E$18+1,1))-AVERAGE(OFFSET($H$3,0,0,'Données projet'!$E$18+1,1))</f>
        <v>312.06797204903796</v>
      </c>
      <c r="HA11" s="62">
        <f t="shared" si="52"/>
        <v>258.20189001775151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>
        <f>EXP(-LN(2)/35)*HG10+(1-EXP(-LN(2)/35))/(LN(2)/35)*HC11*HD11*VLOOKUP('Données projet'!$B$18,Paramètres!$A$1:$I$89,3,0)*0.475*44/12</f>
        <v>0</v>
      </c>
      <c r="HH11" s="23">
        <f>EXP(-LN(2)/25)*HH10+(1-EXP(-LN(2)/25))/(LN(2)/25)*Calculateur!HC11*Calculateur!HE11*VLOOKUP('Données projet'!$B$18,Paramètres!$A$1:$I$89,3,0)*0.475*44/12</f>
        <v>0</v>
      </c>
      <c r="HI11" s="23">
        <f>EXP(-LN(2)/2)*HI10+(1-EXP(-LN(2)/2))/(LN(2)/2)*HC11*HF11*VLOOKUP('Données projet'!$B$18,Paramètres!$A$1:$I$89,3,0)*0.475*44/12</f>
        <v>0</v>
      </c>
      <c r="HJ11" s="24">
        <f t="shared" si="30"/>
        <v>0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3.65</v>
      </c>
      <c r="N12" s="14">
        <f>IF('Données projet'!$A$36&gt;35,N11+M12-V11,IF(A12&lt;'Données projet'!$A$36,$K$205^A12,IF(A12='Données projet'!$A$36,'Données projet'!$B$36,N11+M12-V11)))</f>
        <v>6.8943811137639424</v>
      </c>
      <c r="O12" s="14">
        <f>N12*VLOOKUP('Données projet'!$B$9,Paramètres!$A$1:$I$89,3,0)*VLOOKUP('Données projet'!$B$9,Paramètres!$A$1:$I$89,5,0)</f>
        <v>6.2380360317336141</v>
      </c>
      <c r="P12" s="14">
        <f t="shared" si="33"/>
        <v>2.3230383034439352</v>
      </c>
      <c r="Q12" s="22">
        <f t="shared" si="2"/>
        <v>14.910537800434229</v>
      </c>
      <c r="R12" s="62">
        <f t="shared" si="0"/>
        <v>282.5772044671009</v>
      </c>
      <c r="S12" s="62">
        <f ca="1">AVERAGE(OFFSET($R$3,0,0,'Données projet'!$E$9+1,1))-AVERAGE(OFFSET($H$3,0,0,'Données projet'!$E$9+1,1))</f>
        <v>512.84819850818667</v>
      </c>
      <c r="T12" s="62">
        <f t="shared" si="34"/>
        <v>332.61387922152159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1.1099999999999999</v>
      </c>
      <c r="AI12" s="14">
        <f>IF('Données projet'!$A$62&gt;35,AI11+AH12-AQ11,IF(A12&lt;'Données projet'!$A$62,$AF$205^A12,IF(A12='Données projet'!$A$62,'Données projet'!$B$62,AI11+AH12-AQ11)))</f>
        <v>8.7255071937385704</v>
      </c>
      <c r="AJ12" s="14">
        <f>AI12*VLOOKUP('Données projet'!$B$10,Paramètres!$A$1:$I$89,3,0)*VLOOKUP('Données projet'!$B$10,Paramètres!$A$1:$I$89,5,0)</f>
        <v>6.3975418744491197</v>
      </c>
      <c r="AK12" s="14">
        <f t="shared" si="35"/>
        <v>2.3754466052815975</v>
      </c>
      <c r="AL12" s="22">
        <f t="shared" si="4"/>
        <v>15.279621602197665</v>
      </c>
      <c r="AM12" s="62">
        <f t="shared" si="5"/>
        <v>282.94628826886435</v>
      </c>
      <c r="AN12" s="62">
        <f ca="1">AVERAGE(OFFSET($AM$3,0,0,'Données projet'!$E$10+1,1))-AVERAGE(OFFSET($H$3,0,0,'Données projet'!$E$10+1,1))</f>
        <v>344.45199703750711</v>
      </c>
      <c r="AO12" s="62">
        <f t="shared" si="36"/>
        <v>376.41441893222185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3.65</v>
      </c>
      <c r="BD12" s="13">
        <f>IF('Données projet'!$A$88&gt;35,BD11+BC12-BL11,IF(A12&lt;'Données projet'!$A$88,$BA$205^A12,IF(A12='Données projet'!$A$88,'Données projet'!$B$88,BD11+BC12-BL11)))</f>
        <v>6.8943811137639424</v>
      </c>
      <c r="BE12" s="14">
        <f>BD12*VLOOKUP('Données projet'!$B$11,Paramètres!$A$1:$I$89,3,0)*VLOOKUP('Données projet'!$B$11,Paramètres!$A$1:$I$89,5,0)</f>
        <v>6.9909024493566383</v>
      </c>
      <c r="BF12" s="14">
        <f t="shared" si="37"/>
        <v>2.5691037174250742</v>
      </c>
      <c r="BG12" s="22">
        <f t="shared" si="7"/>
        <v>16.650344073811482</v>
      </c>
      <c r="BH12" s="62">
        <f t="shared" si="8"/>
        <v>284.31701074047817</v>
      </c>
      <c r="BI12" s="62">
        <f ca="1">AVERAGE(OFFSET($BH$3,0,0,'Données projet'!$E$11+1,1))-AVERAGE(OFFSET($H$3,0,0,'Données projet'!$E$11+1,1))</f>
        <v>569.39473185784823</v>
      </c>
      <c r="BJ12" s="62">
        <f t="shared" si="38"/>
        <v>367.42881145517066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1.6</v>
      </c>
      <c r="BY12" s="13">
        <f>IF('Données projet'!$A$114&gt;35,BY11+BX12-CG11,IF(A12&lt;'Données projet'!$A$114,$BV$205^A12,IF(A12='Données projet'!$A$114,'Données projet'!$B$114,BY11+BX12-CG11)))</f>
        <v>4.7568284600108823</v>
      </c>
      <c r="BZ12" s="14">
        <f>BY12*VLOOKUP('Données projet'!$B$12,Paramètres!$A$1:$I$89,3,0)*VLOOKUP('Données projet'!$B$12,Paramètres!$A$1:$I$89,5,0)</f>
        <v>4.0813588186893375</v>
      </c>
      <c r="CA12" s="14">
        <f t="shared" si="39"/>
        <v>1.5968317780655192</v>
      </c>
      <c r="CB12" s="22">
        <f t="shared" si="10"/>
        <v>9.8895152893480418</v>
      </c>
      <c r="CC12" s="62">
        <f t="shared" si="11"/>
        <v>277.55618195601471</v>
      </c>
      <c r="CD12" s="62">
        <f ca="1">AVERAGE(OFFSET($CC$3,0,0,'Données projet'!$E$12+1,1))-AVERAGE(OFFSET($H$3,0,0,'Données projet'!$E$12+1,1))</f>
        <v>554.06253050955502</v>
      </c>
      <c r="CE12" s="62">
        <f t="shared" si="40"/>
        <v>269.71949336355789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2.6666666666666665</v>
      </c>
      <c r="CT12" s="13">
        <f>IF('Données projet'!$A$140&gt;35,CT11+CS12-DB11,IF(A12&lt;'Données projet'!$A$140,$CQ$205^A12,IF(A12='Données projet'!$A$140,'Données projet'!$B$140,CT11+CS12-DB11)))</f>
        <v>9.1461010385465205</v>
      </c>
      <c r="CU12" s="18">
        <f>CT12*VLOOKUP('Données projet'!$B$13,Paramètres!$A$1:$I$89,3,0)*VLOOKUP('Données projet'!$B$13,Paramètres!$A$1:$I$89,5,0)</f>
        <v>7.1339588100662858</v>
      </c>
      <c r="CV12" s="14">
        <f t="shared" si="41"/>
        <v>2.6155015444227643</v>
      </c>
      <c r="CW12" s="22">
        <f t="shared" si="13"/>
        <v>16.980310117401761</v>
      </c>
      <c r="CX12" s="62">
        <f t="shared" si="14"/>
        <v>284.64697678406844</v>
      </c>
      <c r="CY12" s="62">
        <f ca="1">AVERAGE(OFFSET($CX$3,0,0,'Données projet'!$E$13+1,1))-AVERAGE(OFFSET($H$3,0,0,'Données projet'!$E$13+1,1))</f>
        <v>292.21364130214391</v>
      </c>
      <c r="CZ12" s="62">
        <f t="shared" si="42"/>
        <v>283.48738729114024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2.4358974358974357</v>
      </c>
      <c r="DO12" s="13">
        <f>IF('Données projet'!$A$166&gt;35,DO11+DN12-DW11,IF(A12&lt;'Données projet'!$A$166,$DL$205^A12,IF(A12='Données projet'!$A$166,'Données projet'!$B$166,DO11+DN12-DW11)))</f>
        <v>17.70080828963949</v>
      </c>
      <c r="DP12" s="18">
        <f>DO12*VLOOKUP('Données projet'!$B$14,Paramètres!$A$1:$I$89,3,0)*VLOOKUP('Données projet'!$B$14,Paramètres!$A$1:$I$89,5,0)</f>
        <v>16.84408916842094</v>
      </c>
      <c r="DQ12" s="14">
        <f t="shared" si="43"/>
        <v>5.5878032247113882</v>
      </c>
      <c r="DR12" s="22">
        <f t="shared" si="16"/>
        <v>39.068879251372145</v>
      </c>
      <c r="DS12" s="62">
        <f t="shared" si="17"/>
        <v>306.73554591803884</v>
      </c>
      <c r="DT12" s="62">
        <f ca="1">AVERAGE(OFFSET($DS$3,0,0,'Données projet'!$E$14+1,1))-AVERAGE(OFFSET($H$3,0,0,'Données projet'!$E$14+1,1))</f>
        <v>427.47603885390191</v>
      </c>
      <c r="DU12" s="62">
        <f t="shared" si="44"/>
        <v>350.88664394632116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2.1</v>
      </c>
      <c r="EJ12" s="13">
        <f>IF('Données projet'!$A$192&gt;35,EJ11+EI12-ER11,IF(A12&lt;'Données projet'!$A$192,$EG$205^A12,IF(A12='Données projet'!$A$192,'Données projet'!$B$192,EJ11+EI12-ER11)))</f>
        <v>5.3760361537574148</v>
      </c>
      <c r="EK12" s="18">
        <f>EJ12*VLOOKUP('Données projet'!$B$15,Paramètres!$A$1:$I$89,3,0)*VLOOKUP('Données projet'!$B$15,Paramètres!$A$1:$I$89,5,0)</f>
        <v>5.1997021679141717</v>
      </c>
      <c r="EL12" s="14">
        <f t="shared" si="45"/>
        <v>1.977837649208241</v>
      </c>
      <c r="EM12" s="22">
        <f t="shared" si="19"/>
        <v>12.500881848154869</v>
      </c>
      <c r="EN12" s="62">
        <f t="shared" si="20"/>
        <v>280.16754851482153</v>
      </c>
      <c r="EO12" s="62">
        <f ca="1">AVERAGE(OFFSET($EN$3,0,0,'Données projet'!$E$15+1,1))-AVERAGE(OFFSET($H$3,0,0,'Données projet'!$E$15+1,1))</f>
        <v>455.50822833641354</v>
      </c>
      <c r="EP12" s="62">
        <f t="shared" si="46"/>
        <v>261.14722581688039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2.9</v>
      </c>
      <c r="FE12" s="13">
        <f>IF('Données projet'!$A$218&gt;35,FE11+FD12-FM11,IF(A12&lt;'Données projet'!$A$218,$FB$205^A12,IF(A12='Données projet'!$A$218,'Données projet'!$B$218,FE11+FD12-FM11)))</f>
        <v>20.708955653761308</v>
      </c>
      <c r="FF12" s="18">
        <f>FE12*VLOOKUP('Données projet'!$B$16,Paramètres!$A$1:$I$89,3,0)*VLOOKUP('Données projet'!$B$16,Paramètres!$A$1:$I$89,5,0)</f>
        <v>18.091343659125879</v>
      </c>
      <c r="FG12" s="14">
        <f t="shared" si="47"/>
        <v>5.9518679121149844</v>
      </c>
      <c r="FH12" s="22">
        <f t="shared" si="22"/>
        <v>41.875260153244504</v>
      </c>
      <c r="FI12" s="62">
        <f t="shared" si="23"/>
        <v>309.54192681991117</v>
      </c>
      <c r="FJ12" s="62">
        <f ca="1">AVERAGE(OFFSET($FI$3,0,0,'Données projet'!$E$16+1,1))-AVERAGE(OFFSET($H$3,0,0,'Données projet'!$E$16+1,1))</f>
        <v>369.34989412920129</v>
      </c>
      <c r="FK12" s="62">
        <f t="shared" si="48"/>
        <v>371.26234252426553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11</v>
      </c>
      <c r="FZ12" s="13">
        <f>IF('Données projet'!$A$244&gt;35,FZ11+FY12-GH11,IF(A12&lt;'Données projet'!$A$244,$FW$205^A12,IF(A12='Données projet'!$A$244,'Données projet'!$B$244,FZ11+FY12-GH11)))</f>
        <v>72</v>
      </c>
      <c r="GA12" s="18">
        <f>FZ12*VLOOKUP('Données projet'!$B$17,Paramètres!$A$1:$I$89,3,0)*VLOOKUP('Données projet'!$B$17,Paramètres!$A$1:$I$89,5,0)</f>
        <v>65.145600000000002</v>
      </c>
      <c r="GB12" s="14">
        <f t="shared" si="49"/>
        <v>18.462943001028204</v>
      </c>
      <c r="GC12" s="22">
        <f t="shared" si="25"/>
        <v>145.61821239345747</v>
      </c>
      <c r="GD12" s="62">
        <f t="shared" si="26"/>
        <v>413.28487906012413</v>
      </c>
      <c r="GE12" s="62">
        <f ca="1">AVERAGE(OFFSET($GD$3,0,0,'Données projet'!$E$17+1,1))-AVERAGE(OFFSET($H$3,0,0,'Données projet'!$E$17+1,1))</f>
        <v>324.4489531703187</v>
      </c>
      <c r="GF12" s="62">
        <f t="shared" si="50"/>
        <v>446.55019360848706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projet'!$B$17,Paramètres!$A$1:$I$89,3,0)*0.475*44/12</f>
        <v>0</v>
      </c>
      <c r="GM12" s="23">
        <f>EXP(-LN(2)/25)*GM11+(1-EXP(-LN(2)/25))/(LN(2)/25)*Calculateur!GH12*Calculateur!GJ12*VLOOKUP('Données projet'!$B$17,Paramètres!$A$1:$I$89,3,0)*0.475*44/12</f>
        <v>0</v>
      </c>
      <c r="GN12" s="23">
        <f>EXP(-LN(2)/2)*GN11+(1-EXP(-LN(2)/2))/(LN(2)/2)*GH12*GK12*VLOOKUP('Données projet'!$B$17,Paramètres!$A$1:$I$89,3,0)*0.475*44/12</f>
        <v>0</v>
      </c>
      <c r="GO12" s="23">
        <f t="shared" si="27"/>
        <v>0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3.3333333333333335</v>
      </c>
      <c r="GU12" s="13">
        <f>IF('Données projet'!$A$270&gt;35,GU11+GT12-HC11,IF(A12&lt;'Données projet'!$A$270,$GR$205^A12,IF(A12='Données projet'!$A$270,'Données projet'!$B$270,GU11+GT12-HC11)))</f>
        <v>10.456395525912733</v>
      </c>
      <c r="GV12" s="18">
        <f>GU12*VLOOKUP('Données projet'!$B$18,Paramètres!$A$1:$I$89,3,0)*VLOOKUP('Données projet'!$B$18,Paramètres!$A$1:$I$89,5,0)</f>
        <v>7.0141501187822621</v>
      </c>
      <c r="GW12" s="14">
        <f t="shared" si="51"/>
        <v>2.5766511556462244</v>
      </c>
      <c r="GX12" s="22">
        <f t="shared" si="28"/>
        <v>16.70397888629628</v>
      </c>
      <c r="GY12" s="62">
        <f t="shared" si="29"/>
        <v>284.37064555296297</v>
      </c>
      <c r="GZ12" s="62">
        <f ca="1">AVERAGE(OFFSET($GY$3,0,0,'Données projet'!$E$18+1,1))-AVERAGE(OFFSET($H$3,0,0,'Données projet'!$E$18+1,1))</f>
        <v>312.06797204903796</v>
      </c>
      <c r="HA12" s="62">
        <f t="shared" si="52"/>
        <v>258.20189001775151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>
        <f>EXP(-LN(2)/35)*HG11+(1-EXP(-LN(2)/35))/(LN(2)/35)*HC12*HD12*VLOOKUP('Données projet'!$B$18,Paramètres!$A$1:$I$89,3,0)*0.475*44/12</f>
        <v>0</v>
      </c>
      <c r="HH12" s="23">
        <f>EXP(-LN(2)/25)*HH11+(1-EXP(-LN(2)/25))/(LN(2)/25)*Calculateur!HC12*Calculateur!HE12*VLOOKUP('Données projet'!$B$18,Paramètres!$A$1:$I$89,3,0)*0.475*44/12</f>
        <v>0</v>
      </c>
      <c r="HI12" s="23">
        <f>EXP(-LN(2)/2)*HI11+(1-EXP(-LN(2)/2))/(LN(2)/2)*HC12*HF12*VLOOKUP('Données projet'!$B$18,Paramètres!$A$1:$I$89,3,0)*0.475*44/12</f>
        <v>0</v>
      </c>
      <c r="HJ12" s="24">
        <f t="shared" si="30"/>
        <v>0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3.65</v>
      </c>
      <c r="N13" s="14">
        <f>IF('Données projet'!$A$36&gt;35,N12+M13-V12,IF(A13&lt;'Données projet'!$A$36,$K$205^A13,IF(A13='Données projet'!$A$36,'Données projet'!$B$36,N12+M13-V12)))</f>
        <v>8.5440037453175322</v>
      </c>
      <c r="O13" s="14">
        <f>N13*VLOOKUP('Données projet'!$B$9,Paramètres!$A$1:$I$89,3,0)*VLOOKUP('Données projet'!$B$9,Paramètres!$A$1:$I$89,5,0)</f>
        <v>7.7306145887633031</v>
      </c>
      <c r="P13" s="14">
        <f t="shared" si="33"/>
        <v>2.8078763226288115</v>
      </c>
      <c r="Q13" s="22">
        <f t="shared" si="2"/>
        <v>18.354538337341264</v>
      </c>
      <c r="R13" s="62">
        <f t="shared" si="0"/>
        <v>287.2434272262301</v>
      </c>
      <c r="S13" s="62">
        <f ca="1">AVERAGE(OFFSET($R$3,0,0,'Données projet'!$E$9+1,1))-AVERAGE(OFFSET($H$3,0,0,'Données projet'!$E$9+1,1))</f>
        <v>512.84819850818667</v>
      </c>
      <c r="T13" s="62">
        <f t="shared" si="34"/>
        <v>332.61387922152159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>
        <f>VLOOKUP(A13,'Données projet'!$A$61:$I$81,2,0)</f>
        <v>11.1</v>
      </c>
      <c r="AG13" s="13">
        <f>VLOOKUP(A13,'Données projet'!$A$61:$I$81,9,0)</f>
        <v>1.1099999999999999</v>
      </c>
      <c r="AH13" s="13">
        <f t="array" ref="AH13">INDEX(AG:AG,MIN(IF(ISNUMBER(AG13:AG209),ROW(AG13:AG209),"")))</f>
        <v>1.1099999999999999</v>
      </c>
      <c r="AI13" s="14">
        <f>IF('Données projet'!$A$62&gt;35,AI12+AH13-AQ12,IF(A13&lt;'Données projet'!$A$62,$AF$205^A13,IF(A13='Données projet'!$A$62,'Données projet'!$B$62,AI12+AH13-AQ12)))</f>
        <v>11.1</v>
      </c>
      <c r="AJ13" s="14">
        <f>AI13*VLOOKUP('Données projet'!$B$10,Paramètres!$A$1:$I$89,3,0)*VLOOKUP('Données projet'!$B$10,Paramètres!$A$1:$I$89,5,0)</f>
        <v>8.1385199999999998</v>
      </c>
      <c r="AK13" s="14">
        <f t="shared" si="35"/>
        <v>2.9383938833896224</v>
      </c>
      <c r="AL13" s="22">
        <f t="shared" si="4"/>
        <v>19.292291680236925</v>
      </c>
      <c r="AM13" s="62">
        <f t="shared" si="5"/>
        <v>288.18118056912579</v>
      </c>
      <c r="AN13" s="62">
        <f ca="1">AVERAGE(OFFSET($AM$3,0,0,'Données projet'!$E$10+1,1))-AVERAGE(OFFSET($H$3,0,0,'Données projet'!$E$10+1,1))</f>
        <v>344.45199703750711</v>
      </c>
      <c r="AO13" s="62">
        <f t="shared" si="36"/>
        <v>376.41441893222185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3.65</v>
      </c>
      <c r="BD13" s="13">
        <f>IF('Données projet'!$A$88&gt;35,BD12+BC13-BL12,IF(A13&lt;'Données projet'!$A$88,$BA$205^A13,IF(A13='Données projet'!$A$88,'Données projet'!$B$88,BD12+BC13-BL12)))</f>
        <v>8.5440037453175322</v>
      </c>
      <c r="BE13" s="14">
        <f>BD13*VLOOKUP('Données projet'!$B$11,Paramètres!$A$1:$I$89,3,0)*VLOOKUP('Données projet'!$B$11,Paramètres!$A$1:$I$89,5,0)</f>
        <v>8.6636197977519771</v>
      </c>
      <c r="BF13" s="14">
        <f t="shared" si="37"/>
        <v>3.1052976990698267</v>
      </c>
      <c r="BG13" s="22">
        <f t="shared" si="7"/>
        <v>20.497531306964643</v>
      </c>
      <c r="BH13" s="62">
        <f t="shared" si="8"/>
        <v>289.38642019585347</v>
      </c>
      <c r="BI13" s="62">
        <f ca="1">AVERAGE(OFFSET($BH$3,0,0,'Données projet'!$E$11+1,1))-AVERAGE(OFFSET($H$3,0,0,'Données projet'!$E$11+1,1))</f>
        <v>569.39473185784823</v>
      </c>
      <c r="BJ13" s="62">
        <f t="shared" si="38"/>
        <v>367.42881145517066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1.6</v>
      </c>
      <c r="BY13" s="13">
        <f>IF('Données projet'!$A$114&gt;35,BY12+BX13-CG12,IF(A13&lt;'Données projet'!$A$114,$BV$205^A13,IF(A13='Données projet'!$A$114,'Données projet'!$B$114,BY12+BX13-CG12)))</f>
        <v>5.656854249492377</v>
      </c>
      <c r="BZ13" s="14">
        <f>BY13*VLOOKUP('Données projet'!$B$12,Paramètres!$A$1:$I$89,3,0)*VLOOKUP('Données projet'!$B$12,Paramètres!$A$1:$I$89,5,0)</f>
        <v>4.8535809460644597</v>
      </c>
      <c r="CA13" s="14">
        <f t="shared" si="39"/>
        <v>1.8610442215994896</v>
      </c>
      <c r="CB13" s="22">
        <f t="shared" si="10"/>
        <v>11.694638833681379</v>
      </c>
      <c r="CC13" s="62">
        <f t="shared" si="11"/>
        <v>280.58352772257024</v>
      </c>
      <c r="CD13" s="62">
        <f ca="1">AVERAGE(OFFSET($CC$3,0,0,'Données projet'!$E$12+1,1))-AVERAGE(OFFSET($H$3,0,0,'Données projet'!$E$12+1,1))</f>
        <v>554.06253050955502</v>
      </c>
      <c r="CE13" s="62">
        <f t="shared" si="40"/>
        <v>269.71949336355789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2.6666666666666665</v>
      </c>
      <c r="CT13" s="13">
        <f>IF('Données projet'!$A$140&gt;35,CT12+CS13-DB12,IF(A13&lt;'Données projet'!$A$140,$CQ$205^A13,IF(A13='Données projet'!$A$140,'Données projet'!$B$140,CT12+CS13-DB12)))</f>
        <v>11.696070952851455</v>
      </c>
      <c r="CU13" s="18">
        <f>CT13*VLOOKUP('Données projet'!$B$13,Paramètres!$A$1:$I$89,3,0)*VLOOKUP('Données projet'!$B$13,Paramètres!$A$1:$I$89,5,0)</f>
        <v>9.1229353432241354</v>
      </c>
      <c r="CV13" s="14">
        <f t="shared" si="41"/>
        <v>3.2503265450485803</v>
      </c>
      <c r="CW13" s="22">
        <f t="shared" si="13"/>
        <v>21.550097788741649</v>
      </c>
      <c r="CX13" s="62">
        <f t="shared" si="14"/>
        <v>290.43898667763051</v>
      </c>
      <c r="CY13" s="62">
        <f ca="1">AVERAGE(OFFSET($CX$3,0,0,'Données projet'!$E$13+1,1))-AVERAGE(OFFSET($H$3,0,0,'Données projet'!$E$13+1,1))</f>
        <v>292.21364130214391</v>
      </c>
      <c r="CZ13" s="62">
        <f t="shared" si="42"/>
        <v>283.48738729114024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>
        <f>VLOOKUP(A13,'Données projet'!$A$165:$I$185,2,0)</f>
        <v>24.358974358974358</v>
      </c>
      <c r="DM13" s="13">
        <f>VLOOKUP(A13,'Données projet'!$A$165:$I$185,9,0)</f>
        <v>2.4358974358974357</v>
      </c>
      <c r="DN13" s="13">
        <f t="array" ref="DN13">INDEX(DM:DM,MIN(IF(ISNUMBER(DM13:DM209),ROW(DM13:DM209),"")))</f>
        <v>2.4358974358974357</v>
      </c>
      <c r="DO13" s="13">
        <f>IF('Données projet'!$A$166&gt;35,DO12+DN13-DW12,IF(A13&lt;'Données projet'!$A$166,$DL$205^A13,IF(A13='Données projet'!$A$166,'Données projet'!$B$166,DO12+DN13-DW12)))</f>
        <v>24.358974358974358</v>
      </c>
      <c r="DP13" s="18">
        <f>DO13*VLOOKUP('Données projet'!$B$14,Paramètres!$A$1:$I$89,3,0)*VLOOKUP('Données projet'!$B$14,Paramètres!$A$1:$I$89,5,0)</f>
        <v>23.18</v>
      </c>
      <c r="DQ13" s="14">
        <f t="shared" si="43"/>
        <v>7.4091142724382211</v>
      </c>
      <c r="DR13" s="22">
        <f t="shared" si="16"/>
        <v>53.276040691163224</v>
      </c>
      <c r="DS13" s="62">
        <f t="shared" si="17"/>
        <v>322.1649295800521</v>
      </c>
      <c r="DT13" s="62">
        <f ca="1">AVERAGE(OFFSET($DS$3,0,0,'Données projet'!$E$14+1,1))-AVERAGE(OFFSET($H$3,0,0,'Données projet'!$E$14+1,1))</f>
        <v>427.47603885390191</v>
      </c>
      <c r="DU13" s="62">
        <f t="shared" si="44"/>
        <v>350.88664394632116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2.1</v>
      </c>
      <c r="EJ13" s="13">
        <f>IF('Données projet'!$A$192&gt;35,EJ12+EI13-ER12,IF(A13&lt;'Données projet'!$A$192,$EG$205^A13,IF(A13='Données projet'!$A$192,'Données projet'!$B$192,EJ12+EI13-ER12)))</f>
        <v>6.4807406984078657</v>
      </c>
      <c r="EK13" s="18">
        <f>EJ13*VLOOKUP('Données projet'!$B$15,Paramètres!$A$1:$I$89,3,0)*VLOOKUP('Données projet'!$B$15,Paramètres!$A$1:$I$89,5,0)</f>
        <v>6.2681724035000874</v>
      </c>
      <c r="EL13" s="14">
        <f t="shared" si="45"/>
        <v>2.3329519459947301</v>
      </c>
      <c r="EM13" s="22">
        <f t="shared" si="19"/>
        <v>14.98029157537014</v>
      </c>
      <c r="EN13" s="62">
        <f t="shared" si="20"/>
        <v>283.86918046425899</v>
      </c>
      <c r="EO13" s="62">
        <f ca="1">AVERAGE(OFFSET($EN$3,0,0,'Données projet'!$E$15+1,1))-AVERAGE(OFFSET($H$3,0,0,'Données projet'!$E$15+1,1))</f>
        <v>455.50822833641354</v>
      </c>
      <c r="EP13" s="62">
        <f t="shared" si="46"/>
        <v>261.14722581688039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>
        <f>VLOOKUP(A13,'Données projet'!$A$217:$I$237,2,0)</f>
        <v>29</v>
      </c>
      <c r="FC13" s="13">
        <f>VLOOKUP(A13,'Données projet'!$A$217:$I$237,9,0)</f>
        <v>2.9</v>
      </c>
      <c r="FD13" s="13">
        <f t="array" ref="FD13">INDEX(FC:FC,MIN(IF(ISNUMBER(FC13:FC209),ROW(FC13:FC209),"")))</f>
        <v>2.9</v>
      </c>
      <c r="FE13" s="13">
        <f>IF('Données projet'!$A$218&gt;35,FE12+FD13-FM12,IF(A13&lt;'Données projet'!$A$218,$FB$205^A13,IF(A13='Données projet'!$A$218,'Données projet'!$B$218,FE12+FD13-FM12)))</f>
        <v>29</v>
      </c>
      <c r="FF13" s="18">
        <f>FE13*VLOOKUP('Données projet'!$B$16,Paramètres!$A$1:$I$89,3,0)*VLOOKUP('Données projet'!$B$16,Paramètres!$A$1:$I$89,5,0)</f>
        <v>25.334400000000002</v>
      </c>
      <c r="FG13" s="14">
        <f t="shared" si="47"/>
        <v>8.0143955200794572</v>
      </c>
      <c r="FH13" s="22">
        <f t="shared" si="22"/>
        <v>58.082485530805059</v>
      </c>
      <c r="FI13" s="62">
        <f t="shared" si="23"/>
        <v>326.97137441969392</v>
      </c>
      <c r="FJ13" s="62">
        <f ca="1">AVERAGE(OFFSET($FI$3,0,0,'Données projet'!$E$16+1,1))-AVERAGE(OFFSET($H$3,0,0,'Données projet'!$E$16+1,1))</f>
        <v>369.34989412920129</v>
      </c>
      <c r="FK13" s="62">
        <f t="shared" si="48"/>
        <v>371.26234252426553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>
        <f>VLOOKUP(A13,'Données projet'!$A$243:$I$263,2,0)</f>
        <v>83</v>
      </c>
      <c r="FX13" s="13">
        <f>VLOOKUP(A13,'Données projet'!$A$243:$I$263,9,0)</f>
        <v>11</v>
      </c>
      <c r="FY13" s="13">
        <f t="array" ref="FY13">INDEX(FX:FX,MIN(IF(ISNUMBER(FX13:FX209),ROW(FX13:FX209),"")))</f>
        <v>11</v>
      </c>
      <c r="FZ13" s="13">
        <f>IF('Données projet'!$A$244&gt;35,FZ12+FY13-GH12,IF(A13&lt;'Données projet'!$A$244,$FW$205^A13,IF(A13='Données projet'!$A$244,'Données projet'!$B$244,FZ12+FY13-GH12)))</f>
        <v>83</v>
      </c>
      <c r="GA13" s="18">
        <f>FZ13*VLOOKUP('Données projet'!$B$17,Paramètres!$A$1:$I$89,3,0)*VLOOKUP('Données projet'!$B$17,Paramètres!$A$1:$I$89,5,0)</f>
        <v>75.098399999999998</v>
      </c>
      <c r="GB13" s="14">
        <f t="shared" si="49"/>
        <v>20.934343091450742</v>
      </c>
      <c r="GC13" s="22">
        <f t="shared" si="25"/>
        <v>167.25702755094335</v>
      </c>
      <c r="GD13" s="62">
        <f t="shared" si="26"/>
        <v>436.14591643983221</v>
      </c>
      <c r="GE13" s="62">
        <f ca="1">AVERAGE(OFFSET($GD$3,0,0,'Données projet'!$E$17+1,1))-AVERAGE(OFFSET($H$3,0,0,'Données projet'!$E$17+1,1))</f>
        <v>324.4489531703187</v>
      </c>
      <c r="GF13" s="62">
        <f t="shared" si="50"/>
        <v>446.55019360848706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projet'!$B$17,Paramètres!$A$1:$I$89,3,0)*0.475*44/12</f>
        <v>0</v>
      </c>
      <c r="GM13" s="23">
        <f>EXP(-LN(2)/25)*GM12+(1-EXP(-LN(2)/25))/(LN(2)/25)*Calculateur!GH13*Calculateur!GJ13*VLOOKUP('Données projet'!$B$17,Paramètres!$A$1:$I$89,3,0)*0.475*44/12</f>
        <v>0</v>
      </c>
      <c r="GN13" s="23">
        <f>EXP(-LN(2)/2)*GN12+(1-EXP(-LN(2)/2))/(LN(2)/2)*GH13*GK13*VLOOKUP('Données projet'!$B$17,Paramètres!$A$1:$I$89,3,0)*0.475*44/12</f>
        <v>0</v>
      </c>
      <c r="GO13" s="23">
        <f t="shared" si="27"/>
        <v>0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3.3333333333333335</v>
      </c>
      <c r="GU13" s="13">
        <f>IF('Données projet'!$A$270&gt;35,GU12+GT13-HC12,IF(A13&lt;'Données projet'!$A$270,$GR$205^A13,IF(A13='Données projet'!$A$270,'Données projet'!$B$270,GU12+GT13-HC12)))</f>
        <v>13.572088082974533</v>
      </c>
      <c r="GV13" s="18">
        <f>GU13*VLOOKUP('Données projet'!$B$18,Paramètres!$A$1:$I$89,3,0)*VLOOKUP('Données projet'!$B$18,Paramètres!$A$1:$I$89,5,0)</f>
        <v>9.1041566860593175</v>
      </c>
      <c r="GW13" s="14">
        <f t="shared" si="51"/>
        <v>3.2444141328681457</v>
      </c>
      <c r="GX13" s="22">
        <f t="shared" si="28"/>
        <v>21.507094176298665</v>
      </c>
      <c r="GY13" s="62">
        <f t="shared" si="29"/>
        <v>290.39598306518752</v>
      </c>
      <c r="GZ13" s="62">
        <f ca="1">AVERAGE(OFFSET($GY$3,0,0,'Données projet'!$E$18+1,1))-AVERAGE(OFFSET($H$3,0,0,'Données projet'!$E$18+1,1))</f>
        <v>312.06797204903796</v>
      </c>
      <c r="HA13" s="62">
        <f t="shared" si="52"/>
        <v>258.20189001775151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>
        <f>EXP(-LN(2)/35)*HG12+(1-EXP(-LN(2)/35))/(LN(2)/35)*HC13*HD13*VLOOKUP('Données projet'!$B$18,Paramètres!$A$1:$I$89,3,0)*0.475*44/12</f>
        <v>0</v>
      </c>
      <c r="HH13" s="23">
        <f>EXP(-LN(2)/25)*HH12+(1-EXP(-LN(2)/25))/(LN(2)/25)*Calculateur!HC13*Calculateur!HE13*VLOOKUP('Données projet'!$B$18,Paramètres!$A$1:$I$89,3,0)*0.475*44/12</f>
        <v>0</v>
      </c>
      <c r="HI13" s="23">
        <f>EXP(-LN(2)/2)*HI12+(1-EXP(-LN(2)/2))/(LN(2)/2)*HC13*HF13*VLOOKUP('Données projet'!$B$18,Paramètres!$A$1:$I$89,3,0)*0.475*44/12</f>
        <v>0</v>
      </c>
      <c r="HJ13" s="24">
        <f t="shared" si="30"/>
        <v>0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3.65</v>
      </c>
      <c r="N14" s="14">
        <f>IF('Données projet'!$A$36&gt;35,N13+M14-V13,IF(A14&lt;'Données projet'!$A$36,$K$205^A14,IF(A14='Données projet'!$A$36,'Données projet'!$B$36,N13+M14-V13)))</f>
        <v>10.588332555950936</v>
      </c>
      <c r="O14" s="14">
        <f>N14*VLOOKUP('Données projet'!$B$9,Paramètres!$A$1:$I$89,3,0)*VLOOKUP('Données projet'!$B$9,Paramètres!$A$1:$I$89,5,0)</f>
        <v>9.5803232966244067</v>
      </c>
      <c r="P14" s="14">
        <f t="shared" si="33"/>
        <v>3.3939041949894282</v>
      </c>
      <c r="Q14" s="22">
        <f t="shared" si="2"/>
        <v>22.596779547894098</v>
      </c>
      <c r="R14" s="62">
        <f t="shared" si="0"/>
        <v>292.70789065900522</v>
      </c>
      <c r="S14" s="62">
        <f ca="1">AVERAGE(OFFSET($R$3,0,0,'Données projet'!$E$9+1,1))-AVERAGE(OFFSET($H$3,0,0,'Données projet'!$E$9+1,1))</f>
        <v>512.84819850818667</v>
      </c>
      <c r="T14" s="62">
        <f t="shared" si="34"/>
        <v>332.61387922152159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10.68</v>
      </c>
      <c r="AI14" s="14">
        <f>IF('Données projet'!$A$62&gt;35,AI13+AH14-AQ13,IF(A14&lt;'Données projet'!$A$62,$AF$205^A14,IF(A14='Données projet'!$A$62,'Données projet'!$B$62,AI13+AH14-AQ13)))</f>
        <v>21.78</v>
      </c>
      <c r="AJ14" s="14">
        <f>AI14*VLOOKUP('Données projet'!$B$10,Paramètres!$A$1:$I$89,3,0)*VLOOKUP('Données projet'!$B$10,Paramètres!$A$1:$I$89,5,0)</f>
        <v>15.969095999999999</v>
      </c>
      <c r="AK14" s="14">
        <f t="shared" si="35"/>
        <v>5.3305321367080518</v>
      </c>
      <c r="AL14" s="22">
        <f t="shared" si="4"/>
        <v>37.096852338099858</v>
      </c>
      <c r="AM14" s="62">
        <f t="shared" si="5"/>
        <v>307.20796344921098</v>
      </c>
      <c r="AN14" s="62">
        <f ca="1">AVERAGE(OFFSET($AM$3,0,0,'Données projet'!$E$10+1,1))-AVERAGE(OFFSET($H$3,0,0,'Données projet'!$E$10+1,1))</f>
        <v>344.45199703750711</v>
      </c>
      <c r="AO14" s="62">
        <f t="shared" si="36"/>
        <v>376.41441893222185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3.65</v>
      </c>
      <c r="BD14" s="13">
        <f>IF('Données projet'!$A$88&gt;35,BD13+BC14-BL13,IF(A14&lt;'Données projet'!$A$88,$BA$205^A14,IF(A14='Données projet'!$A$88,'Données projet'!$B$88,BD13+BC14-BL13)))</f>
        <v>10.588332555950936</v>
      </c>
      <c r="BE14" s="14">
        <f>BD14*VLOOKUP('Données projet'!$B$11,Paramètres!$A$1:$I$89,3,0)*VLOOKUP('Données projet'!$B$11,Paramètres!$A$1:$I$89,5,0)</f>
        <v>10.736569211734251</v>
      </c>
      <c r="BF14" s="14">
        <f t="shared" si="37"/>
        <v>3.7533999637480915</v>
      </c>
      <c r="BG14" s="22">
        <f t="shared" si="7"/>
        <v>25.23669631396508</v>
      </c>
      <c r="BH14" s="62">
        <f t="shared" si="8"/>
        <v>295.34780742507621</v>
      </c>
      <c r="BI14" s="62">
        <f ca="1">AVERAGE(OFFSET($BH$3,0,0,'Données projet'!$E$11+1,1))-AVERAGE(OFFSET($H$3,0,0,'Données projet'!$E$11+1,1))</f>
        <v>569.39473185784823</v>
      </c>
      <c r="BJ14" s="62">
        <f t="shared" si="38"/>
        <v>367.42881145517066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1.6</v>
      </c>
      <c r="BY14" s="13">
        <f>IF('Données projet'!$A$114&gt;35,BY13+BX14-CG13,IF(A14&lt;'Données projet'!$A$114,$BV$205^A14,IF(A14='Données projet'!$A$114,'Données projet'!$B$114,BY13+BX14-CG13)))</f>
        <v>6.7271713220297125</v>
      </c>
      <c r="BZ14" s="14">
        <f>BY14*VLOOKUP('Données projet'!$B$12,Paramètres!$A$1:$I$89,3,0)*VLOOKUP('Données projet'!$B$12,Paramètres!$A$1:$I$89,5,0)</f>
        <v>5.771912994301494</v>
      </c>
      <c r="CA14" s="14">
        <f t="shared" si="39"/>
        <v>2.1689733648366443</v>
      </c>
      <c r="CB14" s="22">
        <f t="shared" si="10"/>
        <v>13.830377075498925</v>
      </c>
      <c r="CC14" s="62">
        <f t="shared" si="11"/>
        <v>283.94148818661006</v>
      </c>
      <c r="CD14" s="62">
        <f ca="1">AVERAGE(OFFSET($CC$3,0,0,'Données projet'!$E$12+1,1))-AVERAGE(OFFSET($H$3,0,0,'Données projet'!$E$12+1,1))</f>
        <v>554.06253050955502</v>
      </c>
      <c r="CE14" s="62">
        <f t="shared" si="40"/>
        <v>269.71949336355789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2.6666666666666665</v>
      </c>
      <c r="CT14" s="13">
        <f>IF('Données projet'!$A$140&gt;35,CT13+CS14-DB13,IF(A14&lt;'Données projet'!$A$140,$CQ$205^A14,IF(A14='Données projet'!$A$140,'Données projet'!$B$140,CT13+CS14-DB13)))</f>
        <v>14.956982779612416</v>
      </c>
      <c r="CU14" s="18">
        <f>CT14*VLOOKUP('Données projet'!$B$13,Paramètres!$A$1:$I$89,3,0)*VLOOKUP('Données projet'!$B$13,Paramètres!$A$1:$I$89,5,0)</f>
        <v>11.666446568097685</v>
      </c>
      <c r="CV14" s="14">
        <f t="shared" si="41"/>
        <v>4.0392339557111736</v>
      </c>
      <c r="CW14" s="22">
        <f t="shared" si="13"/>
        <v>27.354060245633761</v>
      </c>
      <c r="CX14" s="62">
        <f t="shared" si="14"/>
        <v>297.46517135674492</v>
      </c>
      <c r="CY14" s="62">
        <f ca="1">AVERAGE(OFFSET($CX$3,0,0,'Données projet'!$E$13+1,1))-AVERAGE(OFFSET($H$3,0,0,'Données projet'!$E$13+1,1))</f>
        <v>292.21364130214391</v>
      </c>
      <c r="CZ14" s="62">
        <f t="shared" si="42"/>
        <v>283.48738729114024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6.9230769230769225</v>
      </c>
      <c r="DO14" s="13">
        <f>IF('Données projet'!$A$166&gt;35,DO13+DN14-DW13,IF(A14&lt;'Données projet'!$A$166,$DL$205^A14,IF(A14='Données projet'!$A$166,'Données projet'!$B$166,DO13+DN14-DW13)))</f>
        <v>31.282051282051281</v>
      </c>
      <c r="DP14" s="18">
        <f>DO14*VLOOKUP('Données projet'!$B$14,Paramètres!$A$1:$I$89,3,0)*VLOOKUP('Données projet'!$B$14,Paramètres!$A$1:$I$89,5,0)</f>
        <v>29.768000000000001</v>
      </c>
      <c r="DQ14" s="14">
        <f t="shared" si="43"/>
        <v>9.2418148110169618</v>
      </c>
      <c r="DR14" s="22">
        <f t="shared" si="16"/>
        <v>67.942094129187879</v>
      </c>
      <c r="DS14" s="62">
        <f t="shared" si="17"/>
        <v>338.05320524029901</v>
      </c>
      <c r="DT14" s="62">
        <f ca="1">AVERAGE(OFFSET($DS$3,0,0,'Données projet'!$E$14+1,1))-AVERAGE(OFFSET($H$3,0,0,'Données projet'!$E$14+1,1))</f>
        <v>427.47603885390191</v>
      </c>
      <c r="DU14" s="62">
        <f t="shared" si="44"/>
        <v>350.88664394632116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2.1</v>
      </c>
      <c r="EJ14" s="13">
        <f>IF('Données projet'!$A$192&gt;35,EJ13+EI14-ER13,IF(A14&lt;'Données projet'!$A$192,$EG$205^A14,IF(A14='Données projet'!$A$192,'Données projet'!$B$192,EJ13+EI14-ER13)))</f>
        <v>7.8124474610620815</v>
      </c>
      <c r="EK14" s="18">
        <f>EJ14*VLOOKUP('Données projet'!$B$15,Paramètres!$A$1:$I$89,3,0)*VLOOKUP('Données projet'!$B$15,Paramètres!$A$1:$I$89,5,0)</f>
        <v>7.5561991843392455</v>
      </c>
      <c r="EL14" s="14">
        <f t="shared" si="45"/>
        <v>2.7518258561310041</v>
      </c>
      <c r="EM14" s="22">
        <f t="shared" si="19"/>
        <v>17.953143612152349</v>
      </c>
      <c r="EN14" s="62">
        <f t="shared" si="20"/>
        <v>288.0642547232635</v>
      </c>
      <c r="EO14" s="62">
        <f ca="1">AVERAGE(OFFSET($EN$3,0,0,'Données projet'!$E$15+1,1))-AVERAGE(OFFSET($H$3,0,0,'Données projet'!$E$15+1,1))</f>
        <v>455.50822833641354</v>
      </c>
      <c r="EP14" s="62">
        <f t="shared" si="46"/>
        <v>261.14722581688039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8.8000000000000007</v>
      </c>
      <c r="FE14" s="13">
        <f>IF('Données projet'!$A$218&gt;35,FE13+FD14-FM13,IF(A14&lt;'Données projet'!$A$218,$FB$205^A14,IF(A14='Données projet'!$A$218,'Données projet'!$B$218,FE13+FD14-FM13)))</f>
        <v>37.799999999999997</v>
      </c>
      <c r="FF14" s="18">
        <f>FE14*VLOOKUP('Données projet'!$B$16,Paramètres!$A$1:$I$89,3,0)*VLOOKUP('Données projet'!$B$16,Paramètres!$A$1:$I$89,5,0)</f>
        <v>33.022080000000003</v>
      </c>
      <c r="FG14" s="14">
        <f t="shared" si="47"/>
        <v>10.129025278332465</v>
      </c>
      <c r="FH14" s="22">
        <f t="shared" si="22"/>
        <v>75.154841693095705</v>
      </c>
      <c r="FI14" s="62">
        <f t="shared" si="23"/>
        <v>345.26595280420685</v>
      </c>
      <c r="FJ14" s="62">
        <f ca="1">AVERAGE(OFFSET($FI$3,0,0,'Données projet'!$E$16+1,1))-AVERAGE(OFFSET($H$3,0,0,'Données projet'!$E$16+1,1))</f>
        <v>369.34989412920129</v>
      </c>
      <c r="FK14" s="62">
        <f t="shared" si="48"/>
        <v>371.26234252426553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10.8</v>
      </c>
      <c r="FZ14" s="13">
        <f>IF('Données projet'!$A$244&gt;35,FZ13+FY14-GH13,IF(A14&lt;'Données projet'!$A$244,$FW$205^A14,IF(A14='Données projet'!$A$244,'Données projet'!$B$244,FZ13+FY14-GH13)))</f>
        <v>93.8</v>
      </c>
      <c r="GA14" s="18">
        <f>FZ14*VLOOKUP('Données projet'!$B$17,Paramètres!$A$1:$I$89,3,0)*VLOOKUP('Données projet'!$B$17,Paramètres!$A$1:$I$89,5,0)</f>
        <v>84.870239999999995</v>
      </c>
      <c r="GB14" s="14">
        <f t="shared" si="49"/>
        <v>23.323856624519408</v>
      </c>
      <c r="GC14" s="22">
        <f t="shared" si="25"/>
        <v>188.43805162103794</v>
      </c>
      <c r="GD14" s="62">
        <f t="shared" si="26"/>
        <v>458.54916273214906</v>
      </c>
      <c r="GE14" s="62">
        <f ca="1">AVERAGE(OFFSET($GD$3,0,0,'Données projet'!$E$17+1,1))-AVERAGE(OFFSET($H$3,0,0,'Données projet'!$E$17+1,1))</f>
        <v>324.4489531703187</v>
      </c>
      <c r="GF14" s="62">
        <f t="shared" si="50"/>
        <v>446.55019360848706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projet'!$B$17,Paramètres!$A$1:$I$89,3,0)*0.475*44/12</f>
        <v>0</v>
      </c>
      <c r="GM14" s="23">
        <f>EXP(-LN(2)/25)*GM13+(1-EXP(-LN(2)/25))/(LN(2)/25)*Calculateur!GH14*Calculateur!GJ14*VLOOKUP('Données projet'!$B$17,Paramètres!$A$1:$I$89,3,0)*0.475*44/12</f>
        <v>0</v>
      </c>
      <c r="GN14" s="23">
        <f>EXP(-LN(2)/2)*GN13+(1-EXP(-LN(2)/2))/(LN(2)/2)*GH14*GK14*VLOOKUP('Données projet'!$B$17,Paramètres!$A$1:$I$89,3,0)*0.475*44/12</f>
        <v>0</v>
      </c>
      <c r="GO14" s="23">
        <f t="shared" si="27"/>
        <v>0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3.3333333333333335</v>
      </c>
      <c r="GU14" s="13">
        <f>IF('Données projet'!$A$270&gt;35,GU13+GT14-HC13,IF(A14&lt;'Données projet'!$A$270,$GR$205^A14,IF(A14='Données projet'!$A$270,'Données projet'!$B$270,GU13+GT14-HC13)))</f>
        <v>17.616163665149852</v>
      </c>
      <c r="GV14" s="18">
        <f>GU14*VLOOKUP('Données projet'!$B$18,Paramètres!$A$1:$I$89,3,0)*VLOOKUP('Données projet'!$B$18,Paramètres!$A$1:$I$89,5,0)</f>
        <v>11.816922586582521</v>
      </c>
      <c r="GW14" s="14">
        <f t="shared" si="51"/>
        <v>4.0852340614632361</v>
      </c>
      <c r="GX14" s="22">
        <f t="shared" si="28"/>
        <v>27.696256162013025</v>
      </c>
      <c r="GY14" s="62">
        <f t="shared" si="29"/>
        <v>297.80736727312416</v>
      </c>
      <c r="GZ14" s="62">
        <f ca="1">AVERAGE(OFFSET($GY$3,0,0,'Données projet'!$E$18+1,1))-AVERAGE(OFFSET($H$3,0,0,'Données projet'!$E$18+1,1))</f>
        <v>312.06797204903796</v>
      </c>
      <c r="HA14" s="62">
        <f t="shared" si="52"/>
        <v>258.20189001775151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>
        <f>EXP(-LN(2)/35)*HG13+(1-EXP(-LN(2)/35))/(LN(2)/35)*HC14*HD14*VLOOKUP('Données projet'!$B$18,Paramètres!$A$1:$I$89,3,0)*0.475*44/12</f>
        <v>0</v>
      </c>
      <c r="HH14" s="23">
        <f>EXP(-LN(2)/25)*HH13+(1-EXP(-LN(2)/25))/(LN(2)/25)*Calculateur!HC14*Calculateur!HE14*VLOOKUP('Données projet'!$B$18,Paramètres!$A$1:$I$89,3,0)*0.475*44/12</f>
        <v>0</v>
      </c>
      <c r="HI14" s="23">
        <f>EXP(-LN(2)/2)*HI13+(1-EXP(-LN(2)/2))/(LN(2)/2)*HC14*HF14*VLOOKUP('Données projet'!$B$18,Paramètres!$A$1:$I$89,3,0)*0.475*44/12</f>
        <v>0</v>
      </c>
      <c r="HJ14" s="24">
        <f t="shared" si="30"/>
        <v>0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3.65</v>
      </c>
      <c r="N15" s="14">
        <f>IF('Données projet'!$A$36&gt;35,N14+M15-V14,IF(A15&lt;'Données projet'!$A$36,$K$205^A15,IF(A15='Données projet'!$A$36,'Données projet'!$B$36,N14+M15-V14)))</f>
        <v>13.121809125710287</v>
      </c>
      <c r="O15" s="14">
        <f>N15*VLOOKUP('Données projet'!$B$9,Paramètres!$A$1:$I$89,3,0)*VLOOKUP('Données projet'!$B$9,Paramètres!$A$1:$I$89,5,0)</f>
        <v>11.872612896942668</v>
      </c>
      <c r="P15" s="14">
        <f t="shared" si="33"/>
        <v>4.1022411108131784</v>
      </c>
      <c r="Q15" s="22">
        <f t="shared" si="2"/>
        <v>27.822870730174767</v>
      </c>
      <c r="R15" s="62">
        <f t="shared" si="0"/>
        <v>299.15620406350808</v>
      </c>
      <c r="S15" s="62">
        <f ca="1">AVERAGE(OFFSET($R$3,0,0,'Données projet'!$E$9+1,1))-AVERAGE(OFFSET($H$3,0,0,'Données projet'!$E$9+1,1))</f>
        <v>512.84819850818667</v>
      </c>
      <c r="T15" s="62">
        <f t="shared" si="34"/>
        <v>332.61387922152159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10.68</v>
      </c>
      <c r="AI15" s="14">
        <f>IF('Données projet'!$A$62&gt;35,AI14+AH15-AQ14,IF(A15&lt;'Données projet'!$A$62,$AF$205^A15,IF(A15='Données projet'!$A$62,'Données projet'!$B$62,AI14+AH15-AQ14)))</f>
        <v>32.46</v>
      </c>
      <c r="AJ15" s="14">
        <f>AI15*VLOOKUP('Données projet'!$B$10,Paramètres!$A$1:$I$89,3,0)*VLOOKUP('Données projet'!$B$10,Paramètres!$A$1:$I$89,5,0)</f>
        <v>23.799672000000001</v>
      </c>
      <c r="AK15" s="14">
        <f t="shared" si="35"/>
        <v>7.5838577005088039</v>
      </c>
      <c r="AL15" s="22">
        <f t="shared" si="4"/>
        <v>54.659647561719503</v>
      </c>
      <c r="AM15" s="62">
        <f t="shared" si="5"/>
        <v>325.99298089505282</v>
      </c>
      <c r="AN15" s="62">
        <f ca="1">AVERAGE(OFFSET($AM$3,0,0,'Données projet'!$E$10+1,1))-AVERAGE(OFFSET($H$3,0,0,'Données projet'!$E$10+1,1))</f>
        <v>344.45199703750711</v>
      </c>
      <c r="AO15" s="62">
        <f t="shared" si="36"/>
        <v>376.41441893222185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3.65</v>
      </c>
      <c r="BD15" s="13">
        <f>IF('Données projet'!$A$88&gt;35,BD14+BC15-BL14,IF(A15&lt;'Données projet'!$A$88,$BA$205^A15,IF(A15='Données projet'!$A$88,'Données projet'!$B$88,BD14+BC15-BL14)))</f>
        <v>13.121809125710287</v>
      </c>
      <c r="BE15" s="14">
        <f>BD15*VLOOKUP('Données projet'!$B$11,Paramètres!$A$1:$I$89,3,0)*VLOOKUP('Données projet'!$B$11,Paramètres!$A$1:$I$89,5,0)</f>
        <v>13.305514453470233</v>
      </c>
      <c r="BF15" s="14">
        <f t="shared" si="37"/>
        <v>4.5367667299931158</v>
      </c>
      <c r="BG15" s="22">
        <f t="shared" si="7"/>
        <v>31.075306394532003</v>
      </c>
      <c r="BH15" s="62">
        <f t="shared" si="8"/>
        <v>302.40863972786531</v>
      </c>
      <c r="BI15" s="62">
        <f ca="1">AVERAGE(OFFSET($BH$3,0,0,'Données projet'!$E$11+1,1))-AVERAGE(OFFSET($H$3,0,0,'Données projet'!$E$11+1,1))</f>
        <v>569.39473185784823</v>
      </c>
      <c r="BJ15" s="62">
        <f t="shared" si="38"/>
        <v>367.42881145517066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1.6</v>
      </c>
      <c r="BY15" s="13">
        <f>IF('Données projet'!$A$114&gt;35,BY14+BX15-CG14,IF(A15&lt;'Données projet'!$A$114,$BV$205^A15,IF(A15='Données projet'!$A$114,'Données projet'!$B$114,BY14+BX15-CG14)))</f>
        <v>7.9999999999999947</v>
      </c>
      <c r="BZ15" s="14">
        <f>BY15*VLOOKUP('Données projet'!$B$12,Paramètres!$A$1:$I$89,3,0)*VLOOKUP('Données projet'!$B$12,Paramètres!$A$1:$I$89,5,0)</f>
        <v>6.8639999999999963</v>
      </c>
      <c r="CA15" s="14">
        <f t="shared" si="39"/>
        <v>2.5278525909113112</v>
      </c>
      <c r="CB15" s="22">
        <f t="shared" si="10"/>
        <v>16.357476595837191</v>
      </c>
      <c r="CC15" s="62">
        <f t="shared" si="11"/>
        <v>287.69080992917048</v>
      </c>
      <c r="CD15" s="62">
        <f ca="1">AVERAGE(OFFSET($CC$3,0,0,'Données projet'!$E$12+1,1))-AVERAGE(OFFSET($H$3,0,0,'Données projet'!$E$12+1,1))</f>
        <v>554.06253050955502</v>
      </c>
      <c r="CE15" s="62">
        <f t="shared" si="40"/>
        <v>269.71949336355789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2.6666666666666665</v>
      </c>
      <c r="CT15" s="13">
        <f>IF('Données projet'!$A$140&gt;35,CT14+CS15-DB14,IF(A15&lt;'Données projet'!$A$140,$CQ$205^A15,IF(A15='Données projet'!$A$140,'Données projet'!$B$140,CT14+CS15-DB14)))</f>
        <v>19.127049995800721</v>
      </c>
      <c r="CU15" s="18">
        <f>CT15*VLOOKUP('Données projet'!$B$13,Paramètres!$A$1:$I$89,3,0)*VLOOKUP('Données projet'!$B$13,Paramètres!$A$1:$I$89,5,0)</f>
        <v>14.919098996724562</v>
      </c>
      <c r="CV15" s="14">
        <f t="shared" si="41"/>
        <v>5.019622097301081</v>
      </c>
      <c r="CW15" s="22">
        <f t="shared" si="13"/>
        <v>34.726605905427995</v>
      </c>
      <c r="CX15" s="62">
        <f t="shared" si="14"/>
        <v>306.05993923876133</v>
      </c>
      <c r="CY15" s="62">
        <f ca="1">AVERAGE(OFFSET($CX$3,0,0,'Données projet'!$E$13+1,1))-AVERAGE(OFFSET($H$3,0,0,'Données projet'!$E$13+1,1))</f>
        <v>292.21364130214391</v>
      </c>
      <c r="CZ15" s="62">
        <f t="shared" si="42"/>
        <v>283.48738729114024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6.9230769230769225</v>
      </c>
      <c r="DO15" s="13">
        <f>IF('Données projet'!$A$166&gt;35,DO14+DN15-DW14,IF(A15&lt;'Données projet'!$A$166,$DL$205^A15,IF(A15='Données projet'!$A$166,'Données projet'!$B$166,DO14+DN15-DW14)))</f>
        <v>38.205128205128204</v>
      </c>
      <c r="DP15" s="18">
        <f>DO15*VLOOKUP('Données projet'!$B$14,Paramètres!$A$1:$I$89,3,0)*VLOOKUP('Données projet'!$B$14,Paramètres!$A$1:$I$89,5,0)</f>
        <v>36.356000000000002</v>
      </c>
      <c r="DQ15" s="14">
        <f t="shared" si="43"/>
        <v>11.027500907529181</v>
      </c>
      <c r="DR15" s="22">
        <f t="shared" si="16"/>
        <v>82.526264080613331</v>
      </c>
      <c r="DS15" s="62">
        <f t="shared" si="17"/>
        <v>353.85959741394663</v>
      </c>
      <c r="DT15" s="62">
        <f ca="1">AVERAGE(OFFSET($DS$3,0,0,'Données projet'!$E$14+1,1))-AVERAGE(OFFSET($H$3,0,0,'Données projet'!$E$14+1,1))</f>
        <v>427.47603885390191</v>
      </c>
      <c r="DU15" s="62">
        <f t="shared" si="44"/>
        <v>350.88664394632116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2.1</v>
      </c>
      <c r="EJ15" s="13">
        <f>IF('Données projet'!$A$192&gt;35,EJ14+EI15-ER14,IF(A15&lt;'Données projet'!$A$192,$EG$205^A15,IF(A15='Données projet'!$A$192,'Données projet'!$B$192,EJ14+EI15-ER14)))</f>
        <v>9.4178024044149407</v>
      </c>
      <c r="EK15" s="18">
        <f>EJ15*VLOOKUP('Données projet'!$B$15,Paramètres!$A$1:$I$89,3,0)*VLOOKUP('Données projet'!$B$15,Paramètres!$A$1:$I$89,5,0)</f>
        <v>9.1088984855501316</v>
      </c>
      <c r="EL15" s="14">
        <f t="shared" si="45"/>
        <v>3.2459072101643005</v>
      </c>
      <c r="EM15" s="22">
        <f t="shared" si="19"/>
        <v>21.517953253369303</v>
      </c>
      <c r="EN15" s="62">
        <f t="shared" si="20"/>
        <v>292.8512865867026</v>
      </c>
      <c r="EO15" s="62">
        <f ca="1">AVERAGE(OFFSET($EN$3,0,0,'Données projet'!$E$15+1,1))-AVERAGE(OFFSET($H$3,0,0,'Données projet'!$E$15+1,1))</f>
        <v>455.50822833641354</v>
      </c>
      <c r="EP15" s="62">
        <f t="shared" si="46"/>
        <v>261.14722581688039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8.8000000000000007</v>
      </c>
      <c r="FE15" s="13">
        <f>IF('Données projet'!$A$218&gt;35,FE14+FD15-FM14,IF(A15&lt;'Données projet'!$A$218,$FB$205^A15,IF(A15='Données projet'!$A$218,'Données projet'!$B$218,FE14+FD15-FM14)))</f>
        <v>46.599999999999994</v>
      </c>
      <c r="FF15" s="18">
        <f>FE15*VLOOKUP('Données projet'!$B$16,Paramètres!$A$1:$I$89,3,0)*VLOOKUP('Données projet'!$B$16,Paramètres!$A$1:$I$89,5,0)</f>
        <v>40.709760000000003</v>
      </c>
      <c r="FG15" s="14">
        <f t="shared" si="47"/>
        <v>12.186575870088381</v>
      </c>
      <c r="FH15" s="22">
        <f t="shared" si="22"/>
        <v>92.127784973737278</v>
      </c>
      <c r="FI15" s="62">
        <f t="shared" si="23"/>
        <v>363.46111830707059</v>
      </c>
      <c r="FJ15" s="62">
        <f ca="1">AVERAGE(OFFSET($FI$3,0,0,'Données projet'!$E$16+1,1))-AVERAGE(OFFSET($H$3,0,0,'Données projet'!$E$16+1,1))</f>
        <v>369.34989412920129</v>
      </c>
      <c r="FK15" s="62">
        <f t="shared" si="48"/>
        <v>371.26234252426553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10.8</v>
      </c>
      <c r="FZ15" s="13">
        <f>IF('Données projet'!$A$244&gt;35,FZ14+FY15-GH14,IF(A15&lt;'Données projet'!$A$244,$FW$205^A15,IF(A15='Données projet'!$A$244,'Données projet'!$B$244,FZ14+FY15-GH14)))</f>
        <v>104.6</v>
      </c>
      <c r="GA15" s="18">
        <f>FZ15*VLOOKUP('Données projet'!$B$17,Paramètres!$A$1:$I$89,3,0)*VLOOKUP('Données projet'!$B$17,Paramètres!$A$1:$I$89,5,0)</f>
        <v>94.642079999999993</v>
      </c>
      <c r="GB15" s="14">
        <f t="shared" si="49"/>
        <v>25.68148493360578</v>
      </c>
      <c r="GC15" s="22">
        <f t="shared" si="25"/>
        <v>209.5635422593634</v>
      </c>
      <c r="GD15" s="62">
        <f t="shared" si="26"/>
        <v>480.89687559269669</v>
      </c>
      <c r="GE15" s="62">
        <f ca="1">AVERAGE(OFFSET($GD$3,0,0,'Données projet'!$E$17+1,1))-AVERAGE(OFFSET($H$3,0,0,'Données projet'!$E$17+1,1))</f>
        <v>324.4489531703187</v>
      </c>
      <c r="GF15" s="62">
        <f t="shared" si="50"/>
        <v>446.55019360848706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projet'!$B$17,Paramètres!$A$1:$I$89,3,0)*0.475*44/12</f>
        <v>0</v>
      </c>
      <c r="GM15" s="23">
        <f>EXP(-LN(2)/25)*GM14+(1-EXP(-LN(2)/25))/(LN(2)/25)*Calculateur!GH15*Calculateur!GJ15*VLOOKUP('Données projet'!$B$17,Paramètres!$A$1:$I$89,3,0)*0.475*44/12</f>
        <v>0</v>
      </c>
      <c r="GN15" s="23">
        <f>EXP(-LN(2)/2)*GN14+(1-EXP(-LN(2)/2))/(LN(2)/2)*GH15*GK15*VLOOKUP('Données projet'!$B$17,Paramètres!$A$1:$I$89,3,0)*0.475*44/12</f>
        <v>0</v>
      </c>
      <c r="GO15" s="23">
        <f t="shared" si="27"/>
        <v>0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3.3333333333333335</v>
      </c>
      <c r="GU15" s="13">
        <f>IF('Données projet'!$A$270&gt;35,GU14+GT15-HC14,IF(A15&lt;'Données projet'!$A$270,$GR$205^A15,IF(A15='Données projet'!$A$270,'Données projet'!$B$270,GU14+GT15-HC14)))</f>
        <v>22.865252596366318</v>
      </c>
      <c r="GV15" s="18">
        <f>GU15*VLOOKUP('Données projet'!$B$18,Paramètres!$A$1:$I$89,3,0)*VLOOKUP('Données projet'!$B$18,Paramètres!$A$1:$I$89,5,0)</f>
        <v>15.338011441642525</v>
      </c>
      <c r="GW15" s="14">
        <f t="shared" si="51"/>
        <v>5.1439602509023024</v>
      </c>
      <c r="GX15" s="22">
        <f t="shared" si="28"/>
        <v>35.672767364515572</v>
      </c>
      <c r="GY15" s="62">
        <f t="shared" si="29"/>
        <v>307.00610069784886</v>
      </c>
      <c r="GZ15" s="62">
        <f ca="1">AVERAGE(OFFSET($GY$3,0,0,'Données projet'!$E$18+1,1))-AVERAGE(OFFSET($H$3,0,0,'Données projet'!$E$18+1,1))</f>
        <v>312.06797204903796</v>
      </c>
      <c r="HA15" s="62">
        <f t="shared" si="52"/>
        <v>258.20189001775151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>
        <f>EXP(-LN(2)/35)*HG14+(1-EXP(-LN(2)/35))/(LN(2)/35)*HC15*HD15*VLOOKUP('Données projet'!$B$18,Paramètres!$A$1:$I$89,3,0)*0.475*44/12</f>
        <v>0</v>
      </c>
      <c r="HH15" s="23">
        <f>EXP(-LN(2)/25)*HH14+(1-EXP(-LN(2)/25))/(LN(2)/25)*Calculateur!HC15*Calculateur!HE15*VLOOKUP('Données projet'!$B$18,Paramètres!$A$1:$I$89,3,0)*0.475*44/12</f>
        <v>0</v>
      </c>
      <c r="HI15" s="23">
        <f>EXP(-LN(2)/2)*HI14+(1-EXP(-LN(2)/2))/(LN(2)/2)*HC15*HF15*VLOOKUP('Données projet'!$B$18,Paramètres!$A$1:$I$89,3,0)*0.475*44/12</f>
        <v>0</v>
      </c>
      <c r="HJ15" s="24">
        <f t="shared" si="30"/>
        <v>0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3.65</v>
      </c>
      <c r="N16" s="14">
        <f>IF('Données projet'!$A$36&gt;35,N15+M16-V15,IF(A16&lt;'Données projet'!$A$36,$K$205^A16,IF(A16='Données projet'!$A$36,'Données projet'!$B$36,N15+M16-V15)))</f>
        <v>16.261472127148366</v>
      </c>
      <c r="O16" s="14">
        <f>N16*VLOOKUP('Données projet'!$B$9,Paramètres!$A$1:$I$89,3,0)*VLOOKUP('Données projet'!$B$9,Paramètres!$A$1:$I$89,5,0)</f>
        <v>14.713379980643843</v>
      </c>
      <c r="P16" s="14">
        <f t="shared" si="33"/>
        <v>4.9584140165447881</v>
      </c>
      <c r="Q16" s="22">
        <f t="shared" si="2"/>
        <v>34.261707878436859</v>
      </c>
      <c r="R16" s="62">
        <f t="shared" si="0"/>
        <v>306.81726343399242</v>
      </c>
      <c r="S16" s="62">
        <f ca="1">AVERAGE(OFFSET($R$3,0,0,'Données projet'!$E$9+1,1))-AVERAGE(OFFSET($H$3,0,0,'Données projet'!$E$9+1,1))</f>
        <v>512.84819850818667</v>
      </c>
      <c r="T16" s="62">
        <f t="shared" si="34"/>
        <v>332.61387922152159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10.68</v>
      </c>
      <c r="AI16" s="14">
        <f>IF('Données projet'!$A$62&gt;35,AI15+AH16-AQ15,IF(A16&lt;'Données projet'!$A$62,$AF$205^A16,IF(A16='Données projet'!$A$62,'Données projet'!$B$62,AI15+AH16-AQ15)))</f>
        <v>43.14</v>
      </c>
      <c r="AJ16" s="14">
        <f>AI16*VLOOKUP('Données projet'!$B$10,Paramètres!$A$1:$I$89,3,0)*VLOOKUP('Données projet'!$B$10,Paramètres!$A$1:$I$89,5,0)</f>
        <v>31.630248000000002</v>
      </c>
      <c r="AK16" s="14">
        <f t="shared" si="35"/>
        <v>9.7508554785621282</v>
      </c>
      <c r="AL16" s="22">
        <f t="shared" si="4"/>
        <v>72.072088558495707</v>
      </c>
      <c r="AM16" s="62">
        <f t="shared" si="5"/>
        <v>344.62764411405124</v>
      </c>
      <c r="AN16" s="62">
        <f ca="1">AVERAGE(OFFSET($AM$3,0,0,'Données projet'!$E$10+1,1))-AVERAGE(OFFSET($H$3,0,0,'Données projet'!$E$10+1,1))</f>
        <v>344.45199703750711</v>
      </c>
      <c r="AO16" s="62">
        <f t="shared" si="36"/>
        <v>376.41441893222185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3.65</v>
      </c>
      <c r="BD16" s="13">
        <f>IF('Données projet'!$A$88&gt;35,BD15+BC16-BL15,IF(A16&lt;'Données projet'!$A$88,$BA$205^A16,IF(A16='Données projet'!$A$88,'Données projet'!$B$88,BD15+BC16-BL15)))</f>
        <v>16.261472127148366</v>
      </c>
      <c r="BE16" s="14">
        <f>BD16*VLOOKUP('Données projet'!$B$11,Paramètres!$A$1:$I$89,3,0)*VLOOKUP('Données projet'!$B$11,Paramètres!$A$1:$I$89,5,0)</f>
        <v>16.489132736928447</v>
      </c>
      <c r="BF16" s="14">
        <f t="shared" si="37"/>
        <v>5.4836288594779292</v>
      </c>
      <c r="BG16" s="22">
        <f t="shared" si="7"/>
        <v>38.269226447074438</v>
      </c>
      <c r="BH16" s="62">
        <f t="shared" si="8"/>
        <v>310.82478200263</v>
      </c>
      <c r="BI16" s="62">
        <f ca="1">AVERAGE(OFFSET($BH$3,0,0,'Données projet'!$E$11+1,1))-AVERAGE(OFFSET($H$3,0,0,'Données projet'!$E$11+1,1))</f>
        <v>569.39473185784823</v>
      </c>
      <c r="BJ16" s="62">
        <f t="shared" si="38"/>
        <v>367.42881145517066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1.6</v>
      </c>
      <c r="BY16" s="13">
        <f>IF('Données projet'!$A$114&gt;35,BY15+BX16-CG15,IF(A16&lt;'Données projet'!$A$114,$BV$205^A16,IF(A16='Données projet'!$A$114,'Données projet'!$B$114,BY15+BX16-CG15)))</f>
        <v>9.5136569200217629</v>
      </c>
      <c r="BZ16" s="14">
        <f>BY16*VLOOKUP('Données projet'!$B$12,Paramètres!$A$1:$I$89,3,0)*VLOOKUP('Données projet'!$B$12,Paramètres!$A$1:$I$89,5,0)</f>
        <v>8.1627176373786732</v>
      </c>
      <c r="CA16" s="14">
        <f t="shared" si="39"/>
        <v>2.946112121509751</v>
      </c>
      <c r="CB16" s="22">
        <f t="shared" si="10"/>
        <v>19.347878496730672</v>
      </c>
      <c r="CC16" s="62">
        <f t="shared" si="11"/>
        <v>291.90343405228623</v>
      </c>
      <c r="CD16" s="62">
        <f ca="1">AVERAGE(OFFSET($CC$3,0,0,'Données projet'!$E$12+1,1))-AVERAGE(OFFSET($H$3,0,0,'Données projet'!$E$12+1,1))</f>
        <v>554.06253050955502</v>
      </c>
      <c r="CE16" s="62">
        <f t="shared" si="40"/>
        <v>269.71949336355789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2.6666666666666665</v>
      </c>
      <c r="CT16" s="13">
        <f>IF('Données projet'!$A$140&gt;35,CT15+CS16-DB15,IF(A16&lt;'Données projet'!$A$140,$CQ$205^A16,IF(A16='Données projet'!$A$140,'Données projet'!$B$140,CT15+CS16-DB15)))</f>
        <v>24.459748796430759</v>
      </c>
      <c r="CU16" s="18">
        <f>CT16*VLOOKUP('Données projet'!$B$13,Paramètres!$A$1:$I$89,3,0)*VLOOKUP('Données projet'!$B$13,Paramètres!$A$1:$I$89,5,0)</f>
        <v>19.078604061215994</v>
      </c>
      <c r="CV16" s="14">
        <f t="shared" si="41"/>
        <v>6.2379664748280286</v>
      </c>
      <c r="CW16" s="22">
        <f t="shared" si="13"/>
        <v>44.093027016943331</v>
      </c>
      <c r="CX16" s="62">
        <f t="shared" si="14"/>
        <v>316.64858257249887</v>
      </c>
      <c r="CY16" s="62">
        <f ca="1">AVERAGE(OFFSET($CX$3,0,0,'Données projet'!$E$13+1,1))-AVERAGE(OFFSET($H$3,0,0,'Données projet'!$E$13+1,1))</f>
        <v>292.21364130214391</v>
      </c>
      <c r="CZ16" s="62">
        <f t="shared" si="42"/>
        <v>283.48738729114024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6.9230769230769225</v>
      </c>
      <c r="DO16" s="13">
        <f>IF('Données projet'!$A$166&gt;35,DO15+DN16-DW15,IF(A16&lt;'Données projet'!$A$166,$DL$205^A16,IF(A16='Données projet'!$A$166,'Données projet'!$B$166,DO15+DN16-DW15)))</f>
        <v>45.128205128205124</v>
      </c>
      <c r="DP16" s="18">
        <f>DO16*VLOOKUP('Données projet'!$B$14,Paramètres!$A$1:$I$89,3,0)*VLOOKUP('Données projet'!$B$14,Paramètres!$A$1:$I$89,5,0)</f>
        <v>42.943999999999996</v>
      </c>
      <c r="DQ16" s="14">
        <f t="shared" si="43"/>
        <v>12.775700105616927</v>
      </c>
      <c r="DR16" s="22">
        <f t="shared" si="16"/>
        <v>97.045144350616127</v>
      </c>
      <c r="DS16" s="62">
        <f t="shared" si="17"/>
        <v>369.60069990617166</v>
      </c>
      <c r="DT16" s="62">
        <f ca="1">AVERAGE(OFFSET($DS$3,0,0,'Données projet'!$E$14+1,1))-AVERAGE(OFFSET($H$3,0,0,'Données projet'!$E$14+1,1))</f>
        <v>427.47603885390191</v>
      </c>
      <c r="DU16" s="62">
        <f t="shared" si="44"/>
        <v>350.88664394632116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2.1</v>
      </c>
      <c r="EJ16" s="13">
        <f>IF('Données projet'!$A$192&gt;35,EJ15+EI16-ER15,IF(A16&lt;'Données projet'!$A$192,$EG$205^A16,IF(A16='Données projet'!$A$192,'Données projet'!$B$192,EJ15+EI16-ER15)))</f>
        <v>11.35303662145153</v>
      </c>
      <c r="EK16" s="18">
        <f>EJ16*VLOOKUP('Données projet'!$B$15,Paramètres!$A$1:$I$89,3,0)*VLOOKUP('Données projet'!$B$15,Paramètres!$A$1:$I$89,5,0)</f>
        <v>10.98065702026792</v>
      </c>
      <c r="EL16" s="14">
        <f t="shared" si="45"/>
        <v>3.8286992592655618</v>
      </c>
      <c r="EM16" s="22">
        <f t="shared" si="19"/>
        <v>25.792962186854144</v>
      </c>
      <c r="EN16" s="62">
        <f t="shared" si="20"/>
        <v>298.34851774240968</v>
      </c>
      <c r="EO16" s="62">
        <f ca="1">AVERAGE(OFFSET($EN$3,0,0,'Données projet'!$E$15+1,1))-AVERAGE(OFFSET($H$3,0,0,'Données projet'!$E$15+1,1))</f>
        <v>455.50822833641354</v>
      </c>
      <c r="EP16" s="62">
        <f t="shared" si="46"/>
        <v>261.14722581688039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8.8000000000000007</v>
      </c>
      <c r="FE16" s="13">
        <f>IF('Données projet'!$A$218&gt;35,FE15+FD16-FM15,IF(A16&lt;'Données projet'!$A$218,$FB$205^A16,IF(A16='Données projet'!$A$218,'Données projet'!$B$218,FE15+FD16-FM15)))</f>
        <v>55.399999999999991</v>
      </c>
      <c r="FF16" s="18">
        <f>FE16*VLOOKUP('Données projet'!$B$16,Paramètres!$A$1:$I$89,3,0)*VLOOKUP('Données projet'!$B$16,Paramètres!$A$1:$I$89,5,0)</f>
        <v>48.397439999999996</v>
      </c>
      <c r="FG16" s="14">
        <f t="shared" si="47"/>
        <v>14.199110166340073</v>
      </c>
      <c r="FH16" s="22">
        <f t="shared" si="22"/>
        <v>109.02232487304228</v>
      </c>
      <c r="FI16" s="62">
        <f t="shared" si="23"/>
        <v>381.57788042859784</v>
      </c>
      <c r="FJ16" s="62">
        <f ca="1">AVERAGE(OFFSET($FI$3,0,0,'Données projet'!$E$16+1,1))-AVERAGE(OFFSET($H$3,0,0,'Données projet'!$E$16+1,1))</f>
        <v>369.34989412920129</v>
      </c>
      <c r="FK16" s="62">
        <f t="shared" si="48"/>
        <v>371.26234252426553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10.8</v>
      </c>
      <c r="FZ16" s="13">
        <f>IF('Données projet'!$A$244&gt;35,FZ15+FY16-GH15,IF(A16&lt;'Données projet'!$A$244,$FW$205^A16,IF(A16='Données projet'!$A$244,'Données projet'!$B$244,FZ15+FY16-GH15)))</f>
        <v>115.39999999999999</v>
      </c>
      <c r="GA16" s="18">
        <f>FZ16*VLOOKUP('Données projet'!$B$17,Paramètres!$A$1:$I$89,3,0)*VLOOKUP('Données projet'!$B$17,Paramètres!$A$1:$I$89,5,0)</f>
        <v>104.41391999999999</v>
      </c>
      <c r="GB16" s="14">
        <f t="shared" si="49"/>
        <v>28.010895142032854</v>
      </c>
      <c r="GC16" s="22">
        <f t="shared" si="25"/>
        <v>230.63988637237389</v>
      </c>
      <c r="GD16" s="62">
        <f t="shared" si="26"/>
        <v>503.19544192792944</v>
      </c>
      <c r="GE16" s="62">
        <f ca="1">AVERAGE(OFFSET($GD$3,0,0,'Données projet'!$E$17+1,1))-AVERAGE(OFFSET($H$3,0,0,'Données projet'!$E$17+1,1))</f>
        <v>324.4489531703187</v>
      </c>
      <c r="GF16" s="62">
        <f t="shared" si="50"/>
        <v>446.55019360848706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projet'!$B$17,Paramètres!$A$1:$I$89,3,0)*0.475*44/12</f>
        <v>0</v>
      </c>
      <c r="GM16" s="23">
        <f>EXP(-LN(2)/25)*GM15+(1-EXP(-LN(2)/25))/(LN(2)/25)*Calculateur!GH16*Calculateur!GJ16*VLOOKUP('Données projet'!$B$17,Paramètres!$A$1:$I$89,3,0)*0.475*44/12</f>
        <v>0</v>
      </c>
      <c r="GN16" s="23">
        <f>EXP(-LN(2)/2)*GN15+(1-EXP(-LN(2)/2))/(LN(2)/2)*GH16*GK16*VLOOKUP('Données projet'!$B$17,Paramètres!$A$1:$I$89,3,0)*0.475*44/12</f>
        <v>0</v>
      </c>
      <c r="GO16" s="23">
        <f t="shared" si="27"/>
        <v>0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3.3333333333333335</v>
      </c>
      <c r="GU16" s="13">
        <f>IF('Données projet'!$A$270&gt;35,GU15+GT16-HC15,IF(A16&lt;'Données projet'!$A$270,$GR$205^A16,IF(A16='Données projet'!$A$270,'Données projet'!$B$270,GU15+GT16-HC15)))</f>
        <v>29.678412748283769</v>
      </c>
      <c r="GV16" s="18">
        <f>GU16*VLOOKUP('Données projet'!$B$18,Paramètres!$A$1:$I$89,3,0)*VLOOKUP('Données projet'!$B$18,Paramètres!$A$1:$I$89,5,0)</f>
        <v>19.90827927154875</v>
      </c>
      <c r="GW16" s="14">
        <f t="shared" si="51"/>
        <v>6.4770651239957129</v>
      </c>
      <c r="GX16" s="22">
        <f t="shared" si="28"/>
        <v>45.954474822239945</v>
      </c>
      <c r="GY16" s="62">
        <f t="shared" si="29"/>
        <v>318.51003037779549</v>
      </c>
      <c r="GZ16" s="62">
        <f ca="1">AVERAGE(OFFSET($GY$3,0,0,'Données projet'!$E$18+1,1))-AVERAGE(OFFSET($H$3,0,0,'Données projet'!$E$18+1,1))</f>
        <v>312.06797204903796</v>
      </c>
      <c r="HA16" s="62">
        <f t="shared" si="52"/>
        <v>258.20189001775151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>
        <f>EXP(-LN(2)/35)*HG15+(1-EXP(-LN(2)/35))/(LN(2)/35)*HC16*HD16*VLOOKUP('Données projet'!$B$18,Paramètres!$A$1:$I$89,3,0)*0.475*44/12</f>
        <v>0</v>
      </c>
      <c r="HH16" s="23">
        <f>EXP(-LN(2)/25)*HH15+(1-EXP(-LN(2)/25))/(LN(2)/25)*Calculateur!HC16*Calculateur!HE16*VLOOKUP('Données projet'!$B$18,Paramètres!$A$1:$I$89,3,0)*0.475*44/12</f>
        <v>0</v>
      </c>
      <c r="HI16" s="23">
        <f>EXP(-LN(2)/2)*HI15+(1-EXP(-LN(2)/2))/(LN(2)/2)*HC16*HF16*VLOOKUP('Données projet'!$B$18,Paramètres!$A$1:$I$89,3,0)*0.475*44/12</f>
        <v>0</v>
      </c>
      <c r="HJ16" s="24">
        <f t="shared" si="30"/>
        <v>0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3.65</v>
      </c>
      <c r="N17" s="14">
        <f>IF('Données projet'!$A$36&gt;35,N16+M17-V16,IF(A17&lt;'Données projet'!$A$36,$K$205^A17,IF(A17='Données projet'!$A$36,'Données projet'!$B$36,N16+M17-V16)))</f>
        <v>20.152364144963837</v>
      </c>
      <c r="O17" s="14">
        <f>N17*VLOOKUP('Données projet'!$B$9,Paramètres!$A$1:$I$89,3,0)*VLOOKUP('Données projet'!$B$9,Paramètres!$A$1:$I$89,5,0)</f>
        <v>18.233859078363277</v>
      </c>
      <c r="P17" s="14">
        <f t="shared" si="33"/>
        <v>5.9932775513027368</v>
      </c>
      <c r="Q17" s="22">
        <f t="shared" si="2"/>
        <v>42.195596296668306</v>
      </c>
      <c r="R17" s="62">
        <f t="shared" si="0"/>
        <v>315.9733740744461</v>
      </c>
      <c r="S17" s="62">
        <f ca="1">AVERAGE(OFFSET($R$3,0,0,'Données projet'!$E$9+1,1))-AVERAGE(OFFSET($H$3,0,0,'Données projet'!$E$9+1,1))</f>
        <v>512.84819850818667</v>
      </c>
      <c r="T17" s="62">
        <f t="shared" si="34"/>
        <v>332.61387922152159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10.68</v>
      </c>
      <c r="AI17" s="14">
        <f>IF('Données projet'!$A$62&gt;35,AI16+AH17-AQ16,IF(A17&lt;'Données projet'!$A$62,$AF$205^A17,IF(A17='Données projet'!$A$62,'Données projet'!$B$62,AI16+AH17-AQ16)))</f>
        <v>53.82</v>
      </c>
      <c r="AJ17" s="14">
        <f>AI17*VLOOKUP('Données projet'!$B$10,Paramètres!$A$1:$I$89,3,0)*VLOOKUP('Données projet'!$B$10,Paramètres!$A$1:$I$89,5,0)</f>
        <v>39.460823999999995</v>
      </c>
      <c r="AK17" s="14">
        <f t="shared" si="35"/>
        <v>11.85562557008577</v>
      </c>
      <c r="AL17" s="22">
        <f t="shared" si="4"/>
        <v>89.376149667899369</v>
      </c>
      <c r="AM17" s="62">
        <f t="shared" si="5"/>
        <v>363.15392744567714</v>
      </c>
      <c r="AN17" s="62">
        <f ca="1">AVERAGE(OFFSET($AM$3,0,0,'Données projet'!$E$10+1,1))-AVERAGE(OFFSET($H$3,0,0,'Données projet'!$E$10+1,1))</f>
        <v>344.45199703750711</v>
      </c>
      <c r="AO17" s="62">
        <f t="shared" si="36"/>
        <v>376.41441893222185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3.65</v>
      </c>
      <c r="BD17" s="13">
        <f>IF('Données projet'!$A$88&gt;35,BD16+BC17-BL16,IF(A17&lt;'Données projet'!$A$88,$BA$205^A17,IF(A17='Données projet'!$A$88,'Données projet'!$B$88,BD16+BC17-BL16)))</f>
        <v>20.152364144963837</v>
      </c>
      <c r="BE17" s="14">
        <f>BD17*VLOOKUP('Données projet'!$B$11,Paramètres!$A$1:$I$89,3,0)*VLOOKUP('Données projet'!$B$11,Paramètres!$A$1:$I$89,5,0)</f>
        <v>20.434497242993334</v>
      </c>
      <c r="BF17" s="14">
        <f t="shared" si="37"/>
        <v>6.6281092368495731</v>
      </c>
      <c r="BG17" s="22">
        <f t="shared" si="7"/>
        <v>47.134039619059727</v>
      </c>
      <c r="BH17" s="62">
        <f t="shared" si="8"/>
        <v>320.91181739683748</v>
      </c>
      <c r="BI17" s="62">
        <f ca="1">AVERAGE(OFFSET($BH$3,0,0,'Données projet'!$E$11+1,1))-AVERAGE(OFFSET($H$3,0,0,'Données projet'!$E$11+1,1))</f>
        <v>569.39473185784823</v>
      </c>
      <c r="BJ17" s="62">
        <f t="shared" si="38"/>
        <v>367.42881145517066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1.6</v>
      </c>
      <c r="BY17" s="13">
        <f>IF('Données projet'!$A$114&gt;35,BY16+BX17-CG16,IF(A17&lt;'Données projet'!$A$114,$BV$205^A17,IF(A17='Données projet'!$A$114,'Données projet'!$B$114,BY16+BX17-CG16)))</f>
        <v>11.313708498984752</v>
      </c>
      <c r="BZ17" s="14">
        <f>BY17*VLOOKUP('Données projet'!$B$12,Paramètres!$A$1:$I$89,3,0)*VLOOKUP('Données projet'!$B$12,Paramètres!$A$1:$I$89,5,0)</f>
        <v>9.7071618921289176</v>
      </c>
      <c r="CA17" s="14">
        <f t="shared" si="39"/>
        <v>3.433577046269785</v>
      </c>
      <c r="CB17" s="22">
        <f t="shared" si="10"/>
        <v>22.886786984377736</v>
      </c>
      <c r="CC17" s="62">
        <f t="shared" si="11"/>
        <v>296.66456476215552</v>
      </c>
      <c r="CD17" s="62">
        <f ca="1">AVERAGE(OFFSET($CC$3,0,0,'Données projet'!$E$12+1,1))-AVERAGE(OFFSET($H$3,0,0,'Données projet'!$E$12+1,1))</f>
        <v>554.06253050955502</v>
      </c>
      <c r="CE17" s="62">
        <f t="shared" si="40"/>
        <v>269.71949336355789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2.6666666666666665</v>
      </c>
      <c r="CT17" s="13">
        <f>IF('Données projet'!$A$140&gt;35,CT16+CS17-DB16,IF(A17&lt;'Données projet'!$A$140,$CQ$205^A17,IF(A17='Données projet'!$A$140,'Données projet'!$B$140,CT16+CS17-DB16)))</f>
        <v>31.279225563578599</v>
      </c>
      <c r="CU17" s="18">
        <f>CT17*VLOOKUP('Données projet'!$B$13,Paramètres!$A$1:$I$89,3,0)*VLOOKUP('Données projet'!$B$13,Paramètres!$A$1:$I$89,5,0)</f>
        <v>24.397795939591308</v>
      </c>
      <c r="CV17" s="14">
        <f t="shared" si="41"/>
        <v>7.75202295846145</v>
      </c>
      <c r="CW17" s="22">
        <f t="shared" si="13"/>
        <v>55.994267914108548</v>
      </c>
      <c r="CX17" s="62">
        <f t="shared" si="14"/>
        <v>329.77204569188632</v>
      </c>
      <c r="CY17" s="62">
        <f ca="1">AVERAGE(OFFSET($CX$3,0,0,'Données projet'!$E$13+1,1))-AVERAGE(OFFSET($H$3,0,0,'Données projet'!$E$13+1,1))</f>
        <v>292.21364130214391</v>
      </c>
      <c r="CZ17" s="62">
        <f t="shared" si="42"/>
        <v>283.48738729114024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6.9230769230769225</v>
      </c>
      <c r="DO17" s="13">
        <f>IF('Données projet'!$A$166&gt;35,DO16+DN17-DW16,IF(A17&lt;'Données projet'!$A$166,$DL$205^A17,IF(A17='Données projet'!$A$166,'Données projet'!$B$166,DO16+DN17-DW16)))</f>
        <v>52.051282051282044</v>
      </c>
      <c r="DP17" s="18">
        <f>DO17*VLOOKUP('Données projet'!$B$14,Paramètres!$A$1:$I$89,3,0)*VLOOKUP('Données projet'!$B$14,Paramètres!$A$1:$I$89,5,0)</f>
        <v>49.531999999999996</v>
      </c>
      <c r="DQ17" s="14">
        <f t="shared" si="43"/>
        <v>14.49283055175348</v>
      </c>
      <c r="DR17" s="22">
        <f t="shared" si="16"/>
        <v>111.50991321097064</v>
      </c>
      <c r="DS17" s="62">
        <f t="shared" si="17"/>
        <v>385.28769098874841</v>
      </c>
      <c r="DT17" s="62">
        <f ca="1">AVERAGE(OFFSET($DS$3,0,0,'Données projet'!$E$14+1,1))-AVERAGE(OFFSET($H$3,0,0,'Données projet'!$E$14+1,1))</f>
        <v>427.47603885390191</v>
      </c>
      <c r="DU17" s="62">
        <f t="shared" si="44"/>
        <v>350.88664394632116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2.1</v>
      </c>
      <c r="EJ17" s="13">
        <f>IF('Données projet'!$A$192&gt;35,EJ16+EI17-ER16,IF(A17&lt;'Données projet'!$A$192,$EG$205^A17,IF(A17='Données projet'!$A$192,'Données projet'!$B$192,EJ16+EI17-ER16)))</f>
        <v>13.685935953338433</v>
      </c>
      <c r="EK17" s="18">
        <f>EJ17*VLOOKUP('Données projet'!$B$15,Paramètres!$A$1:$I$89,3,0)*VLOOKUP('Données projet'!$B$15,Paramètres!$A$1:$I$89,5,0)</f>
        <v>13.237037254068934</v>
      </c>
      <c r="EL17" s="14">
        <f t="shared" si="45"/>
        <v>4.5161297192961545</v>
      </c>
      <c r="EM17" s="22">
        <f t="shared" si="19"/>
        <v>30.920099145277529</v>
      </c>
      <c r="EN17" s="62">
        <f t="shared" si="20"/>
        <v>304.69787692305528</v>
      </c>
      <c r="EO17" s="62">
        <f ca="1">AVERAGE(OFFSET($EN$3,0,0,'Données projet'!$E$15+1,1))-AVERAGE(OFFSET($H$3,0,0,'Données projet'!$E$15+1,1))</f>
        <v>455.50822833641354</v>
      </c>
      <c r="EP17" s="62">
        <f t="shared" si="46"/>
        <v>261.14722581688039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8.8000000000000007</v>
      </c>
      <c r="FE17" s="13">
        <f>IF('Données projet'!$A$218&gt;35,FE16+FD17-FM16,IF(A17&lt;'Données projet'!$A$218,$FB$205^A17,IF(A17='Données projet'!$A$218,'Données projet'!$B$218,FE16+FD17-FM16)))</f>
        <v>64.199999999999989</v>
      </c>
      <c r="FF17" s="18">
        <f>FE17*VLOOKUP('Données projet'!$B$16,Paramètres!$A$1:$I$89,3,0)*VLOOKUP('Données projet'!$B$16,Paramètres!$A$1:$I$89,5,0)</f>
        <v>56.085119999999996</v>
      </c>
      <c r="FG17" s="14">
        <f t="shared" si="47"/>
        <v>16.174611252215492</v>
      </c>
      <c r="FH17" s="22">
        <f t="shared" si="22"/>
        <v>125.85236526427531</v>
      </c>
      <c r="FI17" s="62">
        <f t="shared" si="23"/>
        <v>399.63014304205308</v>
      </c>
      <c r="FJ17" s="62">
        <f ca="1">AVERAGE(OFFSET($FI$3,0,0,'Données projet'!$E$16+1,1))-AVERAGE(OFFSET($H$3,0,0,'Données projet'!$E$16+1,1))</f>
        <v>369.34989412920129</v>
      </c>
      <c r="FK17" s="62">
        <f t="shared" si="48"/>
        <v>371.26234252426553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10.8</v>
      </c>
      <c r="FZ17" s="13">
        <f>IF('Données projet'!$A$244&gt;35,FZ16+FY17-GH16,IF(A17&lt;'Données projet'!$A$244,$FW$205^A17,IF(A17='Données projet'!$A$244,'Données projet'!$B$244,FZ16+FY17-GH16)))</f>
        <v>126.19999999999999</v>
      </c>
      <c r="GA17" s="18">
        <f>FZ17*VLOOKUP('Données projet'!$B$17,Paramètres!$A$1:$I$89,3,0)*VLOOKUP('Données projet'!$B$17,Paramètres!$A$1:$I$89,5,0)</f>
        <v>114.18575999999997</v>
      </c>
      <c r="GB17" s="14">
        <f t="shared" si="49"/>
        <v>30.315028515433259</v>
      </c>
      <c r="GC17" s="22">
        <f t="shared" si="25"/>
        <v>251.67220666437959</v>
      </c>
      <c r="GD17" s="62">
        <f t="shared" si="26"/>
        <v>525.4499844421573</v>
      </c>
      <c r="GE17" s="62">
        <f ca="1">AVERAGE(OFFSET($GD$3,0,0,'Données projet'!$E$17+1,1))-AVERAGE(OFFSET($H$3,0,0,'Données projet'!$E$17+1,1))</f>
        <v>324.4489531703187</v>
      </c>
      <c r="GF17" s="62">
        <f t="shared" si="50"/>
        <v>446.55019360848706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projet'!$B$17,Paramètres!$A$1:$I$89,3,0)*0.475*44/12</f>
        <v>0</v>
      </c>
      <c r="GM17" s="23">
        <f>EXP(-LN(2)/25)*GM16+(1-EXP(-LN(2)/25))/(LN(2)/25)*Calculateur!GH17*Calculateur!GJ17*VLOOKUP('Données projet'!$B$17,Paramètres!$A$1:$I$89,3,0)*0.475*44/12</f>
        <v>0</v>
      </c>
      <c r="GN17" s="23">
        <f>EXP(-LN(2)/2)*GN16+(1-EXP(-LN(2)/2))/(LN(2)/2)*GH17*GK17*VLOOKUP('Données projet'!$B$17,Paramètres!$A$1:$I$89,3,0)*0.475*44/12</f>
        <v>0</v>
      </c>
      <c r="GO17" s="23">
        <f t="shared" si="27"/>
        <v>0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3.3333333333333335</v>
      </c>
      <c r="GU17" s="13">
        <f>IF('Données projet'!$A$270&gt;35,GU16+GT17-HC16,IF(A17&lt;'Données projet'!$A$270,$GR$205^A17,IF(A17='Données projet'!$A$270,'Données projet'!$B$270,GU16+GT17-HC16)))</f>
        <v>38.521690479704915</v>
      </c>
      <c r="GV17" s="18">
        <f>GU17*VLOOKUP('Données projet'!$B$18,Paramètres!$A$1:$I$89,3,0)*VLOOKUP('Données projet'!$B$18,Paramètres!$A$1:$I$89,5,0)</f>
        <v>25.840349973786058</v>
      </c>
      <c r="GW17" s="14">
        <f t="shared" si="51"/>
        <v>8.1556564542120462</v>
      </c>
      <c r="GX17" s="22">
        <f t="shared" si="28"/>
        <v>59.209711195430032</v>
      </c>
      <c r="GY17" s="62">
        <f t="shared" si="29"/>
        <v>332.9874889732078</v>
      </c>
      <c r="GZ17" s="62">
        <f ca="1">AVERAGE(OFFSET($GY$3,0,0,'Données projet'!$E$18+1,1))-AVERAGE(OFFSET($H$3,0,0,'Données projet'!$E$18+1,1))</f>
        <v>312.06797204903796</v>
      </c>
      <c r="HA17" s="62">
        <f t="shared" si="52"/>
        <v>258.20189001775151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>
        <f>EXP(-LN(2)/35)*HG16+(1-EXP(-LN(2)/35))/(LN(2)/35)*HC17*HD17*VLOOKUP('Données projet'!$B$18,Paramètres!$A$1:$I$89,3,0)*0.475*44/12</f>
        <v>0</v>
      </c>
      <c r="HH17" s="23">
        <f>EXP(-LN(2)/25)*HH16+(1-EXP(-LN(2)/25))/(LN(2)/25)*Calculateur!HC17*Calculateur!HE17*VLOOKUP('Données projet'!$B$18,Paramètres!$A$1:$I$89,3,0)*0.475*44/12</f>
        <v>0</v>
      </c>
      <c r="HI17" s="23">
        <f>EXP(-LN(2)/2)*HI16+(1-EXP(-LN(2)/2))/(LN(2)/2)*HC17*HF17*VLOOKUP('Données projet'!$B$18,Paramètres!$A$1:$I$89,3,0)*0.475*44/12</f>
        <v>0</v>
      </c>
      <c r="HJ17" s="24">
        <f t="shared" si="30"/>
        <v>0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3.65</v>
      </c>
      <c r="N18" s="14">
        <f>IF('Données projet'!$A$36&gt;35,N17+M18-V17,IF(A18&lt;'Données projet'!$A$36,$K$205^A18,IF(A18='Données projet'!$A$36,'Données projet'!$B$36,N17+M18-V17)))</f>
        <v>24.974232188561476</v>
      </c>
      <c r="O18" s="14">
        <f>N18*VLOOKUP('Données projet'!$B$9,Paramètres!$A$1:$I$89,3,0)*VLOOKUP('Données projet'!$B$9,Paramètres!$A$1:$I$89,5,0)</f>
        <v>22.596685284210423</v>
      </c>
      <c r="P18" s="14">
        <f t="shared" si="33"/>
        <v>7.2441259820371586</v>
      </c>
      <c r="Q18" s="22">
        <f t="shared" si="2"/>
        <v>51.972746288714539</v>
      </c>
      <c r="R18" s="62">
        <f t="shared" si="0"/>
        <v>326.97274628871452</v>
      </c>
      <c r="S18" s="62">
        <f ca="1">AVERAGE(OFFSET($R$3,0,0,'Données projet'!$E$9+1,1))-AVERAGE(OFFSET($H$3,0,0,'Données projet'!$E$9+1,1))</f>
        <v>512.84819850818667</v>
      </c>
      <c r="T18" s="62">
        <f t="shared" si="34"/>
        <v>332.61387922152159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64.5</v>
      </c>
      <c r="AG18" s="13">
        <f>VLOOKUP(A18,'Données projet'!$A$61:$I$81,9,0)</f>
        <v>10.68</v>
      </c>
      <c r="AH18" s="13">
        <f t="array" ref="AH18">INDEX(AG:AG,MIN(IF(ISNUMBER(AG18:AG214),ROW(AG18:AG214),"")))</f>
        <v>10.68</v>
      </c>
      <c r="AI18" s="14">
        <f>IF('Données projet'!$A$62&gt;35,AI17+AH18-AQ17,IF(A18&lt;'Données projet'!$A$62,$AF$205^A18,IF(A18='Données projet'!$A$62,'Données projet'!$B$62,AI17+AH18-AQ17)))</f>
        <v>64.5</v>
      </c>
      <c r="AJ18" s="14">
        <f>AI18*VLOOKUP('Données projet'!$B$10,Paramètres!$A$1:$I$89,3,0)*VLOOKUP('Données projet'!$B$10,Paramètres!$A$1:$I$89,5,0)</f>
        <v>47.291399999999996</v>
      </c>
      <c r="AK18" s="14">
        <f t="shared" si="35"/>
        <v>13.91200070808976</v>
      </c>
      <c r="AL18" s="22">
        <f t="shared" si="4"/>
        <v>106.595922899923</v>
      </c>
      <c r="AM18" s="62">
        <f t="shared" si="5"/>
        <v>381.59592289992298</v>
      </c>
      <c r="AN18" s="62">
        <f ca="1">AVERAGE(OFFSET($AM$3,0,0,'Données projet'!$E$10+1,1))-AVERAGE(OFFSET($H$3,0,0,'Données projet'!$E$10+1,1))</f>
        <v>344.45199703750711</v>
      </c>
      <c r="AO18" s="62">
        <f t="shared" si="36"/>
        <v>376.41441893222185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3.65</v>
      </c>
      <c r="BD18" s="13">
        <f>IF('Données projet'!$A$88&gt;35,BD17+BC18-BL17,IF(A18&lt;'Données projet'!$A$88,$BA$205^A18,IF(A18='Données projet'!$A$88,'Données projet'!$B$88,BD17+BC18-BL17)))</f>
        <v>24.974232188561476</v>
      </c>
      <c r="BE18" s="14">
        <f>BD18*VLOOKUP('Données projet'!$B$11,Paramètres!$A$1:$I$89,3,0)*VLOOKUP('Données projet'!$B$11,Paramètres!$A$1:$I$89,5,0)</f>
        <v>25.323871439201337</v>
      </c>
      <c r="BF18" s="14">
        <f t="shared" si="37"/>
        <v>8.0114524854610902</v>
      </c>
      <c r="BG18" s="22">
        <f t="shared" si="7"/>
        <v>58.059022502120392</v>
      </c>
      <c r="BH18" s="62">
        <f t="shared" si="8"/>
        <v>333.0590225021204</v>
      </c>
      <c r="BI18" s="62">
        <f ca="1">AVERAGE(OFFSET($BH$3,0,0,'Données projet'!$E$11+1,1))-AVERAGE(OFFSET($H$3,0,0,'Données projet'!$E$11+1,1))</f>
        <v>569.39473185784823</v>
      </c>
      <c r="BJ18" s="62">
        <f t="shared" si="38"/>
        <v>367.42881145517066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1.6</v>
      </c>
      <c r="BY18" s="13">
        <f>IF('Données projet'!$A$114&gt;35,BY17+BX18-CG17,IF(A18&lt;'Données projet'!$A$114,$BV$205^A18,IF(A18='Données projet'!$A$114,'Données projet'!$B$114,BY17+BX18-CG17)))</f>
        <v>13.454342644059421</v>
      </c>
      <c r="BZ18" s="14">
        <f>BY18*VLOOKUP('Données projet'!$B$12,Paramètres!$A$1:$I$89,3,0)*VLOOKUP('Données projet'!$B$12,Paramètres!$A$1:$I$89,5,0)</f>
        <v>11.543825988602984</v>
      </c>
      <c r="CA18" s="14">
        <f t="shared" si="39"/>
        <v>4.0016981182064377</v>
      </c>
      <c r="CB18" s="22">
        <f t="shared" si="10"/>
        <v>27.075121152693075</v>
      </c>
      <c r="CC18" s="62">
        <f t="shared" si="11"/>
        <v>302.0751211526931</v>
      </c>
      <c r="CD18" s="62">
        <f ca="1">AVERAGE(OFFSET($CC$3,0,0,'Données projet'!$E$12+1,1))-AVERAGE(OFFSET($H$3,0,0,'Données projet'!$E$12+1,1))</f>
        <v>554.06253050955502</v>
      </c>
      <c r="CE18" s="62">
        <f t="shared" si="40"/>
        <v>269.71949336355789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40</v>
      </c>
      <c r="CR18" s="13">
        <f>VLOOKUP(A18,'Données projet'!$A$139:$I$159,9,0)</f>
        <v>2.6666666666666665</v>
      </c>
      <c r="CS18" s="13">
        <f t="array" ref="CS18">INDEX(CR:CR,MIN(IF(ISNUMBER(CR18:CR214),ROW(CR18:CR214),"")))</f>
        <v>2.6666666666666665</v>
      </c>
      <c r="CT18" s="13">
        <f>IF('Données projet'!$A$140&gt;35,CT17+CS18-DB17,IF(A18&lt;'Données projet'!$A$140,$CQ$205^A18,IF(A18='Données projet'!$A$140,'Données projet'!$B$140,CT17+CS18-DB17)))</f>
        <v>40</v>
      </c>
      <c r="CU18" s="18">
        <f>CT18*VLOOKUP('Données projet'!$B$13,Paramètres!$A$1:$I$89,3,0)*VLOOKUP('Données projet'!$B$13,Paramètres!$A$1:$I$89,5,0)</f>
        <v>31.200000000000003</v>
      </c>
      <c r="CV18" s="14">
        <f t="shared" si="41"/>
        <v>9.6335657126419925</v>
      </c>
      <c r="CW18" s="22">
        <f t="shared" si="13"/>
        <v>71.118460282851473</v>
      </c>
      <c r="CX18" s="62">
        <f t="shared" si="14"/>
        <v>346.11846028285146</v>
      </c>
      <c r="CY18" s="62">
        <f ca="1">AVERAGE(OFFSET($CX$3,0,0,'Données projet'!$E$13+1,1))-AVERAGE(OFFSET($H$3,0,0,'Données projet'!$E$13+1,1))</f>
        <v>292.21364130214391</v>
      </c>
      <c r="CZ18" s="62">
        <f t="shared" si="42"/>
        <v>283.48738729114024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>
        <f>VLOOKUP(A18,'Données projet'!$A$165:$I$185,2,0)</f>
        <v>58.974358974358971</v>
      </c>
      <c r="DM18" s="13">
        <f>VLOOKUP(A18,'Données projet'!$A$165:$I$185,9,0)</f>
        <v>6.9230769230769225</v>
      </c>
      <c r="DN18" s="13">
        <f t="array" ref="DN18">INDEX(DM:DM,MIN(IF(ISNUMBER(DM18:DM214),ROW(DM18:DM214),"")))</f>
        <v>6.9230769230769225</v>
      </c>
      <c r="DO18" s="13">
        <f>IF('Données projet'!$A$166&gt;35,DO17+DN18-DW17,IF(A18&lt;'Données projet'!$A$166,$DL$205^A18,IF(A18='Données projet'!$A$166,'Données projet'!$B$166,DO17+DN18-DW17)))</f>
        <v>58.974358974358964</v>
      </c>
      <c r="DP18" s="18">
        <f>DO18*VLOOKUP('Données projet'!$B$14,Paramètres!$A$1:$I$89,3,0)*VLOOKUP('Données projet'!$B$14,Paramètres!$A$1:$I$89,5,0)</f>
        <v>56.119999999999983</v>
      </c>
      <c r="DQ18" s="14">
        <f t="shared" si="43"/>
        <v>16.183499223962752</v>
      </c>
      <c r="DR18" s="22">
        <f t="shared" si="16"/>
        <v>125.92859448173509</v>
      </c>
      <c r="DS18" s="62">
        <f t="shared" si="17"/>
        <v>400.9285944817351</v>
      </c>
      <c r="DT18" s="62">
        <f ca="1">AVERAGE(OFFSET($DS$3,0,0,'Données projet'!$E$14+1,1))-AVERAGE(OFFSET($H$3,0,0,'Données projet'!$E$14+1,1))</f>
        <v>427.47603885390191</v>
      </c>
      <c r="DU18" s="62">
        <f t="shared" si="44"/>
        <v>350.88664394632116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2.1</v>
      </c>
      <c r="EJ18" s="13">
        <f>IF('Données projet'!$A$192&gt;35,EJ17+EI18-ER17,IF(A18&lt;'Données projet'!$A$192,$EG$205^A18,IF(A18='Données projet'!$A$192,'Données projet'!$B$192,EJ17+EI18-ER17)))</f>
        <v>16.498215337821566</v>
      </c>
      <c r="EK18" s="18">
        <f>EJ18*VLOOKUP('Données projet'!$B$15,Paramètres!$A$1:$I$89,3,0)*VLOOKUP('Données projet'!$B$15,Paramètres!$A$1:$I$89,5,0)</f>
        <v>15.957073874741019</v>
      </c>
      <c r="EL18" s="14">
        <f t="shared" si="45"/>
        <v>5.3269860755326848</v>
      </c>
      <c r="EM18" s="22">
        <f t="shared" si="19"/>
        <v>37.069737746726702</v>
      </c>
      <c r="EN18" s="62">
        <f t="shared" si="20"/>
        <v>312.06973774672667</v>
      </c>
      <c r="EO18" s="62">
        <f ca="1">AVERAGE(OFFSET($EN$3,0,0,'Données projet'!$E$15+1,1))-AVERAGE(OFFSET($H$3,0,0,'Données projet'!$E$15+1,1))</f>
        <v>455.50822833641354</v>
      </c>
      <c r="EP18" s="62">
        <f t="shared" si="46"/>
        <v>261.14722581688039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>
        <f>VLOOKUP(A18,'Données projet'!$A$217:$I$237,2,0)</f>
        <v>73</v>
      </c>
      <c r="FC18" s="13">
        <f>VLOOKUP(A18,'Données projet'!$A$217:$I$237,9,0)</f>
        <v>8.8000000000000007</v>
      </c>
      <c r="FD18" s="13">
        <f t="array" ref="FD18">INDEX(FC:FC,MIN(IF(ISNUMBER(FC18:FC214),ROW(FC18:FC214),"")))</f>
        <v>8.8000000000000007</v>
      </c>
      <c r="FE18" s="13">
        <f>IF('Données projet'!$A$218&gt;35,FE17+FD18-FM17,IF(A18&lt;'Données projet'!$A$218,$FB$205^A18,IF(A18='Données projet'!$A$218,'Données projet'!$B$218,FE17+FD18-FM17)))</f>
        <v>72.999999999999986</v>
      </c>
      <c r="FF18" s="18">
        <f>FE18*VLOOKUP('Données projet'!$B$16,Paramètres!$A$1:$I$89,3,0)*VLOOKUP('Données projet'!$B$16,Paramètres!$A$1:$I$89,5,0)</f>
        <v>63.772799999999997</v>
      </c>
      <c r="FG18" s="14">
        <f t="shared" si="47"/>
        <v>18.118739450759566</v>
      </c>
      <c r="FH18" s="22">
        <f t="shared" si="22"/>
        <v>142.62776454340624</v>
      </c>
      <c r="FI18" s="62">
        <f t="shared" si="23"/>
        <v>417.62776454340622</v>
      </c>
      <c r="FJ18" s="62">
        <f ca="1">AVERAGE(OFFSET($FI$3,0,0,'Données projet'!$E$16+1,1))-AVERAGE(OFFSET($H$3,0,0,'Données projet'!$E$16+1,1))</f>
        <v>369.34989412920129</v>
      </c>
      <c r="FK18" s="62">
        <f t="shared" si="48"/>
        <v>371.26234252426553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>
        <f>VLOOKUP(A18,'Données projet'!$A$243:$I$263,2,0)</f>
        <v>137</v>
      </c>
      <c r="FX18" s="13">
        <f>VLOOKUP(A18,'Données projet'!$A$243:$I$263,9,0)</f>
        <v>10.8</v>
      </c>
      <c r="FY18" s="13">
        <f t="array" ref="FY18">INDEX(FX:FX,MIN(IF(ISNUMBER(FX18:FX214),ROW(FX18:FX214),"")))</f>
        <v>10.8</v>
      </c>
      <c r="FZ18" s="13">
        <f>IF('Données projet'!$A$244&gt;35,FZ17+FY18-GH17,IF(A18&lt;'Données projet'!$A$244,$FW$205^A18,IF(A18='Données projet'!$A$244,'Données projet'!$B$244,FZ17+FY18-GH17)))</f>
        <v>137</v>
      </c>
      <c r="GA18" s="18">
        <f>FZ18*VLOOKUP('Données projet'!$B$17,Paramètres!$A$1:$I$89,3,0)*VLOOKUP('Données projet'!$B$17,Paramètres!$A$1:$I$89,5,0)</f>
        <v>123.9576</v>
      </c>
      <c r="GB18" s="14">
        <f t="shared" si="49"/>
        <v>32.59629414926458</v>
      </c>
      <c r="GC18" s="22">
        <f t="shared" si="25"/>
        <v>272.6646989766358</v>
      </c>
      <c r="GD18" s="62">
        <f t="shared" si="26"/>
        <v>547.6646989766358</v>
      </c>
      <c r="GE18" s="62">
        <f ca="1">AVERAGE(OFFSET($GD$3,0,0,'Données projet'!$E$17+1,1))-AVERAGE(OFFSET($H$3,0,0,'Données projet'!$E$17+1,1))</f>
        <v>324.4489531703187</v>
      </c>
      <c r="GF18" s="62">
        <f t="shared" si="50"/>
        <v>446.55019360848706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projet'!$B$17,Paramètres!$A$1:$I$89,3,0)*0.475*44/12</f>
        <v>0</v>
      </c>
      <c r="GM18" s="23">
        <f>EXP(-LN(2)/25)*GM17+(1-EXP(-LN(2)/25))/(LN(2)/25)*Calculateur!GH18*Calculateur!GJ18*VLOOKUP('Données projet'!$B$17,Paramètres!$A$1:$I$89,3,0)*0.475*44/12</f>
        <v>0</v>
      </c>
      <c r="GN18" s="23">
        <f>EXP(-LN(2)/2)*GN17+(1-EXP(-LN(2)/2))/(LN(2)/2)*GH18*GK18*VLOOKUP('Données projet'!$B$17,Paramètres!$A$1:$I$89,3,0)*0.475*44/12</f>
        <v>0</v>
      </c>
      <c r="GO18" s="23">
        <f t="shared" si="27"/>
        <v>0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>
        <f>VLOOKUP(A18,'Données projet'!$A$269:$I$289,2,0)</f>
        <v>50</v>
      </c>
      <c r="GS18" s="13">
        <f>VLOOKUP(A18,'Données projet'!$A$269:$I$289,9,0)</f>
        <v>3.3333333333333335</v>
      </c>
      <c r="GT18" s="13">
        <f t="array" ref="GT18">INDEX(GS:GS,MIN(IF(ISNUMBER(GS18:GS214),ROW(GS18:GS214),"")))</f>
        <v>3.3333333333333335</v>
      </c>
      <c r="GU18" s="13">
        <f>IF('Données projet'!$A$270&gt;35,GU17+GT18-HC17,IF(A18&lt;'Données projet'!$A$270,$GR$205^A18,IF(A18='Données projet'!$A$270,'Données projet'!$B$270,GU17+GT18-HC17)))</f>
        <v>50</v>
      </c>
      <c r="GV18" s="18">
        <f>GU18*VLOOKUP('Données projet'!$B$18,Paramètres!$A$1:$I$89,3,0)*VLOOKUP('Données projet'!$B$18,Paramètres!$A$1:$I$89,5,0)</f>
        <v>33.54</v>
      </c>
      <c r="GW18" s="14">
        <f t="shared" si="51"/>
        <v>10.269270252156668</v>
      </c>
      <c r="GX18" s="22">
        <f t="shared" si="28"/>
        <v>76.301145689172856</v>
      </c>
      <c r="GY18" s="62">
        <f t="shared" si="29"/>
        <v>351.30114568917287</v>
      </c>
      <c r="GZ18" s="62">
        <f ca="1">AVERAGE(OFFSET($GY$3,0,0,'Données projet'!$E$18+1,1))-AVERAGE(OFFSET($H$3,0,0,'Données projet'!$E$18+1,1))</f>
        <v>312.06797204903796</v>
      </c>
      <c r="HA18" s="62">
        <f t="shared" si="52"/>
        <v>258.20189001775151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>
        <f>EXP(-LN(2)/35)*HG17+(1-EXP(-LN(2)/35))/(LN(2)/35)*HC18*HD18*VLOOKUP('Données projet'!$B$18,Paramètres!$A$1:$I$89,3,0)*0.475*44/12</f>
        <v>0</v>
      </c>
      <c r="HH18" s="23">
        <f>EXP(-LN(2)/25)*HH17+(1-EXP(-LN(2)/25))/(LN(2)/25)*Calculateur!HC18*Calculateur!HE18*VLOOKUP('Données projet'!$B$18,Paramètres!$A$1:$I$89,3,0)*0.475*44/12</f>
        <v>0</v>
      </c>
      <c r="HI18" s="23">
        <f>EXP(-LN(2)/2)*HI17+(1-EXP(-LN(2)/2))/(LN(2)/2)*HC18*HF18*VLOOKUP('Données projet'!$B$18,Paramètres!$A$1:$I$89,3,0)*0.475*44/12</f>
        <v>0</v>
      </c>
      <c r="HJ18" s="24">
        <f t="shared" si="30"/>
        <v>0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3.65</v>
      </c>
      <c r="N19" s="14">
        <f>IF('Données projet'!$A$36&gt;35,N18+M19-V18,IF(A19&lt;'Données projet'!$A$36,$K$205^A19,IF(A19='Données projet'!$A$36,'Données projet'!$B$36,N18+M19-V18)))</f>
        <v>30.949831440200953</v>
      </c>
      <c r="O19" s="14">
        <f>N19*VLOOKUP('Données projet'!$B$9,Paramètres!$A$1:$I$89,3,0)*VLOOKUP('Données projet'!$B$9,Paramètres!$A$1:$I$89,5,0)</f>
        <v>28.003407487093821</v>
      </c>
      <c r="P19" s="14">
        <f t="shared" si="33"/>
        <v>8.7560372090925433</v>
      </c>
      <c r="Q19" s="22">
        <f t="shared" si="2"/>
        <v>64.022699512524582</v>
      </c>
      <c r="R19" s="62">
        <f t="shared" si="0"/>
        <v>340.24492173474681</v>
      </c>
      <c r="S19" s="62">
        <f ca="1">AVERAGE(OFFSET($R$3,0,0,'Données projet'!$E$9+1,1))-AVERAGE(OFFSET($H$3,0,0,'Données projet'!$E$9+1,1))</f>
        <v>512.84819850818667</v>
      </c>
      <c r="T19" s="62">
        <f t="shared" si="34"/>
        <v>332.61387922152159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13.760000000000002</v>
      </c>
      <c r="AI19" s="14">
        <f>IF('Données projet'!$A$62&gt;35,AI18+AH19-AQ18,IF(A19&lt;'Données projet'!$A$62,$AF$205^A19,IF(A19='Données projet'!$A$62,'Données projet'!$B$62,AI18+AH19-AQ18)))</f>
        <v>78.260000000000005</v>
      </c>
      <c r="AJ19" s="14">
        <f>AI19*VLOOKUP('Données projet'!$B$10,Paramètres!$A$1:$I$89,3,0)*VLOOKUP('Données projet'!$B$10,Paramètres!$A$1:$I$89,5,0)</f>
        <v>57.380232000000007</v>
      </c>
      <c r="AK19" s="14">
        <f t="shared" si="35"/>
        <v>16.504198297054995</v>
      </c>
      <c r="AL19" s="22">
        <f t="shared" si="4"/>
        <v>128.68204943403745</v>
      </c>
      <c r="AM19" s="62">
        <f t="shared" si="5"/>
        <v>404.90427165625965</v>
      </c>
      <c r="AN19" s="62">
        <f ca="1">AVERAGE(OFFSET($AM$3,0,0,'Données projet'!$E$10+1,1))-AVERAGE(OFFSET($H$3,0,0,'Données projet'!$E$10+1,1))</f>
        <v>344.45199703750711</v>
      </c>
      <c r="AO19" s="62">
        <f t="shared" si="36"/>
        <v>376.41441893222185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3.65</v>
      </c>
      <c r="BD19" s="13">
        <f>IF('Données projet'!$A$88&gt;35,BD18+BC19-BL18,IF(A19&lt;'Données projet'!$A$88,$BA$205^A19,IF(A19='Données projet'!$A$88,'Données projet'!$B$88,BD18+BC19-BL18)))</f>
        <v>30.949831440200953</v>
      </c>
      <c r="BE19" s="14">
        <f>BD19*VLOOKUP('Données projet'!$B$11,Paramètres!$A$1:$I$89,3,0)*VLOOKUP('Données projet'!$B$11,Paramètres!$A$1:$I$89,5,0)</f>
        <v>31.383129080363769</v>
      </c>
      <c r="BF19" s="14">
        <f t="shared" si="37"/>
        <v>9.6835113353243223</v>
      </c>
      <c r="BG19" s="22">
        <f t="shared" si="7"/>
        <v>71.524398723990075</v>
      </c>
      <c r="BH19" s="62">
        <f t="shared" si="8"/>
        <v>347.74662094621232</v>
      </c>
      <c r="BI19" s="62">
        <f ca="1">AVERAGE(OFFSET($BH$3,0,0,'Données projet'!$E$11+1,1))-AVERAGE(OFFSET($H$3,0,0,'Données projet'!$E$11+1,1))</f>
        <v>569.39473185784823</v>
      </c>
      <c r="BJ19" s="62">
        <f t="shared" si="38"/>
        <v>367.42881145517066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1.6</v>
      </c>
      <c r="BY19" s="13">
        <f>IF('Données projet'!$A$114&gt;35,BY18+BX19-CG18,IF(A19&lt;'Données projet'!$A$114,$BV$205^A19,IF(A19='Données projet'!$A$114,'Données projet'!$B$114,BY18+BX19-CG18)))</f>
        <v>15.999999999999986</v>
      </c>
      <c r="BZ19" s="14">
        <f>BY19*VLOOKUP('Données projet'!$B$12,Paramètres!$A$1:$I$89,3,0)*VLOOKUP('Données projet'!$B$12,Paramètres!$A$1:$I$89,5,0)</f>
        <v>13.727999999999991</v>
      </c>
      <c r="CA19" s="14">
        <f t="shared" si="39"/>
        <v>4.6638207366437268</v>
      </c>
      <c r="CB19" s="22">
        <f t="shared" si="10"/>
        <v>32.032421116321139</v>
      </c>
      <c r="CC19" s="62">
        <f t="shared" si="11"/>
        <v>308.25464333854336</v>
      </c>
      <c r="CD19" s="62">
        <f ca="1">AVERAGE(OFFSET($CC$3,0,0,'Données projet'!$E$12+1,1))-AVERAGE(OFFSET($H$3,0,0,'Données projet'!$E$12+1,1))</f>
        <v>554.06253050955502</v>
      </c>
      <c r="CE19" s="62">
        <f t="shared" si="40"/>
        <v>269.71949336355789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9.6</v>
      </c>
      <c r="CT19" s="13">
        <f>IF('Données projet'!$A$140&gt;35,CT18+CS19-DB18,IF(A19&lt;'Données projet'!$A$140,$CQ$205^A19,IF(A19='Données projet'!$A$140,'Données projet'!$B$140,CT18+CS19-DB18)))</f>
        <v>49.6</v>
      </c>
      <c r="CU19" s="18">
        <f>CT19*VLOOKUP('Données projet'!$B$13,Paramètres!$A$1:$I$89,3,0)*VLOOKUP('Données projet'!$B$13,Paramètres!$A$1:$I$89,5,0)</f>
        <v>38.688000000000002</v>
      </c>
      <c r="CV19" s="14">
        <f t="shared" si="41"/>
        <v>11.650229083154354</v>
      </c>
      <c r="CW19" s="22">
        <f t="shared" si="13"/>
        <v>87.672415653160499</v>
      </c>
      <c r="CX19" s="62">
        <f t="shared" si="14"/>
        <v>363.89463787538273</v>
      </c>
      <c r="CY19" s="62">
        <f ca="1">AVERAGE(OFFSET($CX$3,0,0,'Données projet'!$E$13+1,1))-AVERAGE(OFFSET($H$3,0,0,'Données projet'!$E$13+1,1))</f>
        <v>292.21364130214391</v>
      </c>
      <c r="CZ19" s="62">
        <f t="shared" si="42"/>
        <v>283.48738729114024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8.0769230769230766</v>
      </c>
      <c r="DO19" s="13">
        <f>IF('Données projet'!$A$166&gt;35,DO18+DN19-DW18,IF(A19&lt;'Données projet'!$A$166,$DL$205^A19,IF(A19='Données projet'!$A$166,'Données projet'!$B$166,DO18+DN19-DW18)))</f>
        <v>67.051282051282044</v>
      </c>
      <c r="DP19" s="18">
        <f>DO19*VLOOKUP('Données projet'!$B$14,Paramètres!$A$1:$I$89,3,0)*VLOOKUP('Données projet'!$B$14,Paramètres!$A$1:$I$89,5,0)</f>
        <v>63.80599999999999</v>
      </c>
      <c r="DQ19" s="14">
        <f t="shared" si="43"/>
        <v>18.127073827518107</v>
      </c>
      <c r="DR19" s="22">
        <f t="shared" si="16"/>
        <v>142.70010358292737</v>
      </c>
      <c r="DS19" s="62">
        <f t="shared" si="17"/>
        <v>418.92232580514963</v>
      </c>
      <c r="DT19" s="62">
        <f ca="1">AVERAGE(OFFSET($DS$3,0,0,'Données projet'!$E$14+1,1))-AVERAGE(OFFSET($H$3,0,0,'Données projet'!$E$14+1,1))</f>
        <v>427.47603885390191</v>
      </c>
      <c r="DU19" s="62">
        <f t="shared" si="44"/>
        <v>350.88664394632116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2.1</v>
      </c>
      <c r="EJ19" s="13">
        <f>IF('Données projet'!$A$192&gt;35,EJ18+EI19-ER18,IF(A19&lt;'Données projet'!$A$192,$EG$205^A19,IF(A19='Données projet'!$A$192,'Données projet'!$B$192,EJ18+EI19-ER18)))</f>
        <v>19.888381054913147</v>
      </c>
      <c r="EK19" s="18">
        <f>EJ19*VLOOKUP('Données projet'!$B$15,Paramètres!$A$1:$I$89,3,0)*VLOOKUP('Données projet'!$B$15,Paramètres!$A$1:$I$89,5,0)</f>
        <v>19.236042156311996</v>
      </c>
      <c r="EL19" s="14">
        <f t="shared" si="45"/>
        <v>6.2834290449348904</v>
      </c>
      <c r="EM19" s="22">
        <f t="shared" si="19"/>
        <v>44.446412342171662</v>
      </c>
      <c r="EN19" s="62">
        <f t="shared" si="20"/>
        <v>320.66863456439387</v>
      </c>
      <c r="EO19" s="62">
        <f ca="1">AVERAGE(OFFSET($EN$3,0,0,'Données projet'!$E$15+1,1))-AVERAGE(OFFSET($H$3,0,0,'Données projet'!$E$15+1,1))</f>
        <v>455.50822833641354</v>
      </c>
      <c r="EP19" s="62">
        <f t="shared" si="46"/>
        <v>261.14722581688039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11.2</v>
      </c>
      <c r="FE19" s="13">
        <f>IF('Données projet'!$A$218&gt;35,FE18+FD19-FM18,IF(A19&lt;'Données projet'!$A$218,$FB$205^A19,IF(A19='Données projet'!$A$218,'Données projet'!$B$218,FE18+FD19-FM18)))</f>
        <v>84.199999999999989</v>
      </c>
      <c r="FF19" s="18">
        <f>FE19*VLOOKUP('Données projet'!$B$16,Paramètres!$A$1:$I$89,3,0)*VLOOKUP('Données projet'!$B$16,Paramètres!$A$1:$I$89,5,0)</f>
        <v>73.557119999999998</v>
      </c>
      <c r="FG19" s="14">
        <f t="shared" si="47"/>
        <v>20.554251427792224</v>
      </c>
      <c r="FH19" s="22">
        <f t="shared" si="22"/>
        <v>163.91063857007143</v>
      </c>
      <c r="FI19" s="62">
        <f t="shared" si="23"/>
        <v>440.13286079229363</v>
      </c>
      <c r="FJ19" s="62">
        <f ca="1">AVERAGE(OFFSET($FI$3,0,0,'Données projet'!$E$16+1,1))-AVERAGE(OFFSET($H$3,0,0,'Données projet'!$E$16+1,1))</f>
        <v>369.34989412920129</v>
      </c>
      <c r="FK19" s="62">
        <f t="shared" si="48"/>
        <v>371.26234252426553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10</v>
      </c>
      <c r="FZ19" s="13">
        <f>IF('Données projet'!$A$244&gt;35,FZ18+FY19-GH18,IF(A19&lt;'Données projet'!$A$244,$FW$205^A19,IF(A19='Données projet'!$A$244,'Données projet'!$B$244,FZ18+FY19-GH18)))</f>
        <v>147</v>
      </c>
      <c r="GA19" s="18">
        <f>FZ19*VLOOKUP('Données projet'!$B$17,Paramètres!$A$1:$I$89,3,0)*VLOOKUP('Données projet'!$B$17,Paramètres!$A$1:$I$89,5,0)</f>
        <v>133.00559999999999</v>
      </c>
      <c r="GB19" s="14">
        <f t="shared" si="49"/>
        <v>34.689938673073549</v>
      </c>
      <c r="GC19" s="22">
        <f t="shared" si="25"/>
        <v>292.06972985560304</v>
      </c>
      <c r="GD19" s="62">
        <f t="shared" si="26"/>
        <v>568.29195207782527</v>
      </c>
      <c r="GE19" s="62">
        <f ca="1">AVERAGE(OFFSET($GD$3,0,0,'Données projet'!$E$17+1,1))-AVERAGE(OFFSET($H$3,0,0,'Données projet'!$E$17+1,1))</f>
        <v>324.4489531703187</v>
      </c>
      <c r="GF19" s="62">
        <f t="shared" si="50"/>
        <v>446.55019360848706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projet'!$B$17,Paramètres!$A$1:$I$89,3,0)*0.475*44/12</f>
        <v>0</v>
      </c>
      <c r="GM19" s="23">
        <f>EXP(-LN(2)/25)*GM18+(1-EXP(-LN(2)/25))/(LN(2)/25)*Calculateur!GH19*Calculateur!GJ19*VLOOKUP('Données projet'!$B$17,Paramètres!$A$1:$I$89,3,0)*0.475*44/12</f>
        <v>0</v>
      </c>
      <c r="GN19" s="23">
        <f>EXP(-LN(2)/2)*GN18+(1-EXP(-LN(2)/2))/(LN(2)/2)*GH19*GK19*VLOOKUP('Données projet'!$B$17,Paramètres!$A$1:$I$89,3,0)*0.475*44/12</f>
        <v>0</v>
      </c>
      <c r="GO19" s="23">
        <f t="shared" si="27"/>
        <v>0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8.2051282051282044</v>
      </c>
      <c r="GU19" s="13">
        <f>IF('Données projet'!$A$270&gt;35,GU18+GT19-HC18,IF(A19&lt;'Données projet'!$A$270,$GR$205^A19,IF(A19='Données projet'!$A$270,'Données projet'!$B$270,GU18+GT19-HC18)))</f>
        <v>58.205128205128204</v>
      </c>
      <c r="GV19" s="18">
        <f>GU19*VLOOKUP('Données projet'!$B$18,Paramètres!$A$1:$I$89,3,0)*VLOOKUP('Données projet'!$B$18,Paramètres!$A$1:$I$89,5,0)</f>
        <v>39.043999999999997</v>
      </c>
      <c r="GW19" s="14">
        <f t="shared" si="51"/>
        <v>11.744903368873258</v>
      </c>
      <c r="GX19" s="22">
        <f t="shared" si="28"/>
        <v>88.457340034120918</v>
      </c>
      <c r="GY19" s="62">
        <f t="shared" si="29"/>
        <v>364.67956225634316</v>
      </c>
      <c r="GZ19" s="62">
        <f ca="1">AVERAGE(OFFSET($GY$3,0,0,'Données projet'!$E$18+1,1))-AVERAGE(OFFSET($H$3,0,0,'Données projet'!$E$18+1,1))</f>
        <v>312.06797204903796</v>
      </c>
      <c r="HA19" s="62">
        <f t="shared" si="52"/>
        <v>258.20189001775151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>
        <f>EXP(-LN(2)/35)*HG18+(1-EXP(-LN(2)/35))/(LN(2)/35)*HC19*HD19*VLOOKUP('Données projet'!$B$18,Paramètres!$A$1:$I$89,3,0)*0.475*44/12</f>
        <v>0</v>
      </c>
      <c r="HH19" s="23">
        <f>EXP(-LN(2)/25)*HH18+(1-EXP(-LN(2)/25))/(LN(2)/25)*Calculateur!HC19*Calculateur!HE19*VLOOKUP('Données projet'!$B$18,Paramètres!$A$1:$I$89,3,0)*0.475*44/12</f>
        <v>0</v>
      </c>
      <c r="HI19" s="23">
        <f>EXP(-LN(2)/2)*HI18+(1-EXP(-LN(2)/2))/(LN(2)/2)*HC19*HF19*VLOOKUP('Données projet'!$B$18,Paramètres!$A$1:$I$89,3,0)*0.475*44/12</f>
        <v>0</v>
      </c>
      <c r="HJ19" s="24">
        <f t="shared" si="30"/>
        <v>0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3.65</v>
      </c>
      <c r="N20" s="14">
        <f>IF('Données projet'!$A$36&gt;35,N19+M20-V19,IF(A20&lt;'Données projet'!$A$36,$K$205^A20,IF(A20='Données projet'!$A$36,'Données projet'!$B$36,N19+M20-V19)))</f>
        <v>38.355215845858055</v>
      </c>
      <c r="O20" s="14">
        <f>N20*VLOOKUP('Données projet'!$B$9,Paramètres!$A$1:$I$89,3,0)*VLOOKUP('Données projet'!$B$9,Paramètres!$A$1:$I$89,5,0)</f>
        <v>34.703799297332367</v>
      </c>
      <c r="P20" s="14">
        <f t="shared" si="33"/>
        <v>10.583497277259243</v>
      </c>
      <c r="Q20" s="22">
        <f t="shared" si="2"/>
        <v>78.875374867413711</v>
      </c>
      <c r="R20" s="62">
        <f t="shared" si="0"/>
        <v>356.31981931185817</v>
      </c>
      <c r="S20" s="62">
        <f ca="1">AVERAGE(OFFSET($R$3,0,0,'Données projet'!$E$9+1,1))-AVERAGE(OFFSET($H$3,0,0,'Données projet'!$E$9+1,1))</f>
        <v>512.84819850818667</v>
      </c>
      <c r="T20" s="62">
        <f t="shared" si="34"/>
        <v>332.61387922152159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13.760000000000002</v>
      </c>
      <c r="AI20" s="14">
        <f>IF('Données projet'!$A$62&gt;35,AI19+AH20-AQ19,IF(A20&lt;'Données projet'!$A$62,$AF$205^A20,IF(A20='Données projet'!$A$62,'Données projet'!$B$62,AI19+AH20-AQ19)))</f>
        <v>92.02000000000001</v>
      </c>
      <c r="AJ20" s="14">
        <f>AI20*VLOOKUP('Données projet'!$B$10,Paramètres!$A$1:$I$89,3,0)*VLOOKUP('Données projet'!$B$10,Paramètres!$A$1:$I$89,5,0)</f>
        <v>67.469064000000003</v>
      </c>
      <c r="AK20" s="14">
        <f t="shared" si="35"/>
        <v>19.043596226295445</v>
      </c>
      <c r="AL20" s="22">
        <f t="shared" si="4"/>
        <v>150.67621656079791</v>
      </c>
      <c r="AM20" s="62">
        <f t="shared" si="5"/>
        <v>428.12066100524237</v>
      </c>
      <c r="AN20" s="62">
        <f ca="1">AVERAGE(OFFSET($AM$3,0,0,'Données projet'!$E$10+1,1))-AVERAGE(OFFSET($H$3,0,0,'Données projet'!$E$10+1,1))</f>
        <v>344.45199703750711</v>
      </c>
      <c r="AO20" s="62">
        <f t="shared" si="36"/>
        <v>376.41441893222185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3.65</v>
      </c>
      <c r="BD20" s="13">
        <f>IF('Données projet'!$A$88&gt;35,BD19+BC20-BL19,IF(A20&lt;'Données projet'!$A$88,$BA$205^A20,IF(A20='Données projet'!$A$88,'Données projet'!$B$88,BD19+BC20-BL19)))</f>
        <v>38.355215845858055</v>
      </c>
      <c r="BE20" s="14">
        <f>BD20*VLOOKUP('Données projet'!$B$11,Paramètres!$A$1:$I$89,3,0)*VLOOKUP('Données projet'!$B$11,Paramètres!$A$1:$I$89,5,0)</f>
        <v>38.892188867700071</v>
      </c>
      <c r="BF20" s="14">
        <f t="shared" si="37"/>
        <v>11.704543208803392</v>
      </c>
      <c r="BG20" s="22">
        <f t="shared" si="7"/>
        <v>88.122641699910204</v>
      </c>
      <c r="BH20" s="62">
        <f t="shared" si="8"/>
        <v>365.56708614435468</v>
      </c>
      <c r="BI20" s="62">
        <f ca="1">AVERAGE(OFFSET($BH$3,0,0,'Données projet'!$E$11+1,1))-AVERAGE(OFFSET($H$3,0,0,'Données projet'!$E$11+1,1))</f>
        <v>569.39473185784823</v>
      </c>
      <c r="BJ20" s="62">
        <f t="shared" si="38"/>
        <v>367.42881145517066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1.6</v>
      </c>
      <c r="BY20" s="13">
        <f>IF('Données projet'!$A$114&gt;35,BY19+BX20-CG19,IF(A20&lt;'Données projet'!$A$114,$BV$205^A20,IF(A20='Données projet'!$A$114,'Données projet'!$B$114,BY19+BX20-CG19)))</f>
        <v>19.027313840043519</v>
      </c>
      <c r="BZ20" s="14">
        <f>BY20*VLOOKUP('Données projet'!$B$12,Paramètres!$A$1:$I$89,3,0)*VLOOKUP('Données projet'!$B$12,Paramètres!$A$1:$I$89,5,0)</f>
        <v>16.325435274757343</v>
      </c>
      <c r="CA20" s="14">
        <f t="shared" si="39"/>
        <v>5.4354984361731269</v>
      </c>
      <c r="CB20" s="22">
        <f t="shared" si="10"/>
        <v>37.90029287987057</v>
      </c>
      <c r="CC20" s="62">
        <f t="shared" si="11"/>
        <v>315.34473732431502</v>
      </c>
      <c r="CD20" s="62">
        <f ca="1">AVERAGE(OFFSET($CC$3,0,0,'Données projet'!$E$12+1,1))-AVERAGE(OFFSET($H$3,0,0,'Données projet'!$E$12+1,1))</f>
        <v>554.06253050955502</v>
      </c>
      <c r="CE20" s="62">
        <f t="shared" si="40"/>
        <v>269.71949336355789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9.6</v>
      </c>
      <c r="CT20" s="13">
        <f>IF('Données projet'!$A$140&gt;35,CT19+CS20-DB19,IF(A20&lt;'Données projet'!$A$140,$CQ$205^A20,IF(A20='Données projet'!$A$140,'Données projet'!$B$140,CT19+CS20-DB19)))</f>
        <v>59.2</v>
      </c>
      <c r="CU20" s="18">
        <f>CT20*VLOOKUP('Données projet'!$B$13,Paramètres!$A$1:$I$89,3,0)*VLOOKUP('Données projet'!$B$13,Paramètres!$A$1:$I$89,5,0)</f>
        <v>46.176000000000002</v>
      </c>
      <c r="CV20" s="14">
        <f t="shared" si="41"/>
        <v>13.621668778540489</v>
      </c>
      <c r="CW20" s="22">
        <f t="shared" si="13"/>
        <v>104.14760645595801</v>
      </c>
      <c r="CX20" s="62">
        <f t="shared" si="14"/>
        <v>381.59205090040246</v>
      </c>
      <c r="CY20" s="62">
        <f ca="1">AVERAGE(OFFSET($CX$3,0,0,'Données projet'!$E$13+1,1))-AVERAGE(OFFSET($H$3,0,0,'Données projet'!$E$13+1,1))</f>
        <v>292.21364130214391</v>
      </c>
      <c r="CZ20" s="62">
        <f t="shared" si="42"/>
        <v>283.48738729114024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8.0769230769230766</v>
      </c>
      <c r="DO20" s="13">
        <f>IF('Données projet'!$A$166&gt;35,DO19+DN20-DW19,IF(A20&lt;'Données projet'!$A$166,$DL$205^A20,IF(A20='Données projet'!$A$166,'Données projet'!$B$166,DO19+DN20-DW19)))</f>
        <v>75.128205128205124</v>
      </c>
      <c r="DP20" s="18">
        <f>DO20*VLOOKUP('Données projet'!$B$14,Paramètres!$A$1:$I$89,3,0)*VLOOKUP('Données projet'!$B$14,Paramètres!$A$1:$I$89,5,0)</f>
        <v>71.492000000000004</v>
      </c>
      <c r="DQ20" s="14">
        <f t="shared" si="43"/>
        <v>20.043517738952893</v>
      </c>
      <c r="DR20" s="22">
        <f t="shared" si="16"/>
        <v>159.42436006200964</v>
      </c>
      <c r="DS20" s="62">
        <f t="shared" si="17"/>
        <v>436.86880450645413</v>
      </c>
      <c r="DT20" s="62">
        <f ca="1">AVERAGE(OFFSET($DS$3,0,0,'Données projet'!$E$14+1,1))-AVERAGE(OFFSET($H$3,0,0,'Données projet'!$E$14+1,1))</f>
        <v>427.47603885390191</v>
      </c>
      <c r="DU20" s="62">
        <f t="shared" si="44"/>
        <v>350.88664394632116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2.1</v>
      </c>
      <c r="EJ20" s="13">
        <f>IF('Données projet'!$A$192&gt;35,EJ19+EI20-ER19,IF(A20&lt;'Données projet'!$A$192,$EG$205^A20,IF(A20='Données projet'!$A$192,'Données projet'!$B$192,EJ19+EI20-ER19)))</f>
        <v>23.975181126327602</v>
      </c>
      <c r="EK20" s="18">
        <f>EJ20*VLOOKUP('Données projet'!$B$15,Paramètres!$A$1:$I$89,3,0)*VLOOKUP('Données projet'!$B$15,Paramètres!$A$1:$I$89,5,0)</f>
        <v>23.188795185384055</v>
      </c>
      <c r="EL20" s="14">
        <f t="shared" si="45"/>
        <v>7.4115982288884323</v>
      </c>
      <c r="EM20" s="22">
        <f t="shared" si="19"/>
        <v>53.29568519652458</v>
      </c>
      <c r="EN20" s="62">
        <f t="shared" si="20"/>
        <v>330.74012964096903</v>
      </c>
      <c r="EO20" s="62">
        <f ca="1">AVERAGE(OFFSET($EN$3,0,0,'Données projet'!$E$15+1,1))-AVERAGE(OFFSET($H$3,0,0,'Données projet'!$E$15+1,1))</f>
        <v>455.50822833641354</v>
      </c>
      <c r="EP20" s="62">
        <f t="shared" si="46"/>
        <v>261.14722581688039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11.2</v>
      </c>
      <c r="FE20" s="13">
        <f>IF('Données projet'!$A$218&gt;35,FE19+FD20-FM19,IF(A20&lt;'Données projet'!$A$218,$FB$205^A20,IF(A20='Données projet'!$A$218,'Données projet'!$B$218,FE19+FD20-FM19)))</f>
        <v>95.399999999999991</v>
      </c>
      <c r="FF20" s="18">
        <f>FE20*VLOOKUP('Données projet'!$B$16,Paramètres!$A$1:$I$89,3,0)*VLOOKUP('Données projet'!$B$16,Paramètres!$A$1:$I$89,5,0)</f>
        <v>83.341440000000006</v>
      </c>
      <c r="FG20" s="14">
        <f t="shared" si="47"/>
        <v>22.952227742446681</v>
      </c>
      <c r="FH20" s="22">
        <f t="shared" si="22"/>
        <v>185.12813798476131</v>
      </c>
      <c r="FI20" s="62">
        <f t="shared" si="23"/>
        <v>462.5725824292058</v>
      </c>
      <c r="FJ20" s="62">
        <f ca="1">AVERAGE(OFFSET($FI$3,0,0,'Données projet'!$E$16+1,1))-AVERAGE(OFFSET($H$3,0,0,'Données projet'!$E$16+1,1))</f>
        <v>369.34989412920129</v>
      </c>
      <c r="FK20" s="62">
        <f t="shared" si="48"/>
        <v>371.26234252426553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10</v>
      </c>
      <c r="FZ20" s="13">
        <f>IF('Données projet'!$A$244&gt;35,FZ19+FY20-GH19,IF(A20&lt;'Données projet'!$A$244,$FW$205^A20,IF(A20='Données projet'!$A$244,'Données projet'!$B$244,FZ19+FY20-GH19)))</f>
        <v>157</v>
      </c>
      <c r="GA20" s="18">
        <f>FZ20*VLOOKUP('Données projet'!$B$17,Paramètres!$A$1:$I$89,3,0)*VLOOKUP('Données projet'!$B$17,Paramètres!$A$1:$I$89,5,0)</f>
        <v>142.05359999999999</v>
      </c>
      <c r="GB20" s="14">
        <f t="shared" si="49"/>
        <v>36.767056963845924</v>
      </c>
      <c r="GC20" s="22">
        <f t="shared" si="25"/>
        <v>311.445977545365</v>
      </c>
      <c r="GD20" s="62">
        <f t="shared" si="26"/>
        <v>588.89042198980951</v>
      </c>
      <c r="GE20" s="62">
        <f ca="1">AVERAGE(OFFSET($GD$3,0,0,'Données projet'!$E$17+1,1))-AVERAGE(OFFSET($H$3,0,0,'Données projet'!$E$17+1,1))</f>
        <v>324.4489531703187</v>
      </c>
      <c r="GF20" s="62">
        <f t="shared" si="50"/>
        <v>446.55019360848706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projet'!$B$17,Paramètres!$A$1:$I$89,3,0)*0.475*44/12</f>
        <v>0</v>
      </c>
      <c r="GM20" s="23">
        <f>EXP(-LN(2)/25)*GM19+(1-EXP(-LN(2)/25))/(LN(2)/25)*Calculateur!GH20*Calculateur!GJ20*VLOOKUP('Données projet'!$B$17,Paramètres!$A$1:$I$89,3,0)*0.475*44/12</f>
        <v>0</v>
      </c>
      <c r="GN20" s="23">
        <f>EXP(-LN(2)/2)*GN19+(1-EXP(-LN(2)/2))/(LN(2)/2)*GH20*GK20*VLOOKUP('Données projet'!$B$17,Paramètres!$A$1:$I$89,3,0)*0.475*44/12</f>
        <v>0</v>
      </c>
      <c r="GO20" s="23">
        <f t="shared" si="27"/>
        <v>0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8.2051282051282044</v>
      </c>
      <c r="GU20" s="13">
        <f>IF('Données projet'!$A$270&gt;35,GU19+GT20-HC19,IF(A20&lt;'Données projet'!$A$270,$GR$205^A20,IF(A20='Données projet'!$A$270,'Données projet'!$B$270,GU19+GT20-HC19)))</f>
        <v>66.410256410256409</v>
      </c>
      <c r="GV20" s="18">
        <f>GU20*VLOOKUP('Données projet'!$B$18,Paramètres!$A$1:$I$89,3,0)*VLOOKUP('Données projet'!$B$18,Paramètres!$A$1:$I$89,5,0)</f>
        <v>44.548000000000002</v>
      </c>
      <c r="GW20" s="14">
        <f t="shared" si="51"/>
        <v>13.196436493358</v>
      </c>
      <c r="GX20" s="22">
        <f t="shared" si="28"/>
        <v>100.57156022593183</v>
      </c>
      <c r="GY20" s="62">
        <f t="shared" si="29"/>
        <v>378.01600467037628</v>
      </c>
      <c r="GZ20" s="62">
        <f ca="1">AVERAGE(OFFSET($GY$3,0,0,'Données projet'!$E$18+1,1))-AVERAGE(OFFSET($H$3,0,0,'Données projet'!$E$18+1,1))</f>
        <v>312.06797204903796</v>
      </c>
      <c r="HA20" s="62">
        <f t="shared" si="52"/>
        <v>258.20189001775151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>
        <f>EXP(-LN(2)/35)*HG19+(1-EXP(-LN(2)/35))/(LN(2)/35)*HC20*HD20*VLOOKUP('Données projet'!$B$18,Paramètres!$A$1:$I$89,3,0)*0.475*44/12</f>
        <v>0</v>
      </c>
      <c r="HH20" s="23">
        <f>EXP(-LN(2)/25)*HH19+(1-EXP(-LN(2)/25))/(LN(2)/25)*Calculateur!HC20*Calculateur!HE20*VLOOKUP('Données projet'!$B$18,Paramètres!$A$1:$I$89,3,0)*0.475*44/12</f>
        <v>0</v>
      </c>
      <c r="HI20" s="23">
        <f>EXP(-LN(2)/2)*HI19+(1-EXP(-LN(2)/2))/(LN(2)/2)*HC20*HF20*VLOOKUP('Données projet'!$B$18,Paramètres!$A$1:$I$89,3,0)*0.475*44/12</f>
        <v>0</v>
      </c>
      <c r="HJ20" s="24">
        <f t="shared" si="30"/>
        <v>0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3.65</v>
      </c>
      <c r="N21" s="14">
        <f>IF('Données projet'!$A$36&gt;35,N20+M21-V20,IF(A21&lt;'Données projet'!$A$36,$K$205^A21,IF(A21='Données projet'!$A$36,'Données projet'!$B$36,N20+M21-V20)))</f>
        <v>47.532490941824946</v>
      </c>
      <c r="O21" s="14">
        <f>N21*VLOOKUP('Données projet'!$B$9,Paramètres!$A$1:$I$89,3,0)*VLOOKUP('Données projet'!$B$9,Paramètres!$A$1:$I$89,5,0)</f>
        <v>43.007397804163212</v>
      </c>
      <c r="P21" s="14">
        <f t="shared" si="33"/>
        <v>12.792363936215189</v>
      </c>
      <c r="Q21" s="22">
        <f t="shared" si="2"/>
        <v>97.184585031159045</v>
      </c>
      <c r="R21" s="62">
        <f t="shared" si="0"/>
        <v>375.85125169782572</v>
      </c>
      <c r="S21" s="62">
        <f ca="1">AVERAGE(OFFSET($R$3,0,0,'Données projet'!$E$9+1,1))-AVERAGE(OFFSET($H$3,0,0,'Données projet'!$E$9+1,1))</f>
        <v>512.84819850818667</v>
      </c>
      <c r="T21" s="62">
        <f t="shared" si="34"/>
        <v>332.61387922152159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13.760000000000002</v>
      </c>
      <c r="AI21" s="14">
        <f>IF('Données projet'!$A$62&gt;35,AI20+AH21-AQ20,IF(A21&lt;'Données projet'!$A$62,$AF$205^A21,IF(A21='Données projet'!$A$62,'Données projet'!$B$62,AI20+AH21-AQ20)))</f>
        <v>105.78000000000002</v>
      </c>
      <c r="AJ21" s="14">
        <f>AI21*VLOOKUP('Données projet'!$B$10,Paramètres!$A$1:$I$89,3,0)*VLOOKUP('Données projet'!$B$10,Paramètres!$A$1:$I$89,5,0)</f>
        <v>77.557896000000014</v>
      </c>
      <c r="AK21" s="14">
        <f t="shared" si="35"/>
        <v>21.539003916671845</v>
      </c>
      <c r="AL21" s="22">
        <f t="shared" si="4"/>
        <v>172.59376735487015</v>
      </c>
      <c r="AM21" s="62">
        <f t="shared" si="5"/>
        <v>451.26043402153687</v>
      </c>
      <c r="AN21" s="62">
        <f ca="1">AVERAGE(OFFSET($AM$3,0,0,'Données projet'!$E$10+1,1))-AVERAGE(OFFSET($H$3,0,0,'Données projet'!$E$10+1,1))</f>
        <v>344.45199703750711</v>
      </c>
      <c r="AO21" s="62">
        <f t="shared" si="36"/>
        <v>376.41441893222185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3.65</v>
      </c>
      <c r="BD21" s="13">
        <f>IF('Données projet'!$A$88&gt;35,BD20+BC21-BL20,IF(A21&lt;'Données projet'!$A$88,$BA$205^A21,IF(A21='Données projet'!$A$88,'Données projet'!$B$88,BD20+BC21-BL20)))</f>
        <v>47.532490941824946</v>
      </c>
      <c r="BE21" s="14">
        <f>BD21*VLOOKUP('Données projet'!$B$11,Paramètres!$A$1:$I$89,3,0)*VLOOKUP('Données projet'!$B$11,Paramètres!$A$1:$I$89,5,0)</f>
        <v>48.197945815010499</v>
      </c>
      <c r="BF21" s="14">
        <f t="shared" si="37"/>
        <v>14.147381769152156</v>
      </c>
      <c r="BG21" s="22">
        <f t="shared" si="7"/>
        <v>108.58477887574996</v>
      </c>
      <c r="BH21" s="62">
        <f t="shared" si="8"/>
        <v>387.25144554241666</v>
      </c>
      <c r="BI21" s="62">
        <f ca="1">AVERAGE(OFFSET($BH$3,0,0,'Données projet'!$E$11+1,1))-AVERAGE(OFFSET($H$3,0,0,'Données projet'!$E$11+1,1))</f>
        <v>569.39473185784823</v>
      </c>
      <c r="BJ21" s="62">
        <f t="shared" si="38"/>
        <v>367.42881145517066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1.6</v>
      </c>
      <c r="BY21" s="13">
        <f>IF('Données projet'!$A$114&gt;35,BY20+BX21-CG20,IF(A21&lt;'Données projet'!$A$114,$BV$205^A21,IF(A21='Données projet'!$A$114,'Données projet'!$B$114,BY20+BX21-CG20)))</f>
        <v>22.627416997969497</v>
      </c>
      <c r="BZ21" s="14">
        <f>BY21*VLOOKUP('Données projet'!$B$12,Paramètres!$A$1:$I$89,3,0)*VLOOKUP('Données projet'!$B$12,Paramètres!$A$1:$I$89,5,0)</f>
        <v>19.414323784257832</v>
      </c>
      <c r="CA21" s="14">
        <f t="shared" si="39"/>
        <v>6.3348582456241713</v>
      </c>
      <c r="CB21" s="22">
        <f t="shared" si="10"/>
        <v>44.846492035377821</v>
      </c>
      <c r="CC21" s="62">
        <f t="shared" si="11"/>
        <v>323.51315870204451</v>
      </c>
      <c r="CD21" s="62">
        <f ca="1">AVERAGE(OFFSET($CC$3,0,0,'Données projet'!$E$12+1,1))-AVERAGE(OFFSET($H$3,0,0,'Données projet'!$E$12+1,1))</f>
        <v>554.06253050955502</v>
      </c>
      <c r="CE21" s="62">
        <f t="shared" si="40"/>
        <v>269.71949336355789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9.6</v>
      </c>
      <c r="CT21" s="13">
        <f>IF('Données projet'!$A$140&gt;35,CT20+CS21-DB20,IF(A21&lt;'Données projet'!$A$140,$CQ$205^A21,IF(A21='Données projet'!$A$140,'Données projet'!$B$140,CT20+CS21-DB20)))</f>
        <v>68.8</v>
      </c>
      <c r="CU21" s="18">
        <f>CT21*VLOOKUP('Données projet'!$B$13,Paramètres!$A$1:$I$89,3,0)*VLOOKUP('Données projet'!$B$13,Paramètres!$A$1:$I$89,5,0)</f>
        <v>53.664000000000001</v>
      </c>
      <c r="CV21" s="14">
        <f t="shared" si="41"/>
        <v>15.556073979202782</v>
      </c>
      <c r="CW21" s="22">
        <f t="shared" si="13"/>
        <v>120.55829551377816</v>
      </c>
      <c r="CX21" s="62">
        <f t="shared" si="14"/>
        <v>399.22496218044483</v>
      </c>
      <c r="CY21" s="62">
        <f ca="1">AVERAGE(OFFSET($CX$3,0,0,'Données projet'!$E$13+1,1))-AVERAGE(OFFSET($H$3,0,0,'Données projet'!$E$13+1,1))</f>
        <v>292.21364130214391</v>
      </c>
      <c r="CZ21" s="62">
        <f t="shared" si="42"/>
        <v>283.48738729114024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8.0769230769230766</v>
      </c>
      <c r="DO21" s="13">
        <f>IF('Données projet'!$A$166&gt;35,DO20+DN21-DW20,IF(A21&lt;'Données projet'!$A$166,$DL$205^A21,IF(A21='Données projet'!$A$166,'Données projet'!$B$166,DO20+DN21-DW20)))</f>
        <v>83.205128205128204</v>
      </c>
      <c r="DP21" s="18">
        <f>DO21*VLOOKUP('Données projet'!$B$14,Paramètres!$A$1:$I$89,3,0)*VLOOKUP('Données projet'!$B$14,Paramètres!$A$1:$I$89,5,0)</f>
        <v>79.177999999999997</v>
      </c>
      <c r="DQ21" s="14">
        <f t="shared" si="43"/>
        <v>21.93608020424908</v>
      </c>
      <c r="DR21" s="22">
        <f t="shared" si="16"/>
        <v>176.10702302240045</v>
      </c>
      <c r="DS21" s="62">
        <f t="shared" si="17"/>
        <v>454.77368968906717</v>
      </c>
      <c r="DT21" s="62">
        <f ca="1">AVERAGE(OFFSET($DS$3,0,0,'Données projet'!$E$14+1,1))-AVERAGE(OFFSET($H$3,0,0,'Données projet'!$E$14+1,1))</f>
        <v>427.47603885390191</v>
      </c>
      <c r="DU21" s="62">
        <f t="shared" si="44"/>
        <v>350.88664394632116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2.1</v>
      </c>
      <c r="EJ21" s="13">
        <f>IF('Données projet'!$A$192&gt;35,EJ20+EI21-ER20,IF(A21&lt;'Données projet'!$A$192,$EG$205^A21,IF(A21='Données projet'!$A$192,'Données projet'!$B$192,EJ20+EI21-ER20)))</f>
        <v>28.901764726506816</v>
      </c>
      <c r="EK21" s="18">
        <f>EJ21*VLOOKUP('Données projet'!$B$15,Paramètres!$A$1:$I$89,3,0)*VLOOKUP('Données projet'!$B$15,Paramètres!$A$1:$I$89,5,0)</f>
        <v>27.953786843477392</v>
      </c>
      <c r="EL21" s="14">
        <f t="shared" si="45"/>
        <v>8.7423265089215931</v>
      </c>
      <c r="EM21" s="22">
        <f t="shared" si="19"/>
        <v>63.912397422094891</v>
      </c>
      <c r="EN21" s="62">
        <f t="shared" si="20"/>
        <v>342.57906408876158</v>
      </c>
      <c r="EO21" s="62">
        <f ca="1">AVERAGE(OFFSET($EN$3,0,0,'Données projet'!$E$15+1,1))-AVERAGE(OFFSET($H$3,0,0,'Données projet'!$E$15+1,1))</f>
        <v>455.50822833641354</v>
      </c>
      <c r="EP21" s="62">
        <f t="shared" si="46"/>
        <v>261.14722581688039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11.2</v>
      </c>
      <c r="FE21" s="13">
        <f>IF('Données projet'!$A$218&gt;35,FE20+FD21-FM20,IF(A21&lt;'Données projet'!$A$218,$FB$205^A21,IF(A21='Données projet'!$A$218,'Données projet'!$B$218,FE20+FD21-FM20)))</f>
        <v>106.6</v>
      </c>
      <c r="FF21" s="18">
        <f>FE21*VLOOKUP('Données projet'!$B$16,Paramètres!$A$1:$I$89,3,0)*VLOOKUP('Données projet'!$B$16,Paramètres!$A$1:$I$89,5,0)</f>
        <v>93.125760000000014</v>
      </c>
      <c r="FG21" s="14">
        <f t="shared" si="47"/>
        <v>25.317578585717406</v>
      </c>
      <c r="FH21" s="22">
        <f t="shared" si="22"/>
        <v>206.2888147034578</v>
      </c>
      <c r="FI21" s="62">
        <f t="shared" si="23"/>
        <v>484.95548137012452</v>
      </c>
      <c r="FJ21" s="62">
        <f ca="1">AVERAGE(OFFSET($FI$3,0,0,'Données projet'!$E$16+1,1))-AVERAGE(OFFSET($H$3,0,0,'Données projet'!$E$16+1,1))</f>
        <v>369.34989412920129</v>
      </c>
      <c r="FK21" s="62">
        <f t="shared" si="48"/>
        <v>371.26234252426553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10</v>
      </c>
      <c r="FZ21" s="13">
        <f>IF('Données projet'!$A$244&gt;35,FZ20+FY21-GH20,IF(A21&lt;'Données projet'!$A$244,$FW$205^A21,IF(A21='Données projet'!$A$244,'Données projet'!$B$244,FZ20+FY21-GH20)))</f>
        <v>167</v>
      </c>
      <c r="GA21" s="18">
        <f>FZ21*VLOOKUP('Données projet'!$B$17,Paramètres!$A$1:$I$89,3,0)*VLOOKUP('Données projet'!$B$17,Paramètres!$A$1:$I$89,5,0)</f>
        <v>151.10159999999999</v>
      </c>
      <c r="GB21" s="14">
        <f t="shared" si="49"/>
        <v>38.82882146347977</v>
      </c>
      <c r="GC21" s="22">
        <f t="shared" si="25"/>
        <v>330.79548404889391</v>
      </c>
      <c r="GD21" s="62">
        <f t="shared" si="26"/>
        <v>609.4621507155606</v>
      </c>
      <c r="GE21" s="62">
        <f ca="1">AVERAGE(OFFSET($GD$3,0,0,'Données projet'!$E$17+1,1))-AVERAGE(OFFSET($H$3,0,0,'Données projet'!$E$17+1,1))</f>
        <v>324.4489531703187</v>
      </c>
      <c r="GF21" s="62">
        <f t="shared" si="50"/>
        <v>446.55019360848706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projet'!$B$17,Paramètres!$A$1:$I$89,3,0)*0.475*44/12</f>
        <v>0</v>
      </c>
      <c r="GM21" s="23">
        <f>EXP(-LN(2)/25)*GM20+(1-EXP(-LN(2)/25))/(LN(2)/25)*Calculateur!GH21*Calculateur!GJ21*VLOOKUP('Données projet'!$B$17,Paramètres!$A$1:$I$89,3,0)*0.475*44/12</f>
        <v>0</v>
      </c>
      <c r="GN21" s="23">
        <f>EXP(-LN(2)/2)*GN20+(1-EXP(-LN(2)/2))/(LN(2)/2)*GH21*GK21*VLOOKUP('Données projet'!$B$17,Paramètres!$A$1:$I$89,3,0)*0.475*44/12</f>
        <v>0</v>
      </c>
      <c r="GO21" s="23">
        <f t="shared" si="27"/>
        <v>0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8.2051282051282044</v>
      </c>
      <c r="GU21" s="13">
        <f>IF('Données projet'!$A$270&gt;35,GU20+GT21-HC20,IF(A21&lt;'Données projet'!$A$270,$GR$205^A21,IF(A21='Données projet'!$A$270,'Données projet'!$B$270,GU20+GT21-HC20)))</f>
        <v>74.615384615384613</v>
      </c>
      <c r="GV21" s="18">
        <f>GU21*VLOOKUP('Données projet'!$B$18,Paramètres!$A$1:$I$89,3,0)*VLOOKUP('Données projet'!$B$18,Paramètres!$A$1:$I$89,5,0)</f>
        <v>50.052</v>
      </c>
      <c r="GW21" s="14">
        <f t="shared" si="51"/>
        <v>14.62718807768414</v>
      </c>
      <c r="GX21" s="22">
        <f t="shared" si="28"/>
        <v>112.64958590196655</v>
      </c>
      <c r="GY21" s="62">
        <f t="shared" si="29"/>
        <v>391.31625256863322</v>
      </c>
      <c r="GZ21" s="62">
        <f ca="1">AVERAGE(OFFSET($GY$3,0,0,'Données projet'!$E$18+1,1))-AVERAGE(OFFSET($H$3,0,0,'Données projet'!$E$18+1,1))</f>
        <v>312.06797204903796</v>
      </c>
      <c r="HA21" s="62">
        <f t="shared" si="52"/>
        <v>258.20189001775151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>
        <f>EXP(-LN(2)/35)*HG20+(1-EXP(-LN(2)/35))/(LN(2)/35)*HC21*HD21*VLOOKUP('Données projet'!$B$18,Paramètres!$A$1:$I$89,3,0)*0.475*44/12</f>
        <v>0</v>
      </c>
      <c r="HH21" s="23">
        <f>EXP(-LN(2)/25)*HH20+(1-EXP(-LN(2)/25))/(LN(2)/25)*Calculateur!HC21*Calculateur!HE21*VLOOKUP('Données projet'!$B$18,Paramètres!$A$1:$I$89,3,0)*0.475*44/12</f>
        <v>0</v>
      </c>
      <c r="HI21" s="23">
        <f>EXP(-LN(2)/2)*HI20+(1-EXP(-LN(2)/2))/(LN(2)/2)*HC21*HF21*VLOOKUP('Données projet'!$B$18,Paramètres!$A$1:$I$89,3,0)*0.475*44/12</f>
        <v>0</v>
      </c>
      <c r="HJ21" s="24">
        <f t="shared" si="30"/>
        <v>0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3.65</v>
      </c>
      <c r="N22" s="14">
        <f>IF('Données projet'!$A$36&gt;35,N21+M22-V21,IF(A22&lt;'Données projet'!$A$36,$K$205^A22,IF(A22='Données projet'!$A$36,'Données projet'!$B$36,N21+M22-V21)))</f>
        <v>58.90561805764559</v>
      </c>
      <c r="O22" s="14">
        <f>N22*VLOOKUP('Données projet'!$B$9,Paramètres!$A$1:$I$89,3,0)*VLOOKUP('Données projet'!$B$9,Paramètres!$A$1:$I$89,5,0)</f>
        <v>53.297803218557732</v>
      </c>
      <c r="P22" s="14">
        <f t="shared" si="33"/>
        <v>15.462240012873817</v>
      </c>
      <c r="Q22" s="22">
        <f t="shared" si="2"/>
        <v>119.75707529474329</v>
      </c>
      <c r="R22" s="62">
        <f t="shared" si="0"/>
        <v>399.64596418363215</v>
      </c>
      <c r="S22" s="62">
        <f ca="1">AVERAGE(OFFSET($R$3,0,0,'Données projet'!$E$9+1,1))-AVERAGE(OFFSET($H$3,0,0,'Données projet'!$E$9+1,1))</f>
        <v>512.84819850818667</v>
      </c>
      <c r="T22" s="62">
        <f t="shared" si="34"/>
        <v>332.61387922152159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13.760000000000002</v>
      </c>
      <c r="AI22" s="14">
        <f>IF('Données projet'!$A$62&gt;35,AI21+AH22-AQ21,IF(A22&lt;'Données projet'!$A$62,$AF$205^A22,IF(A22='Données projet'!$A$62,'Données projet'!$B$62,AI21+AH22-AQ21)))</f>
        <v>119.54000000000002</v>
      </c>
      <c r="AJ22" s="14">
        <f>AI22*VLOOKUP('Données projet'!$B$10,Paramètres!$A$1:$I$89,3,0)*VLOOKUP('Données projet'!$B$10,Paramètres!$A$1:$I$89,5,0)</f>
        <v>87.64672800000001</v>
      </c>
      <c r="AK22" s="14">
        <f t="shared" si="35"/>
        <v>23.996800240409819</v>
      </c>
      <c r="AL22" s="22">
        <f t="shared" si="4"/>
        <v>194.44581168538045</v>
      </c>
      <c r="AM22" s="62">
        <f t="shared" si="5"/>
        <v>474.33470057426928</v>
      </c>
      <c r="AN22" s="62">
        <f ca="1">AVERAGE(OFFSET($AM$3,0,0,'Données projet'!$E$10+1,1))-AVERAGE(OFFSET($H$3,0,0,'Données projet'!$E$10+1,1))</f>
        <v>344.45199703750711</v>
      </c>
      <c r="AO22" s="62">
        <f t="shared" si="36"/>
        <v>376.41441893222185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3.65</v>
      </c>
      <c r="BD22" s="13">
        <f>IF('Données projet'!$A$88&gt;35,BD21+BC22-BL21,IF(A22&lt;'Données projet'!$A$88,$BA$205^A22,IF(A22='Données projet'!$A$88,'Données projet'!$B$88,BD21+BC22-BL21)))</f>
        <v>58.90561805764559</v>
      </c>
      <c r="BE22" s="14">
        <f>BD22*VLOOKUP('Données projet'!$B$11,Paramètres!$A$1:$I$89,3,0)*VLOOKUP('Données projet'!$B$11,Paramètres!$A$1:$I$89,5,0)</f>
        <v>59.730296710452635</v>
      </c>
      <c r="BF22" s="14">
        <f t="shared" si="37"/>
        <v>17.100061689857345</v>
      </c>
      <c r="BG22" s="22">
        <f t="shared" si="7"/>
        <v>133.81287421387319</v>
      </c>
      <c r="BH22" s="62">
        <f t="shared" si="8"/>
        <v>413.70176310276202</v>
      </c>
      <c r="BI22" s="62">
        <f ca="1">AVERAGE(OFFSET($BH$3,0,0,'Données projet'!$E$11+1,1))-AVERAGE(OFFSET($H$3,0,0,'Données projet'!$E$11+1,1))</f>
        <v>569.39473185784823</v>
      </c>
      <c r="BJ22" s="62">
        <f t="shared" si="38"/>
        <v>367.42881145517066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1.6</v>
      </c>
      <c r="BY22" s="13">
        <f>IF('Données projet'!$A$114&gt;35,BY21+BX22-CG21,IF(A22&lt;'Données projet'!$A$114,$BV$205^A22,IF(A22='Données projet'!$A$114,'Données projet'!$B$114,BY21+BX22-CG21)))</f>
        <v>26.908685288118836</v>
      </c>
      <c r="BZ22" s="14">
        <f>BY22*VLOOKUP('Données projet'!$B$12,Paramètres!$A$1:$I$89,3,0)*VLOOKUP('Données projet'!$B$12,Paramètres!$A$1:$I$89,5,0)</f>
        <v>23.087651977205965</v>
      </c>
      <c r="CA22" s="14">
        <f t="shared" si="39"/>
        <v>7.3830264994807839</v>
      </c>
      <c r="CB22" s="22">
        <f t="shared" si="10"/>
        <v>53.069765013562751</v>
      </c>
      <c r="CC22" s="62">
        <f t="shared" si="11"/>
        <v>332.9586539024516</v>
      </c>
      <c r="CD22" s="62">
        <f ca="1">AVERAGE(OFFSET($CC$3,0,0,'Données projet'!$E$12+1,1))-AVERAGE(OFFSET($H$3,0,0,'Données projet'!$E$12+1,1))</f>
        <v>554.06253050955502</v>
      </c>
      <c r="CE22" s="62">
        <f t="shared" si="40"/>
        <v>269.71949336355789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9.6</v>
      </c>
      <c r="CT22" s="13">
        <f>IF('Données projet'!$A$140&gt;35,CT21+CS22-DB21,IF(A22&lt;'Données projet'!$A$140,$CQ$205^A22,IF(A22='Données projet'!$A$140,'Données projet'!$B$140,CT21+CS22-DB21)))</f>
        <v>78.399999999999991</v>
      </c>
      <c r="CU22" s="18">
        <f>CT22*VLOOKUP('Données projet'!$B$13,Paramètres!$A$1:$I$89,3,0)*VLOOKUP('Données projet'!$B$13,Paramètres!$A$1:$I$89,5,0)</f>
        <v>61.151999999999994</v>
      </c>
      <c r="CV22" s="14">
        <f t="shared" si="41"/>
        <v>17.459207591071255</v>
      </c>
      <c r="CW22" s="22">
        <f t="shared" si="13"/>
        <v>136.9145198877824</v>
      </c>
      <c r="CX22" s="62">
        <f t="shared" si="14"/>
        <v>416.80340877667129</v>
      </c>
      <c r="CY22" s="62">
        <f ca="1">AVERAGE(OFFSET($CX$3,0,0,'Données projet'!$E$13+1,1))-AVERAGE(OFFSET($H$3,0,0,'Données projet'!$E$13+1,1))</f>
        <v>292.21364130214391</v>
      </c>
      <c r="CZ22" s="62">
        <f t="shared" si="42"/>
        <v>283.48738729114024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8.0769230769230766</v>
      </c>
      <c r="DO22" s="13">
        <f>IF('Données projet'!$A$166&gt;35,DO21+DN22-DW21,IF(A22&lt;'Données projet'!$A$166,$DL$205^A22,IF(A22='Données projet'!$A$166,'Données projet'!$B$166,DO21+DN22-DW21)))</f>
        <v>91.282051282051285</v>
      </c>
      <c r="DP22" s="18">
        <f>DO22*VLOOKUP('Données projet'!$B$14,Paramètres!$A$1:$I$89,3,0)*VLOOKUP('Données projet'!$B$14,Paramètres!$A$1:$I$89,5,0)</f>
        <v>86.864000000000004</v>
      </c>
      <c r="DQ22" s="14">
        <f t="shared" si="43"/>
        <v>23.807343253251293</v>
      </c>
      <c r="DR22" s="22">
        <f t="shared" si="16"/>
        <v>192.75258949941266</v>
      </c>
      <c r="DS22" s="62">
        <f t="shared" si="17"/>
        <v>472.64147838830149</v>
      </c>
      <c r="DT22" s="62">
        <f ca="1">AVERAGE(OFFSET($DS$3,0,0,'Données projet'!$E$14+1,1))-AVERAGE(OFFSET($H$3,0,0,'Données projet'!$E$14+1,1))</f>
        <v>427.47603885390191</v>
      </c>
      <c r="DU22" s="62">
        <f t="shared" si="44"/>
        <v>350.88664394632116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2.1</v>
      </c>
      <c r="EJ22" s="13">
        <f>IF('Données projet'!$A$192&gt;35,EJ21+EI22-ER21,IF(A22&lt;'Données projet'!$A$192,$EG$205^A22,IF(A22='Données projet'!$A$192,'Données projet'!$B$192,EJ21+EI22-ER21)))</f>
        <v>34.840696297767764</v>
      </c>
      <c r="EK22" s="18">
        <f>EJ22*VLOOKUP('Données projet'!$B$15,Paramètres!$A$1:$I$89,3,0)*VLOOKUP('Données projet'!$B$15,Paramètres!$A$1:$I$89,5,0)</f>
        <v>33.697921459200977</v>
      </c>
      <c r="EL22" s="14">
        <f t="shared" si="45"/>
        <v>10.31198270984201</v>
      </c>
      <c r="EM22" s="22">
        <f t="shared" si="19"/>
        <v>76.650583094416518</v>
      </c>
      <c r="EN22" s="62">
        <f t="shared" si="20"/>
        <v>356.53947198330536</v>
      </c>
      <c r="EO22" s="62">
        <f ca="1">AVERAGE(OFFSET($EN$3,0,0,'Données projet'!$E$15+1,1))-AVERAGE(OFFSET($H$3,0,0,'Données projet'!$E$15+1,1))</f>
        <v>455.50822833641354</v>
      </c>
      <c r="EP22" s="62">
        <f t="shared" si="46"/>
        <v>261.14722581688039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11.2</v>
      </c>
      <c r="FE22" s="13">
        <f>IF('Données projet'!$A$218&gt;35,FE21+FD22-FM21,IF(A22&lt;'Données projet'!$A$218,$FB$205^A22,IF(A22='Données projet'!$A$218,'Données projet'!$B$218,FE21+FD22-FM21)))</f>
        <v>117.8</v>
      </c>
      <c r="FF22" s="18">
        <f>FE22*VLOOKUP('Données projet'!$B$16,Paramètres!$A$1:$I$89,3,0)*VLOOKUP('Données projet'!$B$16,Paramètres!$A$1:$I$89,5,0)</f>
        <v>102.91008000000001</v>
      </c>
      <c r="FG22" s="14">
        <f t="shared" si="47"/>
        <v>27.654122306790427</v>
      </c>
      <c r="FH22" s="22">
        <f t="shared" si="22"/>
        <v>227.39931901765999</v>
      </c>
      <c r="FI22" s="62">
        <f t="shared" si="23"/>
        <v>507.28820790654885</v>
      </c>
      <c r="FJ22" s="62">
        <f ca="1">AVERAGE(OFFSET($FI$3,0,0,'Données projet'!$E$16+1,1))-AVERAGE(OFFSET($H$3,0,0,'Données projet'!$E$16+1,1))</f>
        <v>369.34989412920129</v>
      </c>
      <c r="FK22" s="62">
        <f t="shared" si="48"/>
        <v>371.26234252426553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10</v>
      </c>
      <c r="FZ22" s="13">
        <f>IF('Données projet'!$A$244&gt;35,FZ21+FY22-GH21,IF(A22&lt;'Données projet'!$A$244,$FW$205^A22,IF(A22='Données projet'!$A$244,'Données projet'!$B$244,FZ21+FY22-GH21)))</f>
        <v>177</v>
      </c>
      <c r="GA22" s="18">
        <f>FZ22*VLOOKUP('Données projet'!$B$17,Paramètres!$A$1:$I$89,3,0)*VLOOKUP('Données projet'!$B$17,Paramètres!$A$1:$I$89,5,0)</f>
        <v>160.14959999999999</v>
      </c>
      <c r="GB22" s="14">
        <f t="shared" si="49"/>
        <v>40.876256268741535</v>
      </c>
      <c r="GC22" s="22">
        <f t="shared" si="25"/>
        <v>350.1200330013915</v>
      </c>
      <c r="GD22" s="62">
        <f t="shared" si="26"/>
        <v>630.00892189028036</v>
      </c>
      <c r="GE22" s="62">
        <f ca="1">AVERAGE(OFFSET($GD$3,0,0,'Données projet'!$E$17+1,1))-AVERAGE(OFFSET($H$3,0,0,'Données projet'!$E$17+1,1))</f>
        <v>324.4489531703187</v>
      </c>
      <c r="GF22" s="62">
        <f t="shared" si="50"/>
        <v>446.55019360848706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projet'!$B$17,Paramètres!$A$1:$I$89,3,0)*0.475*44/12</f>
        <v>0</v>
      </c>
      <c r="GM22" s="23">
        <f>EXP(-LN(2)/25)*GM21+(1-EXP(-LN(2)/25))/(LN(2)/25)*Calculateur!GH22*Calculateur!GJ22*VLOOKUP('Données projet'!$B$17,Paramètres!$A$1:$I$89,3,0)*0.475*44/12</f>
        <v>0</v>
      </c>
      <c r="GN22" s="23">
        <f>EXP(-LN(2)/2)*GN21+(1-EXP(-LN(2)/2))/(LN(2)/2)*GH22*GK22*VLOOKUP('Données projet'!$B$17,Paramètres!$A$1:$I$89,3,0)*0.475*44/12</f>
        <v>0</v>
      </c>
      <c r="GO22" s="23">
        <f t="shared" si="27"/>
        <v>0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8.2051282051282044</v>
      </c>
      <c r="GU22" s="13">
        <f>IF('Données projet'!$A$270&gt;35,GU21+GT22-HC21,IF(A22&lt;'Données projet'!$A$270,$GR$205^A22,IF(A22='Données projet'!$A$270,'Données projet'!$B$270,GU21+GT22-HC21)))</f>
        <v>82.820512820512818</v>
      </c>
      <c r="GV22" s="18">
        <f>GU22*VLOOKUP('Données projet'!$B$18,Paramètres!$A$1:$I$89,3,0)*VLOOKUP('Données projet'!$B$18,Paramètres!$A$1:$I$89,5,0)</f>
        <v>55.556000000000004</v>
      </c>
      <c r="GW22" s="14">
        <f t="shared" si="51"/>
        <v>16.039703993592667</v>
      </c>
      <c r="GX22" s="22">
        <f t="shared" si="28"/>
        <v>124.69585112217392</v>
      </c>
      <c r="GY22" s="62">
        <f t="shared" si="29"/>
        <v>404.58474001106276</v>
      </c>
      <c r="GZ22" s="62">
        <f ca="1">AVERAGE(OFFSET($GY$3,0,0,'Données projet'!$E$18+1,1))-AVERAGE(OFFSET($H$3,0,0,'Données projet'!$E$18+1,1))</f>
        <v>312.06797204903796</v>
      </c>
      <c r="HA22" s="62">
        <f t="shared" si="52"/>
        <v>258.20189001775151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>
        <f>EXP(-LN(2)/35)*HG21+(1-EXP(-LN(2)/35))/(LN(2)/35)*HC22*HD22*VLOOKUP('Données projet'!$B$18,Paramètres!$A$1:$I$89,3,0)*0.475*44/12</f>
        <v>0</v>
      </c>
      <c r="HH22" s="23">
        <f>EXP(-LN(2)/25)*HH21+(1-EXP(-LN(2)/25))/(LN(2)/25)*Calculateur!HC22*Calculateur!HE22*VLOOKUP('Données projet'!$B$18,Paramètres!$A$1:$I$89,3,0)*0.475*44/12</f>
        <v>0</v>
      </c>
      <c r="HI22" s="23">
        <f>EXP(-LN(2)/2)*HI21+(1-EXP(-LN(2)/2))/(LN(2)/2)*HC22*HF22*VLOOKUP('Données projet'!$B$18,Paramètres!$A$1:$I$89,3,0)*0.475*44/12</f>
        <v>0</v>
      </c>
      <c r="HJ22" s="24">
        <f t="shared" si="30"/>
        <v>0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73</v>
      </c>
      <c r="L23" s="13">
        <f>VLOOKUP(A23,'Données projet'!$A$35:$I$55,9,0)</f>
        <v>3.65</v>
      </c>
      <c r="M23" s="13">
        <f t="array" ref="M23">INDEX(L:L,MIN(IF(ISNUMBER(L23:L219),ROW(L23:L219),"")))</f>
        <v>3.65</v>
      </c>
      <c r="N23" s="14">
        <f>IF('Données projet'!$A$36&gt;35,N22+M23-V22,IF(A23&lt;'Données projet'!$A$36,$K$205^A23,IF(A23='Données projet'!$A$36,'Données projet'!$B$36,N22+M23-V22)))</f>
        <v>73</v>
      </c>
      <c r="O23" s="14">
        <f>N23*VLOOKUP('Données projet'!$B$9,Paramètres!$A$1:$I$89,3,0)*VLOOKUP('Données projet'!$B$9,Paramètres!$A$1:$I$89,5,0)</f>
        <v>66.050399999999996</v>
      </c>
      <c r="P23" s="14">
        <f t="shared" si="33"/>
        <v>18.689342126897891</v>
      </c>
      <c r="Q23" s="22">
        <f t="shared" si="2"/>
        <v>147.58838420434714</v>
      </c>
      <c r="R23" s="62">
        <f t="shared" si="0"/>
        <v>428.69949531545831</v>
      </c>
      <c r="S23" s="62">
        <f ca="1">AVERAGE(OFFSET($R$3,0,0,'Données projet'!$E$9+1,1))-AVERAGE(OFFSET($H$3,0,0,'Données projet'!$E$9+1,1))</f>
        <v>512.84819850818667</v>
      </c>
      <c r="T23" s="62">
        <f t="shared" si="34"/>
        <v>332.61387922152159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6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133.30000000000001</v>
      </c>
      <c r="AG23" s="13">
        <f>VLOOKUP(A23,'Données projet'!$A$61:$I$81,9,0)</f>
        <v>13.760000000000002</v>
      </c>
      <c r="AH23" s="13">
        <f t="array" ref="AH23">INDEX(AG:AG,MIN(IF(ISNUMBER(AG23:AG219),ROW(AG23:AG219),"")))</f>
        <v>13.760000000000002</v>
      </c>
      <c r="AI23" s="14">
        <f>IF('Données projet'!$A$62&gt;35,AI22+AH23-AQ22,IF(A23&lt;'Données projet'!$A$62,$AF$205^A23,IF(A23='Données projet'!$A$62,'Données projet'!$B$62,AI22+AH23-AQ22)))</f>
        <v>133.30000000000001</v>
      </c>
      <c r="AJ23" s="14">
        <f>AI23*VLOOKUP('Données projet'!$B$10,Paramètres!$A$1:$I$89,3,0)*VLOOKUP('Données projet'!$B$10,Paramètres!$A$1:$I$89,5,0)</f>
        <v>97.735560000000007</v>
      </c>
      <c r="AK23" s="14">
        <f t="shared" si="35"/>
        <v>26.421808908404628</v>
      </c>
      <c r="AL23" s="22">
        <f t="shared" si="4"/>
        <v>216.24075084880474</v>
      </c>
      <c r="AM23" s="62">
        <f t="shared" si="5"/>
        <v>497.35186195991588</v>
      </c>
      <c r="AN23" s="62">
        <f ca="1">AVERAGE(OFFSET($AM$3,0,0,'Données projet'!$E$10+1,1))-AVERAGE(OFFSET($H$3,0,0,'Données projet'!$E$10+1,1))</f>
        <v>344.45199703750711</v>
      </c>
      <c r="AO23" s="62">
        <f t="shared" si="36"/>
        <v>376.41441893222185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66.5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73</v>
      </c>
      <c r="BB23" s="13">
        <f>VLOOKUP(A23,'Données projet'!$A$87:$I$107,9,0)</f>
        <v>3.65</v>
      </c>
      <c r="BC23" s="13">
        <f t="array" ref="BC23">INDEX(BB:BB,MIN(IF(ISNUMBER(BB23:BB219),ROW(BB23:BB219),"")))</f>
        <v>3.65</v>
      </c>
      <c r="BD23" s="13">
        <f>IF('Données projet'!$A$88&gt;35,BD22+BC23-BL22,IF(A23&lt;'Données projet'!$A$88,$BA$205^A23,IF(A23='Données projet'!$A$88,'Données projet'!$B$88,BD22+BC23-BL22)))</f>
        <v>73</v>
      </c>
      <c r="BE23" s="14">
        <f>BD23*VLOOKUP('Données projet'!$B$11,Paramètres!$A$1:$I$89,3,0)*VLOOKUP('Données projet'!$B$11,Paramètres!$A$1:$I$89,5,0)</f>
        <v>74.022000000000006</v>
      </c>
      <c r="BF23" s="14">
        <f t="shared" si="37"/>
        <v>20.668991235856851</v>
      </c>
      <c r="BG23" s="22">
        <f t="shared" si="7"/>
        <v>164.92014306911736</v>
      </c>
      <c r="BH23" s="62">
        <f t="shared" si="8"/>
        <v>446.03125418022853</v>
      </c>
      <c r="BI23" s="62">
        <f ca="1">AVERAGE(OFFSET($BH$3,0,0,'Données projet'!$E$11+1,1))-AVERAGE(OFFSET($H$3,0,0,'Données projet'!$E$11+1,1))</f>
        <v>569.39473185784823</v>
      </c>
      <c r="BJ23" s="62">
        <f t="shared" si="38"/>
        <v>367.42881145517066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6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32</v>
      </c>
      <c r="BW23" s="13">
        <f>VLOOKUP(A23,'Données projet'!$A$113:$I$133,9,0)</f>
        <v>1.6</v>
      </c>
      <c r="BX23" s="13">
        <f t="array" ref="BX23">INDEX(BW:BW,MIN(IF(ISNUMBER(BW23:BW219),ROW(BW23:BW219),"")))</f>
        <v>1.6</v>
      </c>
      <c r="BY23" s="13">
        <f>IF('Données projet'!$A$114&gt;35,BY22+BX23-CG22,IF(A23&lt;'Données projet'!$A$114,$BV$205^A23,IF(A23='Données projet'!$A$114,'Données projet'!$B$114,BY22+BX23-CG22)))</f>
        <v>32</v>
      </c>
      <c r="BZ23" s="14">
        <f>BY23*VLOOKUP('Données projet'!$B$12,Paramètres!$A$1:$I$89,3,0)*VLOOKUP('Données projet'!$B$12,Paramètres!$A$1:$I$89,5,0)</f>
        <v>27.456000000000003</v>
      </c>
      <c r="CA23" s="14">
        <f t="shared" si="39"/>
        <v>8.604625104229898</v>
      </c>
      <c r="CB23" s="22">
        <f t="shared" si="10"/>
        <v>62.805588723200408</v>
      </c>
      <c r="CC23" s="62">
        <f t="shared" si="11"/>
        <v>343.91669983431154</v>
      </c>
      <c r="CD23" s="62">
        <f ca="1">AVERAGE(OFFSET($CC$3,0,0,'Données projet'!$E$12+1,1))-AVERAGE(OFFSET($H$3,0,0,'Données projet'!$E$12+1,1))</f>
        <v>554.06253050955502</v>
      </c>
      <c r="CE23" s="62">
        <f t="shared" si="40"/>
        <v>269.71949336355789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88</v>
      </c>
      <c r="CR23" s="13">
        <f>VLOOKUP(A23,'Données projet'!$A$139:$I$159,9,0)</f>
        <v>9.6</v>
      </c>
      <c r="CS23" s="13">
        <f t="array" ref="CS23">INDEX(CR:CR,MIN(IF(ISNUMBER(CR23:CR219),ROW(CR23:CR219),"")))</f>
        <v>9.6</v>
      </c>
      <c r="CT23" s="13">
        <f>IF('Données projet'!$A$140&gt;35,CT22+CS23-DB22,IF(A23&lt;'Données projet'!$A$140,$CQ$205^A23,IF(A23='Données projet'!$A$140,'Données projet'!$B$140,CT22+CS23-DB22)))</f>
        <v>87.999999999999986</v>
      </c>
      <c r="CU23" s="18">
        <f>CT23*VLOOKUP('Données projet'!$B$13,Paramètres!$A$1:$I$89,3,0)*VLOOKUP('Données projet'!$B$13,Paramètres!$A$1:$I$89,5,0)</f>
        <v>68.639999999999986</v>
      </c>
      <c r="CV23" s="14">
        <f t="shared" si="41"/>
        <v>19.335336956640202</v>
      </c>
      <c r="CW23" s="22">
        <f t="shared" si="13"/>
        <v>153.22371186614834</v>
      </c>
      <c r="CX23" s="62">
        <f t="shared" si="14"/>
        <v>434.33482297725948</v>
      </c>
      <c r="CY23" s="62">
        <f ca="1">AVERAGE(OFFSET($CX$3,0,0,'Données projet'!$E$13+1,1))-AVERAGE(OFFSET($H$3,0,0,'Données projet'!$E$13+1,1))</f>
        <v>292.21364130214391</v>
      </c>
      <c r="CZ23" s="62">
        <f t="shared" si="42"/>
        <v>283.48738729114024</v>
      </c>
      <c r="DA23" s="16">
        <f>IF(ISNA(VLOOKUP(A23,'Données projet'!$A$139:$I$159,3,0)),0,VLOOKUP(A23,'Données projet'!$A$139:$I$159,3,0))</f>
        <v>1</v>
      </c>
      <c r="DB23" s="16">
        <f>IF(ISNA(VLOOKUP(A23,'Données projet'!$A$139:$I$159,4,0)),0,VLOOKUP(A23,'Données projet'!$A$139:$I$159,4,0))</f>
        <v>3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99.358974358974351</v>
      </c>
      <c r="DM23" s="13">
        <f>VLOOKUP(A23,'Données projet'!$A$165:$I$185,9,0)</f>
        <v>8.0769230769230766</v>
      </c>
      <c r="DN23" s="13">
        <f t="array" ref="DN23">INDEX(DM:DM,MIN(IF(ISNUMBER(DM23:DM219),ROW(DM23:DM219),"")))</f>
        <v>8.0769230769230766</v>
      </c>
      <c r="DO23" s="13">
        <f>IF('Données projet'!$A$166&gt;35,DO22+DN23-DW22,IF(A23&lt;'Données projet'!$A$166,$DL$205^A23,IF(A23='Données projet'!$A$166,'Données projet'!$B$166,DO22+DN23-DW22)))</f>
        <v>99.358974358974365</v>
      </c>
      <c r="DP23" s="18">
        <f>DO23*VLOOKUP('Données projet'!$B$14,Paramètres!$A$1:$I$89,3,0)*VLOOKUP('Données projet'!$B$14,Paramètres!$A$1:$I$89,5,0)</f>
        <v>94.55</v>
      </c>
      <c r="DQ23" s="14">
        <f t="shared" si="43"/>
        <v>25.659405828199805</v>
      </c>
      <c r="DR23" s="22">
        <f t="shared" si="16"/>
        <v>209.36471515078131</v>
      </c>
      <c r="DS23" s="62">
        <f t="shared" si="17"/>
        <v>490.47582626189245</v>
      </c>
      <c r="DT23" s="62">
        <f ca="1">AVERAGE(OFFSET($DS$3,0,0,'Données projet'!$E$14+1,1))-AVERAGE(OFFSET($H$3,0,0,'Données projet'!$E$14+1,1))</f>
        <v>427.47603885390191</v>
      </c>
      <c r="DU23" s="62">
        <f t="shared" si="44"/>
        <v>350.88664394632116</v>
      </c>
      <c r="DV23" s="16">
        <f>IF(ISNA(VLOOKUP(A23,'Données projet'!$A$165:$I$185,3,0)),0,VLOOKUP(A23,'Données projet'!$A$165:$I$185,3,0))</f>
        <v>1</v>
      </c>
      <c r="DW23" s="16">
        <f>IF(ISNA(VLOOKUP(A23,'Données projet'!$A$165:$I$185,4,0)),0,VLOOKUP(A23,'Données projet'!$A$165:$I$185,4,0))</f>
        <v>28.846153846153847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42</v>
      </c>
      <c r="EH23" s="13">
        <f>VLOOKUP(A23,'Données projet'!$A$191:$I$211,9,0)</f>
        <v>2.1</v>
      </c>
      <c r="EI23" s="13">
        <f t="array" ref="EI23">INDEX(EH:EH,MIN(IF(ISNUMBER(EH23:EH219),ROW(EH23:EH219),"")))</f>
        <v>2.1</v>
      </c>
      <c r="EJ23" s="13">
        <f>IF('Données projet'!$A$192&gt;35,EJ22+EI23-ER22,IF(A23&lt;'Données projet'!$A$192,$EG$205^A23,IF(A23='Données projet'!$A$192,'Données projet'!$B$192,EJ22+EI23-ER22)))</f>
        <v>42</v>
      </c>
      <c r="EK23" s="18">
        <f>EJ23*VLOOKUP('Données projet'!$B$15,Paramètres!$A$1:$I$89,3,0)*VLOOKUP('Données projet'!$B$15,Paramètres!$A$1:$I$89,5,0)</f>
        <v>40.622399999999999</v>
      </c>
      <c r="EL23" s="14">
        <f t="shared" si="45"/>
        <v>12.163465560290264</v>
      </c>
      <c r="EM23" s="22">
        <f t="shared" si="19"/>
        <v>91.935382517505545</v>
      </c>
      <c r="EN23" s="62">
        <f t="shared" si="20"/>
        <v>373.0464936286167</v>
      </c>
      <c r="EO23" s="62">
        <f ca="1">AVERAGE(OFFSET($EN$3,0,0,'Données projet'!$E$15+1,1))-AVERAGE(OFFSET($H$3,0,0,'Données projet'!$E$15+1,1))</f>
        <v>455.50822833641354</v>
      </c>
      <c r="EP23" s="62">
        <f t="shared" si="46"/>
        <v>261.14722581688039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projet'!$A$217:$I$237,2,0)</f>
        <v>129</v>
      </c>
      <c r="FC23" s="13">
        <f>VLOOKUP(A23,'Données projet'!$A$217:$I$237,9,0)</f>
        <v>11.2</v>
      </c>
      <c r="FD23" s="13">
        <f t="array" ref="FD23">INDEX(FC:FC,MIN(IF(ISNUMBER(FC23:FC219),ROW(FC23:FC219),"")))</f>
        <v>11.2</v>
      </c>
      <c r="FE23" s="13">
        <f>IF('Données projet'!$A$218&gt;35,FE22+FD23-FM22,IF(A23&lt;'Données projet'!$A$218,$FB$205^A23,IF(A23='Données projet'!$A$218,'Données projet'!$B$218,FE22+FD23-FM22)))</f>
        <v>129</v>
      </c>
      <c r="FF23" s="18">
        <f>FE23*VLOOKUP('Données projet'!$B$16,Paramètres!$A$1:$I$89,3,0)*VLOOKUP('Données projet'!$B$16,Paramètres!$A$1:$I$89,5,0)</f>
        <v>112.69440000000002</v>
      </c>
      <c r="FG23" s="14">
        <f t="shared" si="47"/>
        <v>29.964909381330632</v>
      </c>
      <c r="FH23" s="22">
        <f t="shared" si="22"/>
        <v>248.46496383915087</v>
      </c>
      <c r="FI23" s="62">
        <f t="shared" si="23"/>
        <v>529.57607495026195</v>
      </c>
      <c r="FJ23" s="62">
        <f ca="1">AVERAGE(OFFSET($FI$3,0,0,'Données projet'!$E$16+1,1))-AVERAGE(OFFSET($H$3,0,0,'Données projet'!$E$16+1,1))</f>
        <v>369.34989412920129</v>
      </c>
      <c r="FK23" s="62">
        <f t="shared" si="48"/>
        <v>371.26234252426553</v>
      </c>
      <c r="FL23" s="16">
        <f>IF(ISNA(VLOOKUP(A23,'Données projet'!$A$217:$I$237,3,0)),0,VLOOKUP(A23,'Données projet'!$A$217:$I$237,3,0))</f>
        <v>1</v>
      </c>
      <c r="FM23" s="16">
        <f>IF(ISNA(VLOOKUP(A23,'Données projet'!$A$217:$I$237,4,0)),0,VLOOKUP(A23,'Données projet'!$A$217:$I$237,4,0))</f>
        <v>54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>
        <f>VLOOKUP(A23,'Données projet'!$A$243:$I$263,2,0)</f>
        <v>187</v>
      </c>
      <c r="FX23" s="13">
        <f>VLOOKUP(A23,'Données projet'!$A$243:$I$263,9,0)</f>
        <v>10</v>
      </c>
      <c r="FY23" s="13">
        <f t="array" ref="FY23">INDEX(FX:FX,MIN(IF(ISNUMBER(FX23:FX219),ROW(FX23:FX219),"")))</f>
        <v>10</v>
      </c>
      <c r="FZ23" s="13">
        <f>IF('Données projet'!$A$244&gt;35,FZ22+FY23-GH22,IF(A23&lt;'Données projet'!$A$244,$FW$205^A23,IF(A23='Données projet'!$A$244,'Données projet'!$B$244,FZ22+FY23-GH22)))</f>
        <v>187</v>
      </c>
      <c r="GA23" s="18">
        <f>FZ23*VLOOKUP('Données projet'!$B$17,Paramètres!$A$1:$I$89,3,0)*VLOOKUP('Données projet'!$B$17,Paramètres!$A$1:$I$89,5,0)</f>
        <v>169.19759999999999</v>
      </c>
      <c r="GB23" s="14">
        <f t="shared" si="49"/>
        <v>42.910263223432885</v>
      </c>
      <c r="GC23" s="22">
        <f t="shared" si="25"/>
        <v>369.42119511414558</v>
      </c>
      <c r="GD23" s="62">
        <f t="shared" si="26"/>
        <v>650.53230622525666</v>
      </c>
      <c r="GE23" s="62">
        <f ca="1">AVERAGE(OFFSET($GD$3,0,0,'Données projet'!$E$17+1,1))-AVERAGE(OFFSET($H$3,0,0,'Données projet'!$E$17+1,1))</f>
        <v>324.4489531703187</v>
      </c>
      <c r="GF23" s="62">
        <f t="shared" si="50"/>
        <v>446.55019360848706</v>
      </c>
      <c r="GG23" s="16">
        <f>IF(ISNA(VLOOKUP(A23,'Données projet'!$A$243:$I$263,3,0)),0,VLOOKUP(A23,'Données projet'!$A$243:$I$263,3,0))</f>
        <v>1</v>
      </c>
      <c r="GH23" s="16">
        <f>IF(ISNA(VLOOKUP(A23,'Données projet'!$A$243:$I$263,4,0)),0,VLOOKUP(A23,'Données projet'!$A$243:$I$263,4,0))</f>
        <v>56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projet'!$B$17,Paramètres!$A$1:$I$89,3,0)*0.475*44/12</f>
        <v>0</v>
      </c>
      <c r="GM23" s="23">
        <f>EXP(-LN(2)/25)*GM22+(1-EXP(-LN(2)/25))/(LN(2)/25)*Calculateur!GH23*Calculateur!GJ23*VLOOKUP('Données projet'!$B$17,Paramètres!$A$1:$I$89,3,0)*0.475*44/12</f>
        <v>0</v>
      </c>
      <c r="GN23" s="23">
        <f>EXP(-LN(2)/2)*GN22+(1-EXP(-LN(2)/2))/(LN(2)/2)*GH23*GK23*VLOOKUP('Données projet'!$B$17,Paramètres!$A$1:$I$89,3,0)*0.475*44/12</f>
        <v>0</v>
      </c>
      <c r="GO23" s="23">
        <f t="shared" si="27"/>
        <v>0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>
        <f>VLOOKUP(A23,'Données projet'!$A$269:$I$289,2,0)</f>
        <v>91.025641025641022</v>
      </c>
      <c r="GS23" s="13">
        <f>VLOOKUP(A23,'Données projet'!$A$269:$I$289,9,0)</f>
        <v>8.2051282051282044</v>
      </c>
      <c r="GT23" s="13">
        <f t="array" ref="GT23">INDEX(GS:GS,MIN(IF(ISNUMBER(GS23:GS219),ROW(GS23:GS219),"")))</f>
        <v>8.2051282051282044</v>
      </c>
      <c r="GU23" s="13">
        <f>IF('Données projet'!$A$270&gt;35,GU22+GT23-HC22,IF(A23&lt;'Données projet'!$A$270,$GR$205^A23,IF(A23='Données projet'!$A$270,'Données projet'!$B$270,GU22+GT23-HC22)))</f>
        <v>91.025641025641022</v>
      </c>
      <c r="GV23" s="18">
        <f>GU23*VLOOKUP('Données projet'!$B$18,Paramètres!$A$1:$I$89,3,0)*VLOOKUP('Données projet'!$B$18,Paramètres!$A$1:$I$89,5,0)</f>
        <v>61.06</v>
      </c>
      <c r="GW23" s="14">
        <f t="shared" si="51"/>
        <v>17.43599650596687</v>
      </c>
      <c r="GX23" s="22">
        <f t="shared" si="28"/>
        <v>136.71386058122562</v>
      </c>
      <c r="GY23" s="62">
        <f t="shared" si="29"/>
        <v>417.82497169233676</v>
      </c>
      <c r="GZ23" s="62">
        <f ca="1">AVERAGE(OFFSET($GY$3,0,0,'Données projet'!$E$18+1,1))-AVERAGE(OFFSET($H$3,0,0,'Données projet'!$E$18+1,1))</f>
        <v>312.06797204903796</v>
      </c>
      <c r="HA23" s="62">
        <f t="shared" si="52"/>
        <v>258.20189001775151</v>
      </c>
      <c r="HB23" s="16">
        <f>IF(ISNA(VLOOKUP(A23,'Données projet'!$A$269:$I$289,3,0)),0,VLOOKUP(A23,'Données projet'!$A$269:$I$289,3,0))</f>
        <v>1</v>
      </c>
      <c r="HC23" s="16">
        <f>IF(ISNA(VLOOKUP(A23,'Données projet'!$A$269:$I$289,4,0)),0,VLOOKUP(A23,'Données projet'!$A$269:$I$289,4,0))</f>
        <v>24.358974358974358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>
        <f>EXP(-LN(2)/35)*HG22+(1-EXP(-LN(2)/35))/(LN(2)/35)*HC23*HD23*VLOOKUP('Données projet'!$B$18,Paramètres!$A$1:$I$89,3,0)*0.475*44/12</f>
        <v>0</v>
      </c>
      <c r="HH23" s="23">
        <f>EXP(-LN(2)/25)*HH22+(1-EXP(-LN(2)/25))/(LN(2)/25)*Calculateur!HC23*Calculateur!HE23*VLOOKUP('Données projet'!$B$18,Paramètres!$A$1:$I$89,3,0)*0.475*44/12</f>
        <v>0</v>
      </c>
      <c r="HI23" s="23">
        <f>EXP(-LN(2)/2)*HI22+(1-EXP(-LN(2)/2))/(LN(2)/2)*HC23*HF23*VLOOKUP('Données projet'!$B$18,Paramètres!$A$1:$I$89,3,0)*0.475*44/12</f>
        <v>0</v>
      </c>
      <c r="HJ23" s="24">
        <f t="shared" si="30"/>
        <v>0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7.2</v>
      </c>
      <c r="N24" s="14">
        <f>IF('Données projet'!$A$36&gt;35,N23+M24-V23,IF(A24&lt;'Données projet'!$A$36,$K$205^A24,IF(A24='Données projet'!$A$36,'Données projet'!$B$36,N23+M24-V23)))</f>
        <v>74.2</v>
      </c>
      <c r="O24" s="14">
        <f>N24*VLOOKUP('Données projet'!$B$9,Paramètres!$A$1:$I$89,3,0)*VLOOKUP('Données projet'!$B$9,Paramètres!$A$1:$I$89,5,0)</f>
        <v>67.136160000000004</v>
      </c>
      <c r="P24" s="14">
        <f t="shared" si="33"/>
        <v>18.960545405756019</v>
      </c>
      <c r="Q24" s="22">
        <f t="shared" si="2"/>
        <v>149.95176191502506</v>
      </c>
      <c r="R24" s="62">
        <f t="shared" si="0"/>
        <v>432.2850952483584</v>
      </c>
      <c r="S24" s="62">
        <f ca="1">AVERAGE(OFFSET($R$3,0,0,'Données projet'!$E$9+1,1))-AVERAGE(OFFSET($H$3,0,0,'Données projet'!$E$9+1,1))</f>
        <v>512.84819850818667</v>
      </c>
      <c r="T24" s="62">
        <f t="shared" si="34"/>
        <v>332.61387922152159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14.739999999999998</v>
      </c>
      <c r="AI24" s="14">
        <f>IF('Données projet'!$A$62&gt;35,AI23+AH24-AQ23,IF(A24&lt;'Données projet'!$A$62,$AF$205^A24,IF(A24='Données projet'!$A$62,'Données projet'!$B$62,AI23+AH24-AQ23)))</f>
        <v>81.54000000000002</v>
      </c>
      <c r="AJ24" s="14">
        <f>AI24*VLOOKUP('Données projet'!$B$10,Paramètres!$A$1:$I$89,3,0)*VLOOKUP('Données projet'!$B$10,Paramètres!$A$1:$I$89,5,0)</f>
        <v>59.785128000000007</v>
      </c>
      <c r="AK24" s="14">
        <f t="shared" si="35"/>
        <v>17.113931291149598</v>
      </c>
      <c r="AL24" s="22">
        <f t="shared" si="4"/>
        <v>133.93252826541888</v>
      </c>
      <c r="AM24" s="62">
        <f t="shared" si="5"/>
        <v>416.26586159875217</v>
      </c>
      <c r="AN24" s="62">
        <f ca="1">AVERAGE(OFFSET($AM$3,0,0,'Données projet'!$E$10+1,1))-AVERAGE(OFFSET($H$3,0,0,'Données projet'!$E$10+1,1))</f>
        <v>344.45199703750711</v>
      </c>
      <c r="AO24" s="62">
        <f t="shared" si="36"/>
        <v>376.41441893222185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7.2</v>
      </c>
      <c r="BD24" s="13">
        <f>IF('Données projet'!$A$88&gt;35,BD23+BC24-BL23,IF(A24&lt;'Données projet'!$A$88,$BA$205^A24,IF(A24='Données projet'!$A$88,'Données projet'!$B$88,BD23+BC24-BL23)))</f>
        <v>74.2</v>
      </c>
      <c r="BE24" s="14">
        <f>BD24*VLOOKUP('Données projet'!$B$11,Paramètres!$A$1:$I$89,3,0)*VLOOKUP('Données projet'!$B$11,Paramètres!$A$1:$I$89,5,0)</f>
        <v>75.238800000000012</v>
      </c>
      <c r="BF24" s="14">
        <f t="shared" si="37"/>
        <v>20.96892143970209</v>
      </c>
      <c r="BG24" s="22">
        <f t="shared" si="7"/>
        <v>167.56178150748116</v>
      </c>
      <c r="BH24" s="62">
        <f t="shared" si="8"/>
        <v>449.89511484081447</v>
      </c>
      <c r="BI24" s="62">
        <f ca="1">AVERAGE(OFFSET($BH$3,0,0,'Données projet'!$E$11+1,1))-AVERAGE(OFFSET($H$3,0,0,'Données projet'!$E$11+1,1))</f>
        <v>569.39473185784823</v>
      </c>
      <c r="BJ24" s="62">
        <f t="shared" si="38"/>
        <v>367.42881145517066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8.8000000000000007</v>
      </c>
      <c r="BY24" s="13">
        <f>IF('Données projet'!$A$114&gt;35,BY23+BX24-CG23,IF(A24&lt;'Données projet'!$A$114,$BV$205^A24,IF(A24='Données projet'!$A$114,'Données projet'!$B$114,BY23+BX24-CG23)))</f>
        <v>40.799999999999997</v>
      </c>
      <c r="BZ24" s="14">
        <f>BY24*VLOOKUP('Données projet'!$B$12,Paramètres!$A$1:$I$89,3,0)*VLOOKUP('Données projet'!$B$12,Paramètres!$A$1:$I$89,5,0)</f>
        <v>35.006400000000006</v>
      </c>
      <c r="CA24" s="14">
        <f t="shared" si="39"/>
        <v>10.664997365847841</v>
      </c>
      <c r="CB24" s="22">
        <f t="shared" si="10"/>
        <v>79.544350412184983</v>
      </c>
      <c r="CC24" s="62">
        <f t="shared" si="11"/>
        <v>361.87768374551831</v>
      </c>
      <c r="CD24" s="62">
        <f ca="1">AVERAGE(OFFSET($CC$3,0,0,'Données projet'!$E$12+1,1))-AVERAGE(OFFSET($H$3,0,0,'Données projet'!$E$12+1,1))</f>
        <v>554.06253050955502</v>
      </c>
      <c r="CE24" s="62">
        <f t="shared" si="40"/>
        <v>269.71949336355789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10.6</v>
      </c>
      <c r="CT24" s="13">
        <f>IF('Données projet'!$A$140&gt;35,CT23+CS24-DB23,IF(A24&lt;'Données projet'!$A$140,$CQ$205^A24,IF(A24='Données projet'!$A$140,'Données projet'!$B$140,CT23+CS24-DB23)))</f>
        <v>95.59999999999998</v>
      </c>
      <c r="CU24" s="18">
        <f>CT24*VLOOKUP('Données projet'!$B$13,Paramètres!$A$1:$I$89,3,0)*VLOOKUP('Données projet'!$B$13,Paramètres!$A$1:$I$89,5,0)</f>
        <v>74.567999999999984</v>
      </c>
      <c r="CV24" s="14">
        <f t="shared" si="41"/>
        <v>20.803645727866297</v>
      </c>
      <c r="CW24" s="22">
        <f t="shared" si="13"/>
        <v>166.10561630936709</v>
      </c>
      <c r="CX24" s="62">
        <f t="shared" si="14"/>
        <v>448.43894964270044</v>
      </c>
      <c r="CY24" s="62">
        <f ca="1">AVERAGE(OFFSET($CX$3,0,0,'Données projet'!$E$13+1,1))-AVERAGE(OFFSET($H$3,0,0,'Données projet'!$E$13+1,1))</f>
        <v>292.21364130214391</v>
      </c>
      <c r="CZ24" s="62">
        <f t="shared" si="42"/>
        <v>283.48738729114024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8.0769230769230802</v>
      </c>
      <c r="DO24" s="13">
        <f>IF('Données projet'!$A$166&gt;35,DO23+DN24-DW23,IF(A24&lt;'Données projet'!$A$166,$DL$205^A24,IF(A24='Données projet'!$A$166,'Données projet'!$B$166,DO23+DN24-DW23)))</f>
        <v>78.589743589743591</v>
      </c>
      <c r="DP24" s="18">
        <f>DO24*VLOOKUP('Données projet'!$B$14,Paramètres!$A$1:$I$89,3,0)*VLOOKUP('Données projet'!$B$14,Paramètres!$A$1:$I$89,5,0)</f>
        <v>74.786000000000001</v>
      </c>
      <c r="DQ24" s="14">
        <f t="shared" si="43"/>
        <v>20.857376778776572</v>
      </c>
      <c r="DR24" s="22">
        <f t="shared" si="16"/>
        <v>166.57888122303586</v>
      </c>
      <c r="DS24" s="62">
        <f t="shared" si="17"/>
        <v>448.91221455636918</v>
      </c>
      <c r="DT24" s="62">
        <f ca="1">AVERAGE(OFFSET($DS$3,0,0,'Données projet'!$E$14+1,1))-AVERAGE(OFFSET($H$3,0,0,'Données projet'!$E$14+1,1))</f>
        <v>427.47603885390191</v>
      </c>
      <c r="DU24" s="62">
        <f t="shared" si="44"/>
        <v>350.88664394632116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5.6</v>
      </c>
      <c r="EJ24" s="13">
        <f>IF('Données projet'!$A$192&gt;35,EJ23+EI24-ER23,IF(A24&lt;'Données projet'!$A$192,$EG$205^A24,IF(A24='Données projet'!$A$192,'Données projet'!$B$192,EJ23+EI24-ER23)))</f>
        <v>47.6</v>
      </c>
      <c r="EK24" s="18">
        <f>EJ24*VLOOKUP('Données projet'!$B$15,Paramètres!$A$1:$I$89,3,0)*VLOOKUP('Données projet'!$B$15,Paramètres!$A$1:$I$89,5,0)</f>
        <v>46.038720000000005</v>
      </c>
      <c r="EL24" s="14">
        <f t="shared" si="45"/>
        <v>13.585879560828786</v>
      </c>
      <c r="EM24" s="22">
        <f t="shared" si="19"/>
        <v>103.84617756844348</v>
      </c>
      <c r="EN24" s="62">
        <f t="shared" si="20"/>
        <v>386.17951090177678</v>
      </c>
      <c r="EO24" s="62">
        <f ca="1">AVERAGE(OFFSET($EN$3,0,0,'Données projet'!$E$15+1,1))-AVERAGE(OFFSET($H$3,0,0,'Données projet'!$E$15+1,1))</f>
        <v>455.50822833641354</v>
      </c>
      <c r="EP24" s="62">
        <f t="shared" si="46"/>
        <v>261.14722581688039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10.199999999999999</v>
      </c>
      <c r="FE24" s="13">
        <f>IF('Données projet'!$A$218&gt;35,FE23+FD24-FM23,IF(A24&lt;'Données projet'!$A$218,$FB$205^A24,IF(A24='Données projet'!$A$218,'Données projet'!$B$218,FE23+FD24-FM23)))</f>
        <v>85.199999999999989</v>
      </c>
      <c r="FF24" s="18">
        <f>FE24*VLOOKUP('Données projet'!$B$16,Paramètres!$A$1:$I$89,3,0)*VLOOKUP('Données projet'!$B$16,Paramètres!$A$1:$I$89,5,0)</f>
        <v>74.430719999999994</v>
      </c>
      <c r="FG24" s="14">
        <f t="shared" si="47"/>
        <v>20.76980057385482</v>
      </c>
      <c r="FH24" s="22">
        <f t="shared" si="22"/>
        <v>165.80757333279712</v>
      </c>
      <c r="FI24" s="62">
        <f t="shared" si="23"/>
        <v>448.14090666613043</v>
      </c>
      <c r="FJ24" s="62">
        <f ca="1">AVERAGE(OFFSET($FI$3,0,0,'Données projet'!$E$16+1,1))-AVERAGE(OFFSET($H$3,0,0,'Données projet'!$E$16+1,1))</f>
        <v>369.34989412920129</v>
      </c>
      <c r="FK24" s="62">
        <f t="shared" si="48"/>
        <v>371.26234252426553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8.4</v>
      </c>
      <c r="FZ24" s="13">
        <f>IF('Données projet'!$A$244&gt;35,FZ23+FY24-GH23,IF(A24&lt;'Données projet'!$A$244,$FW$205^A24,IF(A24='Données projet'!$A$244,'Données projet'!$B$244,FZ23+FY24-GH23)))</f>
        <v>139.4</v>
      </c>
      <c r="GA24" s="18">
        <f>FZ24*VLOOKUP('Données projet'!$B$17,Paramètres!$A$1:$I$89,3,0)*VLOOKUP('Données projet'!$B$17,Paramètres!$A$1:$I$89,5,0)</f>
        <v>126.12912000000001</v>
      </c>
      <c r="GB24" s="14">
        <f t="shared" si="49"/>
        <v>33.100345121748241</v>
      </c>
      <c r="GC24" s="22">
        <f t="shared" si="25"/>
        <v>277.32465175371152</v>
      </c>
      <c r="GD24" s="62">
        <f t="shared" si="26"/>
        <v>559.65798508704484</v>
      </c>
      <c r="GE24" s="62">
        <f ca="1">AVERAGE(OFFSET($GD$3,0,0,'Données projet'!$E$17+1,1))-AVERAGE(OFFSET($H$3,0,0,'Données projet'!$E$17+1,1))</f>
        <v>324.4489531703187</v>
      </c>
      <c r="GF24" s="62">
        <f t="shared" si="50"/>
        <v>446.55019360848706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projet'!$B$17,Paramètres!$A$1:$I$89,3,0)*0.475*44/12</f>
        <v>0</v>
      </c>
      <c r="GM24" s="23">
        <f>EXP(-LN(2)/25)*GM23+(1-EXP(-LN(2)/25))/(LN(2)/25)*Calculateur!GH24*Calculateur!GJ24*VLOOKUP('Données projet'!$B$17,Paramètres!$A$1:$I$89,3,0)*0.475*44/12</f>
        <v>0</v>
      </c>
      <c r="GN24" s="23">
        <f>EXP(-LN(2)/2)*GN23+(1-EXP(-LN(2)/2))/(LN(2)/2)*GH24*GK24*VLOOKUP('Données projet'!$B$17,Paramètres!$A$1:$I$89,3,0)*0.475*44/12</f>
        <v>0</v>
      </c>
      <c r="GO24" s="23">
        <f t="shared" si="27"/>
        <v>0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8.4615384615384617</v>
      </c>
      <c r="GU24" s="13">
        <f>IF('Données projet'!$A$270&gt;35,GU23+GT24-HC23,IF(A24&lt;'Données projet'!$A$270,$GR$205^A24,IF(A24='Données projet'!$A$270,'Données projet'!$B$270,GU23+GT24-HC23)))</f>
        <v>75.128205128205138</v>
      </c>
      <c r="GV24" s="18">
        <f>GU24*VLOOKUP('Données projet'!$B$18,Paramètres!$A$1:$I$89,3,0)*VLOOKUP('Données projet'!$B$18,Paramètres!$A$1:$I$89,5,0)</f>
        <v>50.396000000000001</v>
      </c>
      <c r="GW24" s="14">
        <f t="shared" si="51"/>
        <v>14.71598138852033</v>
      </c>
      <c r="GX24" s="22">
        <f t="shared" si="28"/>
        <v>113.40336758500625</v>
      </c>
      <c r="GY24" s="62">
        <f t="shared" si="29"/>
        <v>395.73670091833958</v>
      </c>
      <c r="GZ24" s="62">
        <f ca="1">AVERAGE(OFFSET($GY$3,0,0,'Données projet'!$E$18+1,1))-AVERAGE(OFFSET($H$3,0,0,'Données projet'!$E$18+1,1))</f>
        <v>312.06797204903796</v>
      </c>
      <c r="HA24" s="62">
        <f t="shared" si="52"/>
        <v>258.20189001775151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>
        <f>EXP(-LN(2)/35)*HG23+(1-EXP(-LN(2)/35))/(LN(2)/35)*HC24*HD24*VLOOKUP('Données projet'!$B$18,Paramètres!$A$1:$I$89,3,0)*0.475*44/12</f>
        <v>0</v>
      </c>
      <c r="HH24" s="23">
        <f>EXP(-LN(2)/25)*HH23+(1-EXP(-LN(2)/25))/(LN(2)/25)*Calculateur!HC24*Calculateur!HE24*VLOOKUP('Données projet'!$B$18,Paramètres!$A$1:$I$89,3,0)*0.475*44/12</f>
        <v>0</v>
      </c>
      <c r="HI24" s="23">
        <f>EXP(-LN(2)/2)*HI23+(1-EXP(-LN(2)/2))/(LN(2)/2)*HC24*HF24*VLOOKUP('Données projet'!$B$18,Paramètres!$A$1:$I$89,3,0)*0.475*44/12</f>
        <v>0</v>
      </c>
      <c r="HJ24" s="24">
        <f t="shared" si="30"/>
        <v>0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7.2</v>
      </c>
      <c r="N25" s="14">
        <f>IF('Données projet'!$A$36&gt;35,N24+M25-V24,IF(A25&lt;'Données projet'!$A$36,$K$205^A25,IF(A25='Données projet'!$A$36,'Données projet'!$B$36,N24+M25-V24)))</f>
        <v>81.400000000000006</v>
      </c>
      <c r="O25" s="14">
        <f>N25*VLOOKUP('Données projet'!$B$9,Paramètres!$A$1:$I$89,3,0)*VLOOKUP('Données projet'!$B$9,Paramètres!$A$1:$I$89,5,0)</f>
        <v>73.650720000000007</v>
      </c>
      <c r="P25" s="14">
        <f t="shared" si="33"/>
        <v>20.577360172493922</v>
      </c>
      <c r="Q25" s="22">
        <f t="shared" si="2"/>
        <v>164.11390630042692</v>
      </c>
      <c r="R25" s="62">
        <f t="shared" si="0"/>
        <v>447.66946185598249</v>
      </c>
      <c r="S25" s="62">
        <f ca="1">AVERAGE(OFFSET($R$3,0,0,'Données projet'!$E$9+1,1))-AVERAGE(OFFSET($H$3,0,0,'Données projet'!$E$9+1,1))</f>
        <v>512.84819850818667</v>
      </c>
      <c r="T25" s="62">
        <f t="shared" si="34"/>
        <v>332.61387922152159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14.739999999999998</v>
      </c>
      <c r="AI25" s="14">
        <f>IF('Données projet'!$A$62&gt;35,AI24+AH25-AQ24,IF(A25&lt;'Données projet'!$A$62,$AF$205^A25,IF(A25='Données projet'!$A$62,'Données projet'!$B$62,AI24+AH25-AQ24)))</f>
        <v>96.280000000000015</v>
      </c>
      <c r="AJ25" s="14">
        <f>AI25*VLOOKUP('Données projet'!$B$10,Paramètres!$A$1:$I$89,3,0)*VLOOKUP('Données projet'!$B$10,Paramètres!$A$1:$I$89,5,0)</f>
        <v>70.592496000000011</v>
      </c>
      <c r="AK25" s="14">
        <f t="shared" si="35"/>
        <v>19.82052295498838</v>
      </c>
      <c r="AL25" s="22">
        <f t="shared" si="4"/>
        <v>157.46934134660478</v>
      </c>
      <c r="AM25" s="62">
        <f t="shared" si="5"/>
        <v>441.02489690216032</v>
      </c>
      <c r="AN25" s="62">
        <f ca="1">AVERAGE(OFFSET($AM$3,0,0,'Données projet'!$E$10+1,1))-AVERAGE(OFFSET($H$3,0,0,'Données projet'!$E$10+1,1))</f>
        <v>344.45199703750711</v>
      </c>
      <c r="AO25" s="62">
        <f t="shared" si="36"/>
        <v>376.41441893222185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7.2</v>
      </c>
      <c r="BD25" s="13">
        <f>IF('Données projet'!$A$88&gt;35,BD24+BC25-BL24,IF(A25&lt;'Données projet'!$A$88,$BA$205^A25,IF(A25='Données projet'!$A$88,'Données projet'!$B$88,BD24+BC25-BL24)))</f>
        <v>81.400000000000006</v>
      </c>
      <c r="BE25" s="14">
        <f>BD25*VLOOKUP('Données projet'!$B$11,Paramètres!$A$1:$I$89,3,0)*VLOOKUP('Données projet'!$B$11,Paramètres!$A$1:$I$89,5,0)</f>
        <v>82.539600000000007</v>
      </c>
      <c r="BF25" s="14">
        <f t="shared" si="37"/>
        <v>22.756995627482848</v>
      </c>
      <c r="BG25" s="22">
        <f t="shared" si="7"/>
        <v>183.39157071786599</v>
      </c>
      <c r="BH25" s="62">
        <f t="shared" si="8"/>
        <v>466.94712627342153</v>
      </c>
      <c r="BI25" s="62">
        <f ca="1">AVERAGE(OFFSET($BH$3,0,0,'Données projet'!$E$11+1,1))-AVERAGE(OFFSET($H$3,0,0,'Données projet'!$E$11+1,1))</f>
        <v>569.39473185784823</v>
      </c>
      <c r="BJ25" s="62">
        <f t="shared" si="38"/>
        <v>367.42881145517066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8.8000000000000007</v>
      </c>
      <c r="BY25" s="13">
        <f>IF('Données projet'!$A$114&gt;35,BY24+BX25-CG24,IF(A25&lt;'Données projet'!$A$114,$BV$205^A25,IF(A25='Données projet'!$A$114,'Données projet'!$B$114,BY24+BX25-CG24)))</f>
        <v>49.599999999999994</v>
      </c>
      <c r="BZ25" s="14">
        <f>BY25*VLOOKUP('Données projet'!$B$12,Paramètres!$A$1:$I$89,3,0)*VLOOKUP('Données projet'!$B$12,Paramètres!$A$1:$I$89,5,0)</f>
        <v>42.556799999999996</v>
      </c>
      <c r="CA25" s="14">
        <f t="shared" si="39"/>
        <v>12.673863978067095</v>
      </c>
      <c r="CB25" s="22">
        <f t="shared" si="10"/>
        <v>96.193406428466844</v>
      </c>
      <c r="CC25" s="62">
        <f t="shared" si="11"/>
        <v>379.7489619840224</v>
      </c>
      <c r="CD25" s="62">
        <f ca="1">AVERAGE(OFFSET($CC$3,0,0,'Données projet'!$E$12+1,1))-AVERAGE(OFFSET($H$3,0,0,'Données projet'!$E$12+1,1))</f>
        <v>554.06253050955502</v>
      </c>
      <c r="CE25" s="62">
        <f t="shared" si="40"/>
        <v>269.71949336355789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10.6</v>
      </c>
      <c r="CT25" s="13">
        <f>IF('Données projet'!$A$140&gt;35,CT24+CS25-DB24,IF(A25&lt;'Données projet'!$A$140,$CQ$205^A25,IF(A25='Données projet'!$A$140,'Données projet'!$B$140,CT24+CS25-DB24)))</f>
        <v>106.19999999999997</v>
      </c>
      <c r="CU25" s="18">
        <f>CT25*VLOOKUP('Données projet'!$B$13,Paramètres!$A$1:$I$89,3,0)*VLOOKUP('Données projet'!$B$13,Paramètres!$A$1:$I$89,5,0)</f>
        <v>82.835999999999984</v>
      </c>
      <c r="CV25" s="14">
        <f t="shared" si="41"/>
        <v>22.829188748646001</v>
      </c>
      <c r="CW25" s="22">
        <f t="shared" si="13"/>
        <v>184.03353707055842</v>
      </c>
      <c r="CX25" s="62">
        <f t="shared" si="14"/>
        <v>467.58909262611394</v>
      </c>
      <c r="CY25" s="62">
        <f ca="1">AVERAGE(OFFSET($CX$3,0,0,'Données projet'!$E$13+1,1))-AVERAGE(OFFSET($H$3,0,0,'Données projet'!$E$13+1,1))</f>
        <v>292.21364130214391</v>
      </c>
      <c r="CZ25" s="62">
        <f t="shared" si="42"/>
        <v>283.48738729114024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8.0769230769230802</v>
      </c>
      <c r="DO25" s="13">
        <f>IF('Données projet'!$A$166&gt;35,DO24+DN25-DW24,IF(A25&lt;'Données projet'!$A$166,$DL$205^A25,IF(A25='Données projet'!$A$166,'Données projet'!$B$166,DO24+DN25-DW24)))</f>
        <v>86.666666666666671</v>
      </c>
      <c r="DP25" s="18">
        <f>DO25*VLOOKUP('Données projet'!$B$14,Paramètres!$A$1:$I$89,3,0)*VLOOKUP('Données projet'!$B$14,Paramètres!$A$1:$I$89,5,0)</f>
        <v>82.472000000000008</v>
      </c>
      <c r="DQ25" s="14">
        <f t="shared" si="43"/>
        <v>22.74052630717372</v>
      </c>
      <c r="DR25" s="22">
        <f t="shared" si="16"/>
        <v>183.24514998499424</v>
      </c>
      <c r="DS25" s="62">
        <f t="shared" si="17"/>
        <v>466.80070554054976</v>
      </c>
      <c r="DT25" s="62">
        <f ca="1">AVERAGE(OFFSET($DS$3,0,0,'Données projet'!$E$14+1,1))-AVERAGE(OFFSET($H$3,0,0,'Données projet'!$E$14+1,1))</f>
        <v>427.47603885390191</v>
      </c>
      <c r="DU25" s="62">
        <f t="shared" si="44"/>
        <v>350.88664394632116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5.6</v>
      </c>
      <c r="EJ25" s="13">
        <f>IF('Données projet'!$A$192&gt;35,EJ24+EI25-ER24,IF(A25&lt;'Données projet'!$A$192,$EG$205^A25,IF(A25='Données projet'!$A$192,'Données projet'!$B$192,EJ24+EI25-ER24)))</f>
        <v>53.2</v>
      </c>
      <c r="EK25" s="18">
        <f>EJ25*VLOOKUP('Données projet'!$B$15,Paramètres!$A$1:$I$89,3,0)*VLOOKUP('Données projet'!$B$15,Paramètres!$A$1:$I$89,5,0)</f>
        <v>51.455040000000004</v>
      </c>
      <c r="EL25" s="14">
        <f t="shared" si="45"/>
        <v>14.988900446655085</v>
      </c>
      <c r="EM25" s="22">
        <f t="shared" si="19"/>
        <v>115.72319627792427</v>
      </c>
      <c r="EN25" s="62">
        <f t="shared" si="20"/>
        <v>399.27875183347982</v>
      </c>
      <c r="EO25" s="62">
        <f ca="1">AVERAGE(OFFSET($EN$3,0,0,'Données projet'!$E$15+1,1))-AVERAGE(OFFSET($H$3,0,0,'Données projet'!$E$15+1,1))</f>
        <v>455.50822833641354</v>
      </c>
      <c r="EP25" s="62">
        <f t="shared" si="46"/>
        <v>261.14722581688039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10.199999999999999</v>
      </c>
      <c r="FE25" s="13">
        <f>IF('Données projet'!$A$218&gt;35,FE24+FD25-FM24,IF(A25&lt;'Données projet'!$A$218,$FB$205^A25,IF(A25='Données projet'!$A$218,'Données projet'!$B$218,FE24+FD25-FM24)))</f>
        <v>95.399999999999991</v>
      </c>
      <c r="FF25" s="18">
        <f>FE25*VLOOKUP('Données projet'!$B$16,Paramètres!$A$1:$I$89,3,0)*VLOOKUP('Données projet'!$B$16,Paramètres!$A$1:$I$89,5,0)</f>
        <v>83.341440000000006</v>
      </c>
      <c r="FG25" s="14">
        <f t="shared" si="47"/>
        <v>22.952227742446681</v>
      </c>
      <c r="FH25" s="22">
        <f t="shared" si="22"/>
        <v>185.12813798476131</v>
      </c>
      <c r="FI25" s="62">
        <f t="shared" si="23"/>
        <v>468.68369354031688</v>
      </c>
      <c r="FJ25" s="62">
        <f ca="1">AVERAGE(OFFSET($FI$3,0,0,'Données projet'!$E$16+1,1))-AVERAGE(OFFSET($H$3,0,0,'Données projet'!$E$16+1,1))</f>
        <v>369.34989412920129</v>
      </c>
      <c r="FK25" s="62">
        <f t="shared" si="48"/>
        <v>371.26234252426553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8.4</v>
      </c>
      <c r="FZ25" s="13">
        <f>IF('Données projet'!$A$244&gt;35,FZ24+FY25-GH24,IF(A25&lt;'Données projet'!$A$244,$FW$205^A25,IF(A25='Données projet'!$A$244,'Données projet'!$B$244,FZ24+FY25-GH24)))</f>
        <v>147.80000000000001</v>
      </c>
      <c r="GA25" s="18">
        <f>FZ25*VLOOKUP('Données projet'!$B$17,Paramètres!$A$1:$I$89,3,0)*VLOOKUP('Données projet'!$B$17,Paramètres!$A$1:$I$89,5,0)</f>
        <v>133.72944000000001</v>
      </c>
      <c r="GB25" s="14">
        <f t="shared" si="49"/>
        <v>34.856699711744326</v>
      </c>
      <c r="GC25" s="22">
        <f t="shared" si="25"/>
        <v>293.62085999795471</v>
      </c>
      <c r="GD25" s="62">
        <f t="shared" si="26"/>
        <v>577.1764155535102</v>
      </c>
      <c r="GE25" s="62">
        <f ca="1">AVERAGE(OFFSET($GD$3,0,0,'Données projet'!$E$17+1,1))-AVERAGE(OFFSET($H$3,0,0,'Données projet'!$E$17+1,1))</f>
        <v>324.4489531703187</v>
      </c>
      <c r="GF25" s="62">
        <f t="shared" si="50"/>
        <v>446.55019360848706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projet'!$B$17,Paramètres!$A$1:$I$89,3,0)*0.475*44/12</f>
        <v>0</v>
      </c>
      <c r="GM25" s="23">
        <f>EXP(-LN(2)/25)*GM24+(1-EXP(-LN(2)/25))/(LN(2)/25)*Calculateur!GH25*Calculateur!GJ25*VLOOKUP('Données projet'!$B$17,Paramètres!$A$1:$I$89,3,0)*0.475*44/12</f>
        <v>0</v>
      </c>
      <c r="GN25" s="23">
        <f>EXP(-LN(2)/2)*GN24+(1-EXP(-LN(2)/2))/(LN(2)/2)*GH25*GK25*VLOOKUP('Données projet'!$B$17,Paramètres!$A$1:$I$89,3,0)*0.475*44/12</f>
        <v>0</v>
      </c>
      <c r="GO25" s="23">
        <f t="shared" si="27"/>
        <v>0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8.4615384615384617</v>
      </c>
      <c r="GU25" s="13">
        <f>IF('Données projet'!$A$270&gt;35,GU24+GT25-HC24,IF(A25&lt;'Données projet'!$A$270,$GR$205^A25,IF(A25='Données projet'!$A$270,'Données projet'!$B$270,GU24+GT25-HC24)))</f>
        <v>83.589743589743605</v>
      </c>
      <c r="GV25" s="18">
        <f>GU25*VLOOKUP('Données projet'!$B$18,Paramètres!$A$1:$I$89,3,0)*VLOOKUP('Données projet'!$B$18,Paramètres!$A$1:$I$89,5,0)</f>
        <v>56.07200000000001</v>
      </c>
      <c r="GW25" s="14">
        <f t="shared" si="51"/>
        <v>16.17126790367621</v>
      </c>
      <c r="GX25" s="22">
        <f t="shared" si="28"/>
        <v>125.82369159890273</v>
      </c>
      <c r="GY25" s="62">
        <f t="shared" si="29"/>
        <v>409.37924715445826</v>
      </c>
      <c r="GZ25" s="62">
        <f ca="1">AVERAGE(OFFSET($GY$3,0,0,'Données projet'!$E$18+1,1))-AVERAGE(OFFSET($H$3,0,0,'Données projet'!$E$18+1,1))</f>
        <v>312.06797204903796</v>
      </c>
      <c r="HA25" s="62">
        <f t="shared" si="52"/>
        <v>258.20189001775151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>
        <f>EXP(-LN(2)/35)*HG24+(1-EXP(-LN(2)/35))/(LN(2)/35)*HC25*HD25*VLOOKUP('Données projet'!$B$18,Paramètres!$A$1:$I$89,3,0)*0.475*44/12</f>
        <v>0</v>
      </c>
      <c r="HH25" s="23">
        <f>EXP(-LN(2)/25)*HH24+(1-EXP(-LN(2)/25))/(LN(2)/25)*Calculateur!HC25*Calculateur!HE25*VLOOKUP('Données projet'!$B$18,Paramètres!$A$1:$I$89,3,0)*0.475*44/12</f>
        <v>0</v>
      </c>
      <c r="HI25" s="23">
        <f>EXP(-LN(2)/2)*HI24+(1-EXP(-LN(2)/2))/(LN(2)/2)*HC25*HF25*VLOOKUP('Données projet'!$B$18,Paramètres!$A$1:$I$89,3,0)*0.475*44/12</f>
        <v>0</v>
      </c>
      <c r="HJ25" s="24">
        <f t="shared" si="30"/>
        <v>0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7.2</v>
      </c>
      <c r="N26" s="14">
        <f>IF('Données projet'!$A$36&gt;35,N25+M26-V25,IF(A26&lt;'Données projet'!$A$36,$K$205^A26,IF(A26='Données projet'!$A$36,'Données projet'!$B$36,N25+M26-V25)))</f>
        <v>88.600000000000009</v>
      </c>
      <c r="O26" s="14">
        <f>N26*VLOOKUP('Données projet'!$B$9,Paramètres!$A$1:$I$89,3,0)*VLOOKUP('Données projet'!$B$9,Paramètres!$A$1:$I$89,5,0)</f>
        <v>80.165279999999996</v>
      </c>
      <c r="P26" s="14">
        <f t="shared" si="33"/>
        <v>22.177591092468788</v>
      </c>
      <c r="Q26" s="22">
        <f t="shared" si="2"/>
        <v>178.24716715271646</v>
      </c>
      <c r="R26" s="62">
        <f t="shared" si="0"/>
        <v>463.02494493049426</v>
      </c>
      <c r="S26" s="62">
        <f ca="1">AVERAGE(OFFSET($R$3,0,0,'Données projet'!$E$9+1,1))-AVERAGE(OFFSET($H$3,0,0,'Données projet'!$E$9+1,1))</f>
        <v>512.84819850818667</v>
      </c>
      <c r="T26" s="62">
        <f t="shared" si="34"/>
        <v>332.61387922152159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14.739999999999998</v>
      </c>
      <c r="AI26" s="14">
        <f>IF('Données projet'!$A$62&gt;35,AI25+AH26-AQ25,IF(A26&lt;'Données projet'!$A$62,$AF$205^A26,IF(A26='Données projet'!$A$62,'Données projet'!$B$62,AI25+AH26-AQ25)))</f>
        <v>111.02000000000001</v>
      </c>
      <c r="AJ26" s="14">
        <f>AI26*VLOOKUP('Données projet'!$B$10,Paramètres!$A$1:$I$89,3,0)*VLOOKUP('Données projet'!$B$10,Paramètres!$A$1:$I$89,5,0)</f>
        <v>81.399864000000008</v>
      </c>
      <c r="AK26" s="14">
        <f t="shared" si="35"/>
        <v>22.479111830915393</v>
      </c>
      <c r="AL26" s="22">
        <f t="shared" si="4"/>
        <v>180.92254957217764</v>
      </c>
      <c r="AM26" s="62">
        <f t="shared" si="5"/>
        <v>465.70032734995539</v>
      </c>
      <c r="AN26" s="62">
        <f ca="1">AVERAGE(OFFSET($AM$3,0,0,'Données projet'!$E$10+1,1))-AVERAGE(OFFSET($H$3,0,0,'Données projet'!$E$10+1,1))</f>
        <v>344.45199703750711</v>
      </c>
      <c r="AO26" s="62">
        <f t="shared" si="36"/>
        <v>376.41441893222185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7.2</v>
      </c>
      <c r="BD26" s="13">
        <f>IF('Données projet'!$A$88&gt;35,BD25+BC26-BL25,IF(A26&lt;'Données projet'!$A$88,$BA$205^A26,IF(A26='Données projet'!$A$88,'Données projet'!$B$88,BD25+BC26-BL25)))</f>
        <v>88.600000000000009</v>
      </c>
      <c r="BE26" s="14">
        <f>BD26*VLOOKUP('Données projet'!$B$11,Paramètres!$A$1:$I$89,3,0)*VLOOKUP('Données projet'!$B$11,Paramètres!$A$1:$I$89,5,0)</f>
        <v>89.840400000000017</v>
      </c>
      <c r="BF26" s="14">
        <f t="shared" si="37"/>
        <v>24.526729341796202</v>
      </c>
      <c r="BG26" s="22">
        <f t="shared" si="7"/>
        <v>199.18941693696172</v>
      </c>
      <c r="BH26" s="62">
        <f t="shared" si="8"/>
        <v>483.96719471473949</v>
      </c>
      <c r="BI26" s="62">
        <f ca="1">AVERAGE(OFFSET($BH$3,0,0,'Données projet'!$E$11+1,1))-AVERAGE(OFFSET($H$3,0,0,'Données projet'!$E$11+1,1))</f>
        <v>569.39473185784823</v>
      </c>
      <c r="BJ26" s="62">
        <f t="shared" si="38"/>
        <v>367.42881145517066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8.8000000000000007</v>
      </c>
      <c r="BY26" s="13">
        <f>IF('Données projet'!$A$114&gt;35,BY25+BX26-CG25,IF(A26&lt;'Données projet'!$A$114,$BV$205^A26,IF(A26='Données projet'!$A$114,'Données projet'!$B$114,BY25+BX26-CG25)))</f>
        <v>58.399999999999991</v>
      </c>
      <c r="BZ26" s="14">
        <f>BY26*VLOOKUP('Données projet'!$B$12,Paramètres!$A$1:$I$89,3,0)*VLOOKUP('Données projet'!$B$12,Paramètres!$A$1:$I$89,5,0)</f>
        <v>50.107199999999999</v>
      </c>
      <c r="CA26" s="14">
        <f t="shared" si="39"/>
        <v>14.641441079141797</v>
      </c>
      <c r="CB26" s="22">
        <f t="shared" si="10"/>
        <v>112.77054987950528</v>
      </c>
      <c r="CC26" s="62">
        <f t="shared" si="11"/>
        <v>397.54832765728304</v>
      </c>
      <c r="CD26" s="62">
        <f ca="1">AVERAGE(OFFSET($CC$3,0,0,'Données projet'!$E$12+1,1))-AVERAGE(OFFSET($H$3,0,0,'Données projet'!$E$12+1,1))</f>
        <v>554.06253050955502</v>
      </c>
      <c r="CE26" s="62">
        <f t="shared" si="40"/>
        <v>269.71949336355789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10.6</v>
      </c>
      <c r="CT26" s="13">
        <f>IF('Données projet'!$A$140&gt;35,CT25+CS26-DB25,IF(A26&lt;'Données projet'!$A$140,$CQ$205^A26,IF(A26='Données projet'!$A$140,'Données projet'!$B$140,CT25+CS26-DB25)))</f>
        <v>116.79999999999997</v>
      </c>
      <c r="CU26" s="18">
        <f>CT26*VLOOKUP('Données projet'!$B$13,Paramètres!$A$1:$I$89,3,0)*VLOOKUP('Données projet'!$B$13,Paramètres!$A$1:$I$89,5,0)</f>
        <v>91.103999999999985</v>
      </c>
      <c r="CV26" s="14">
        <f t="shared" si="41"/>
        <v>24.831293984707862</v>
      </c>
      <c r="CW26" s="22">
        <f t="shared" si="13"/>
        <v>201.92063702336614</v>
      </c>
      <c r="CX26" s="62">
        <f t="shared" si="14"/>
        <v>486.69841480114394</v>
      </c>
      <c r="CY26" s="62">
        <f ca="1">AVERAGE(OFFSET($CX$3,0,0,'Données projet'!$E$13+1,1))-AVERAGE(OFFSET($H$3,0,0,'Données projet'!$E$13+1,1))</f>
        <v>292.21364130214391</v>
      </c>
      <c r="CZ26" s="62">
        <f t="shared" si="42"/>
        <v>283.48738729114024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8.0769230769230802</v>
      </c>
      <c r="DO26" s="13">
        <f>IF('Données projet'!$A$166&gt;35,DO25+DN26-DW25,IF(A26&lt;'Données projet'!$A$166,$DL$205^A26,IF(A26='Données projet'!$A$166,'Données projet'!$B$166,DO25+DN26-DW25)))</f>
        <v>94.743589743589752</v>
      </c>
      <c r="DP26" s="18">
        <f>DO26*VLOOKUP('Données projet'!$B$14,Paramètres!$A$1:$I$89,3,0)*VLOOKUP('Données projet'!$B$14,Paramètres!$A$1:$I$89,5,0)</f>
        <v>90.158000000000015</v>
      </c>
      <c r="DQ26" s="14">
        <f t="shared" si="43"/>
        <v>24.603326898422615</v>
      </c>
      <c r="DR26" s="22">
        <f t="shared" si="16"/>
        <v>199.87597768141939</v>
      </c>
      <c r="DS26" s="62">
        <f t="shared" si="17"/>
        <v>484.65375545919716</v>
      </c>
      <c r="DT26" s="62">
        <f ca="1">AVERAGE(OFFSET($DS$3,0,0,'Données projet'!$E$14+1,1))-AVERAGE(OFFSET($H$3,0,0,'Données projet'!$E$14+1,1))</f>
        <v>427.47603885390191</v>
      </c>
      <c r="DU26" s="62">
        <f t="shared" si="44"/>
        <v>350.88664394632116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5.6</v>
      </c>
      <c r="EJ26" s="13">
        <f>IF('Données projet'!$A$192&gt;35,EJ25+EI26-ER25,IF(A26&lt;'Données projet'!$A$192,$EG$205^A26,IF(A26='Données projet'!$A$192,'Données projet'!$B$192,EJ25+EI26-ER25)))</f>
        <v>58.800000000000004</v>
      </c>
      <c r="EK26" s="18">
        <f>EJ26*VLOOKUP('Données projet'!$B$15,Paramètres!$A$1:$I$89,3,0)*VLOOKUP('Données projet'!$B$15,Paramètres!$A$1:$I$89,5,0)</f>
        <v>56.87136000000001</v>
      </c>
      <c r="EL26" s="14">
        <f t="shared" si="45"/>
        <v>16.374802181791551</v>
      </c>
      <c r="EM26" s="22">
        <f t="shared" si="19"/>
        <v>127.57039913328697</v>
      </c>
      <c r="EN26" s="62">
        <f t="shared" si="20"/>
        <v>412.34817691106474</v>
      </c>
      <c r="EO26" s="62">
        <f ca="1">AVERAGE(OFFSET($EN$3,0,0,'Données projet'!$E$15+1,1))-AVERAGE(OFFSET($H$3,0,0,'Données projet'!$E$15+1,1))</f>
        <v>455.50822833641354</v>
      </c>
      <c r="EP26" s="62">
        <f t="shared" si="46"/>
        <v>261.14722581688039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10.199999999999999</v>
      </c>
      <c r="FE26" s="13">
        <f>IF('Données projet'!$A$218&gt;35,FE25+FD26-FM25,IF(A26&lt;'Données projet'!$A$218,$FB$205^A26,IF(A26='Données projet'!$A$218,'Données projet'!$B$218,FE25+FD26-FM25)))</f>
        <v>105.6</v>
      </c>
      <c r="FF26" s="18">
        <f>FE26*VLOOKUP('Données projet'!$B$16,Paramètres!$A$1:$I$89,3,0)*VLOOKUP('Données projet'!$B$16,Paramètres!$A$1:$I$89,5,0)</f>
        <v>92.252160000000003</v>
      </c>
      <c r="FG26" s="14">
        <f t="shared" si="47"/>
        <v>25.107607958259987</v>
      </c>
      <c r="FH26" s="22">
        <f t="shared" si="22"/>
        <v>204.40159586063612</v>
      </c>
      <c r="FI26" s="62">
        <f t="shared" si="23"/>
        <v>489.17937363841389</v>
      </c>
      <c r="FJ26" s="62">
        <f ca="1">AVERAGE(OFFSET($FI$3,0,0,'Données projet'!$E$16+1,1))-AVERAGE(OFFSET($H$3,0,0,'Données projet'!$E$16+1,1))</f>
        <v>369.34989412920129</v>
      </c>
      <c r="FK26" s="62">
        <f t="shared" si="48"/>
        <v>371.26234252426553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8.4</v>
      </c>
      <c r="FZ26" s="13">
        <f>IF('Données projet'!$A$244&gt;35,FZ25+FY26-GH25,IF(A26&lt;'Données projet'!$A$244,$FW$205^A26,IF(A26='Données projet'!$A$244,'Données projet'!$B$244,FZ25+FY26-GH25)))</f>
        <v>156.20000000000002</v>
      </c>
      <c r="GA26" s="18">
        <f>FZ26*VLOOKUP('Données projet'!$B$17,Paramètres!$A$1:$I$89,3,0)*VLOOKUP('Données projet'!$B$17,Paramètres!$A$1:$I$89,5,0)</f>
        <v>141.32976000000002</v>
      </c>
      <c r="GB26" s="14">
        <f t="shared" si="49"/>
        <v>36.601467030988793</v>
      </c>
      <c r="GC26" s="22">
        <f t="shared" si="25"/>
        <v>309.89688707897216</v>
      </c>
      <c r="GD26" s="62">
        <f t="shared" si="26"/>
        <v>594.67466485674993</v>
      </c>
      <c r="GE26" s="62">
        <f ca="1">AVERAGE(OFFSET($GD$3,0,0,'Données projet'!$E$17+1,1))-AVERAGE(OFFSET($H$3,0,0,'Données projet'!$E$17+1,1))</f>
        <v>324.4489531703187</v>
      </c>
      <c r="GF26" s="62">
        <f t="shared" si="50"/>
        <v>446.55019360848706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projet'!$B$17,Paramètres!$A$1:$I$89,3,0)*0.475*44/12</f>
        <v>0</v>
      </c>
      <c r="GM26" s="23">
        <f>EXP(-LN(2)/25)*GM25+(1-EXP(-LN(2)/25))/(LN(2)/25)*Calculateur!GH26*Calculateur!GJ26*VLOOKUP('Données projet'!$B$17,Paramètres!$A$1:$I$89,3,0)*0.475*44/12</f>
        <v>0</v>
      </c>
      <c r="GN26" s="23">
        <f>EXP(-LN(2)/2)*GN25+(1-EXP(-LN(2)/2))/(LN(2)/2)*GH26*GK26*VLOOKUP('Données projet'!$B$17,Paramètres!$A$1:$I$89,3,0)*0.475*44/12</f>
        <v>0</v>
      </c>
      <c r="GO26" s="23">
        <f t="shared" si="27"/>
        <v>0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8.4615384615384617</v>
      </c>
      <c r="GU26" s="13">
        <f>IF('Données projet'!$A$270&gt;35,GU25+GT26-HC25,IF(A26&lt;'Données projet'!$A$270,$GR$205^A26,IF(A26='Données projet'!$A$270,'Données projet'!$B$270,GU25+GT26-HC25)))</f>
        <v>92.051282051282072</v>
      </c>
      <c r="GV26" s="18">
        <f>GU26*VLOOKUP('Données projet'!$B$18,Paramètres!$A$1:$I$89,3,0)*VLOOKUP('Données projet'!$B$18,Paramètres!$A$1:$I$89,5,0)</f>
        <v>61.748000000000012</v>
      </c>
      <c r="GW26" s="14">
        <f t="shared" si="51"/>
        <v>17.609476905605174</v>
      </c>
      <c r="GX26" s="22">
        <f t="shared" si="28"/>
        <v>138.21427227726235</v>
      </c>
      <c r="GY26" s="62">
        <f t="shared" si="29"/>
        <v>422.99205005504012</v>
      </c>
      <c r="GZ26" s="62">
        <f ca="1">AVERAGE(OFFSET($GY$3,0,0,'Données projet'!$E$18+1,1))-AVERAGE(OFFSET($H$3,0,0,'Données projet'!$E$18+1,1))</f>
        <v>312.06797204903796</v>
      </c>
      <c r="HA26" s="62">
        <f t="shared" si="52"/>
        <v>258.20189001775151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>
        <f>EXP(-LN(2)/35)*HG25+(1-EXP(-LN(2)/35))/(LN(2)/35)*HC26*HD26*VLOOKUP('Données projet'!$B$18,Paramètres!$A$1:$I$89,3,0)*0.475*44/12</f>
        <v>0</v>
      </c>
      <c r="HH26" s="23">
        <f>EXP(-LN(2)/25)*HH25+(1-EXP(-LN(2)/25))/(LN(2)/25)*Calculateur!HC26*Calculateur!HE26*VLOOKUP('Données projet'!$B$18,Paramètres!$A$1:$I$89,3,0)*0.475*44/12</f>
        <v>0</v>
      </c>
      <c r="HI26" s="23">
        <f>EXP(-LN(2)/2)*HI25+(1-EXP(-LN(2)/2))/(LN(2)/2)*HC26*HF26*VLOOKUP('Données projet'!$B$18,Paramètres!$A$1:$I$89,3,0)*0.475*44/12</f>
        <v>0</v>
      </c>
      <c r="HJ26" s="24">
        <f t="shared" si="30"/>
        <v>0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7.2</v>
      </c>
      <c r="N27" s="14">
        <f>IF('Données projet'!$A$36&gt;35,N26+M27-V26,IF(A27&lt;'Données projet'!$A$36,$K$205^A27,IF(A27='Données projet'!$A$36,'Données projet'!$B$36,N26+M27-V26)))</f>
        <v>95.800000000000011</v>
      </c>
      <c r="O27" s="14">
        <f>N27*VLOOKUP('Données projet'!$B$9,Paramètres!$A$1:$I$89,3,0)*VLOOKUP('Données projet'!$B$9,Paramètres!$A$1:$I$89,5,0)</f>
        <v>86.679839999999999</v>
      </c>
      <c r="P27" s="14">
        <f t="shared" si="33"/>
        <v>23.762739053789723</v>
      </c>
      <c r="Q27" s="22">
        <f t="shared" si="2"/>
        <v>192.35415851868379</v>
      </c>
      <c r="R27" s="62">
        <f t="shared" si="0"/>
        <v>478.35415851868379</v>
      </c>
      <c r="S27" s="62">
        <f ca="1">AVERAGE(OFFSET($R$3,0,0,'Données projet'!$E$9+1,1))-AVERAGE(OFFSET($H$3,0,0,'Données projet'!$E$9+1,1))</f>
        <v>512.84819850818667</v>
      </c>
      <c r="T27" s="62">
        <f t="shared" si="34"/>
        <v>332.61387922152159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14.739999999999998</v>
      </c>
      <c r="AI27" s="14">
        <f>IF('Données projet'!$A$62&gt;35,AI26+AH27-AQ26,IF(A27&lt;'Données projet'!$A$62,$AF$205^A27,IF(A27='Données projet'!$A$62,'Données projet'!$B$62,AI26+AH27-AQ26)))</f>
        <v>125.76</v>
      </c>
      <c r="AJ27" s="14">
        <f>AI27*VLOOKUP('Données projet'!$B$10,Paramètres!$A$1:$I$89,3,0)*VLOOKUP('Données projet'!$B$10,Paramètres!$A$1:$I$89,5,0)</f>
        <v>92.207232000000005</v>
      </c>
      <c r="AK27" s="14">
        <f t="shared" si="35"/>
        <v>25.096803228719384</v>
      </c>
      <c r="AL27" s="22">
        <f t="shared" si="4"/>
        <v>204.3045280233529</v>
      </c>
      <c r="AM27" s="62">
        <f t="shared" si="5"/>
        <v>490.30452802335287</v>
      </c>
      <c r="AN27" s="62">
        <f ca="1">AVERAGE(OFFSET($AM$3,0,0,'Données projet'!$E$10+1,1))-AVERAGE(OFFSET($H$3,0,0,'Données projet'!$E$10+1,1))</f>
        <v>344.45199703750711</v>
      </c>
      <c r="AO27" s="62">
        <f t="shared" si="36"/>
        <v>376.41441893222185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7.2</v>
      </c>
      <c r="BD27" s="13">
        <f>IF('Données projet'!$A$88&gt;35,BD26+BC27-BL26,IF(A27&lt;'Données projet'!$A$88,$BA$205^A27,IF(A27='Données projet'!$A$88,'Données projet'!$B$88,BD26+BC27-BL26)))</f>
        <v>95.800000000000011</v>
      </c>
      <c r="BE27" s="14">
        <f>BD27*VLOOKUP('Données projet'!$B$11,Paramètres!$A$1:$I$89,3,0)*VLOOKUP('Données projet'!$B$11,Paramètres!$A$1:$I$89,5,0)</f>
        <v>97.141200000000026</v>
      </c>
      <c r="BF27" s="14">
        <f t="shared" si="37"/>
        <v>26.279782450761708</v>
      </c>
      <c r="BG27" s="22">
        <f t="shared" si="7"/>
        <v>214.95821110174333</v>
      </c>
      <c r="BH27" s="62">
        <f t="shared" si="8"/>
        <v>500.95821110174336</v>
      </c>
      <c r="BI27" s="62">
        <f ca="1">AVERAGE(OFFSET($BH$3,0,0,'Données projet'!$E$11+1,1))-AVERAGE(OFFSET($H$3,0,0,'Données projet'!$E$11+1,1))</f>
        <v>569.39473185784823</v>
      </c>
      <c r="BJ27" s="62">
        <f t="shared" si="38"/>
        <v>367.42881145517066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8.8000000000000007</v>
      </c>
      <c r="BY27" s="13">
        <f>IF('Données projet'!$A$114&gt;35,BY26+BX27-CG26,IF(A27&lt;'Données projet'!$A$114,$BV$205^A27,IF(A27='Données projet'!$A$114,'Données projet'!$B$114,BY26+BX27-CG26)))</f>
        <v>67.199999999999989</v>
      </c>
      <c r="BZ27" s="14">
        <f>BY27*VLOOKUP('Données projet'!$B$12,Paramètres!$A$1:$I$89,3,0)*VLOOKUP('Données projet'!$B$12,Paramètres!$A$1:$I$89,5,0)</f>
        <v>57.657599999999995</v>
      </c>
      <c r="CA27" s="14">
        <f t="shared" si="39"/>
        <v>16.574671209026025</v>
      </c>
      <c r="CB27" s="22">
        <f t="shared" si="10"/>
        <v>129.28787235572034</v>
      </c>
      <c r="CC27" s="62">
        <f t="shared" si="11"/>
        <v>415.28787235572031</v>
      </c>
      <c r="CD27" s="62">
        <f ca="1">AVERAGE(OFFSET($CC$3,0,0,'Données projet'!$E$12+1,1))-AVERAGE(OFFSET($H$3,0,0,'Données projet'!$E$12+1,1))</f>
        <v>554.06253050955502</v>
      </c>
      <c r="CE27" s="62">
        <f t="shared" si="40"/>
        <v>269.71949336355789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10.6</v>
      </c>
      <c r="CT27" s="13">
        <f>IF('Données projet'!$A$140&gt;35,CT26+CS27-DB26,IF(A27&lt;'Données projet'!$A$140,$CQ$205^A27,IF(A27='Données projet'!$A$140,'Données projet'!$B$140,CT26+CS27-DB26)))</f>
        <v>127.39999999999996</v>
      </c>
      <c r="CU27" s="18">
        <f>CT27*VLOOKUP('Données projet'!$B$13,Paramètres!$A$1:$I$89,3,0)*VLOOKUP('Données projet'!$B$13,Paramètres!$A$1:$I$89,5,0)</f>
        <v>99.371999999999971</v>
      </c>
      <c r="CV27" s="14">
        <f t="shared" si="41"/>
        <v>26.812330397327713</v>
      </c>
      <c r="CW27" s="22">
        <f t="shared" si="13"/>
        <v>219.77104210867901</v>
      </c>
      <c r="CX27" s="62">
        <f t="shared" si="14"/>
        <v>505.77104210867901</v>
      </c>
      <c r="CY27" s="62">
        <f ca="1">AVERAGE(OFFSET($CX$3,0,0,'Données projet'!$E$13+1,1))-AVERAGE(OFFSET($H$3,0,0,'Données projet'!$E$13+1,1))</f>
        <v>292.21364130214391</v>
      </c>
      <c r="CZ27" s="62">
        <f t="shared" si="42"/>
        <v>283.48738729114024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8.0769230769230802</v>
      </c>
      <c r="DO27" s="13">
        <f>IF('Données projet'!$A$166&gt;35,DO26+DN27-DW26,IF(A27&lt;'Données projet'!$A$166,$DL$205^A27,IF(A27='Données projet'!$A$166,'Données projet'!$B$166,DO26+DN27-DW26)))</f>
        <v>102.82051282051283</v>
      </c>
      <c r="DP27" s="18">
        <f>DO27*VLOOKUP('Données projet'!$B$14,Paramètres!$A$1:$I$89,3,0)*VLOOKUP('Données projet'!$B$14,Paramètres!$A$1:$I$89,5,0)</f>
        <v>97.844000000000008</v>
      </c>
      <c r="DQ27" s="14">
        <f t="shared" si="43"/>
        <v>26.447710540122245</v>
      </c>
      <c r="DR27" s="22">
        <f t="shared" si="16"/>
        <v>216.47472919071291</v>
      </c>
      <c r="DS27" s="62">
        <f t="shared" si="17"/>
        <v>502.47472919071288</v>
      </c>
      <c r="DT27" s="62">
        <f ca="1">AVERAGE(OFFSET($DS$3,0,0,'Données projet'!$E$14+1,1))-AVERAGE(OFFSET($H$3,0,0,'Données projet'!$E$14+1,1))</f>
        <v>427.47603885390191</v>
      </c>
      <c r="DU27" s="62">
        <f t="shared" si="44"/>
        <v>350.88664394632116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5.6</v>
      </c>
      <c r="EJ27" s="13">
        <f>IF('Données projet'!$A$192&gt;35,EJ26+EI27-ER26,IF(A27&lt;'Données projet'!$A$192,$EG$205^A27,IF(A27='Données projet'!$A$192,'Données projet'!$B$192,EJ26+EI27-ER26)))</f>
        <v>64.400000000000006</v>
      </c>
      <c r="EK27" s="18">
        <f>EJ27*VLOOKUP('Données projet'!$B$15,Paramètres!$A$1:$I$89,3,0)*VLOOKUP('Données projet'!$B$15,Paramètres!$A$1:$I$89,5,0)</f>
        <v>62.287680000000009</v>
      </c>
      <c r="EL27" s="14">
        <f t="shared" si="45"/>
        <v>17.745400652396182</v>
      </c>
      <c r="EM27" s="22">
        <f t="shared" si="19"/>
        <v>139.39094880292336</v>
      </c>
      <c r="EN27" s="62">
        <f t="shared" si="20"/>
        <v>425.39094880292339</v>
      </c>
      <c r="EO27" s="62">
        <f ca="1">AVERAGE(OFFSET($EN$3,0,0,'Données projet'!$E$15+1,1))-AVERAGE(OFFSET($H$3,0,0,'Données projet'!$E$15+1,1))</f>
        <v>455.50822833641354</v>
      </c>
      <c r="EP27" s="62">
        <f t="shared" si="46"/>
        <v>261.14722581688039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10.199999999999999</v>
      </c>
      <c r="FE27" s="13">
        <f>IF('Données projet'!$A$218&gt;35,FE26+FD27-FM26,IF(A27&lt;'Données projet'!$A$218,$FB$205^A27,IF(A27='Données projet'!$A$218,'Données projet'!$B$218,FE26+FD27-FM26)))</f>
        <v>115.8</v>
      </c>
      <c r="FF27" s="18">
        <f>FE27*VLOOKUP('Données projet'!$B$16,Paramètres!$A$1:$I$89,3,0)*VLOOKUP('Données projet'!$B$16,Paramètres!$A$1:$I$89,5,0)</f>
        <v>101.16288</v>
      </c>
      <c r="FG27" s="14">
        <f t="shared" si="47"/>
        <v>27.238850979377386</v>
      </c>
      <c r="FH27" s="22">
        <f t="shared" si="22"/>
        <v>223.63301478908227</v>
      </c>
      <c r="FI27" s="62">
        <f t="shared" si="23"/>
        <v>509.63301478908227</v>
      </c>
      <c r="FJ27" s="62">
        <f ca="1">AVERAGE(OFFSET($FI$3,0,0,'Données projet'!$E$16+1,1))-AVERAGE(OFFSET($H$3,0,0,'Données projet'!$E$16+1,1))</f>
        <v>369.34989412920129</v>
      </c>
      <c r="FK27" s="62">
        <f t="shared" si="48"/>
        <v>371.26234252426553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8.4</v>
      </c>
      <c r="FZ27" s="13">
        <f>IF('Données projet'!$A$244&gt;35,FZ26+FY27-GH26,IF(A27&lt;'Données projet'!$A$244,$FW$205^A27,IF(A27='Données projet'!$A$244,'Données projet'!$B$244,FZ26+FY27-GH26)))</f>
        <v>164.60000000000002</v>
      </c>
      <c r="GA27" s="18">
        <f>FZ27*VLOOKUP('Données projet'!$B$17,Paramètres!$A$1:$I$89,3,0)*VLOOKUP('Données projet'!$B$17,Paramètres!$A$1:$I$89,5,0)</f>
        <v>148.93008</v>
      </c>
      <c r="GB27" s="14">
        <f t="shared" si="49"/>
        <v>38.335341256889777</v>
      </c>
      <c r="GC27" s="22">
        <f t="shared" si="25"/>
        <v>326.1539420224164</v>
      </c>
      <c r="GD27" s="62">
        <f t="shared" si="26"/>
        <v>612.15394202241646</v>
      </c>
      <c r="GE27" s="62">
        <f ca="1">AVERAGE(OFFSET($GD$3,0,0,'Données projet'!$E$17+1,1))-AVERAGE(OFFSET($H$3,0,0,'Données projet'!$E$17+1,1))</f>
        <v>324.4489531703187</v>
      </c>
      <c r="GF27" s="62">
        <f t="shared" si="50"/>
        <v>446.55019360848706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projet'!$B$17,Paramètres!$A$1:$I$89,3,0)*0.475*44/12</f>
        <v>0</v>
      </c>
      <c r="GM27" s="23">
        <f>EXP(-LN(2)/25)*GM26+(1-EXP(-LN(2)/25))/(LN(2)/25)*Calculateur!GH27*Calculateur!GJ27*VLOOKUP('Données projet'!$B$17,Paramètres!$A$1:$I$89,3,0)*0.475*44/12</f>
        <v>0</v>
      </c>
      <c r="GN27" s="23">
        <f>EXP(-LN(2)/2)*GN26+(1-EXP(-LN(2)/2))/(LN(2)/2)*GH27*GK27*VLOOKUP('Données projet'!$B$17,Paramètres!$A$1:$I$89,3,0)*0.475*44/12</f>
        <v>0</v>
      </c>
      <c r="GO27" s="23">
        <f t="shared" si="27"/>
        <v>0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8.4615384615384617</v>
      </c>
      <c r="GU27" s="13">
        <f>IF('Données projet'!$A$270&gt;35,GU26+GT27-HC26,IF(A27&lt;'Données projet'!$A$270,$GR$205^A27,IF(A27='Données projet'!$A$270,'Données projet'!$B$270,GU26+GT27-HC26)))</f>
        <v>100.51282051282054</v>
      </c>
      <c r="GV27" s="18">
        <f>GU27*VLOOKUP('Données projet'!$B$18,Paramètres!$A$1:$I$89,3,0)*VLOOKUP('Données projet'!$B$18,Paramètres!$A$1:$I$89,5,0)</f>
        <v>67.424000000000021</v>
      </c>
      <c r="GW27" s="14">
        <f t="shared" si="51"/>
        <v>19.032356736143235</v>
      </c>
      <c r="GX27" s="22">
        <f t="shared" si="28"/>
        <v>150.57815464878283</v>
      </c>
      <c r="GY27" s="62">
        <f t="shared" si="29"/>
        <v>436.57815464878286</v>
      </c>
      <c r="GZ27" s="62">
        <f ca="1">AVERAGE(OFFSET($GY$3,0,0,'Données projet'!$E$18+1,1))-AVERAGE(OFFSET($H$3,0,0,'Données projet'!$E$18+1,1))</f>
        <v>312.06797204903796</v>
      </c>
      <c r="HA27" s="62">
        <f t="shared" si="52"/>
        <v>258.20189001775151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>
        <f>EXP(-LN(2)/35)*HG26+(1-EXP(-LN(2)/35))/(LN(2)/35)*HC27*HD27*VLOOKUP('Données projet'!$B$18,Paramètres!$A$1:$I$89,3,0)*0.475*44/12</f>
        <v>0</v>
      </c>
      <c r="HH27" s="23">
        <f>EXP(-LN(2)/25)*HH26+(1-EXP(-LN(2)/25))/(LN(2)/25)*Calculateur!HC27*Calculateur!HE27*VLOOKUP('Données projet'!$B$18,Paramètres!$A$1:$I$89,3,0)*0.475*44/12</f>
        <v>0</v>
      </c>
      <c r="HI27" s="23">
        <f>EXP(-LN(2)/2)*HI26+(1-EXP(-LN(2)/2))/(LN(2)/2)*HC27*HF27*VLOOKUP('Données projet'!$B$18,Paramètres!$A$1:$I$89,3,0)*0.475*44/12</f>
        <v>0</v>
      </c>
      <c r="HJ27" s="24">
        <f t="shared" si="30"/>
        <v>0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103</v>
      </c>
      <c r="L28" s="13">
        <f>VLOOKUP(A28,'Données projet'!$A$35:$I$55,9,0)</f>
        <v>7.2</v>
      </c>
      <c r="M28" s="13">
        <f t="array" ref="M28">INDEX(L:L,MIN(IF(ISNUMBER(L28:L224),ROW(L28:L224),"")))</f>
        <v>7.2</v>
      </c>
      <c r="N28" s="14">
        <f>IF('Données projet'!$A$36&gt;35,N27+M28-V27,IF(A28&lt;'Données projet'!$A$36,$K$205^A28,IF(A28='Données projet'!$A$36,'Données projet'!$B$36,N27+M28-V27)))</f>
        <v>103.00000000000001</v>
      </c>
      <c r="O28" s="14">
        <f>N28*VLOOKUP('Données projet'!$B$9,Paramètres!$A$1:$I$89,3,0)*VLOOKUP('Données projet'!$B$9,Paramètres!$A$1:$I$89,5,0)</f>
        <v>93.194400000000002</v>
      </c>
      <c r="P28" s="14">
        <f t="shared" si="33"/>
        <v>25.33406653691528</v>
      </c>
      <c r="Q28" s="22">
        <f t="shared" si="2"/>
        <v>206.43707921846078</v>
      </c>
      <c r="R28" s="62">
        <f t="shared" si="0"/>
        <v>493.65930144068301</v>
      </c>
      <c r="S28" s="62">
        <f ca="1">AVERAGE(OFFSET($R$3,0,0,'Données projet'!$E$9+1,1))-AVERAGE(OFFSET($H$3,0,0,'Données projet'!$E$9+1,1))</f>
        <v>512.84819850818667</v>
      </c>
      <c r="T28" s="62">
        <f t="shared" si="34"/>
        <v>332.61387922152159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140.5</v>
      </c>
      <c r="AG28" s="13">
        <f>VLOOKUP(A28,'Données projet'!$A$61:$I$81,9,0)</f>
        <v>14.739999999999998</v>
      </c>
      <c r="AH28" s="13">
        <f t="array" ref="AH28">INDEX(AG:AG,MIN(IF(ISNUMBER(AG28:AG224),ROW(AG28:AG224),"")))</f>
        <v>14.739999999999998</v>
      </c>
      <c r="AI28" s="14">
        <f>IF('Données projet'!$A$62&gt;35,AI27+AH28-AQ27,IF(A28&lt;'Données projet'!$A$62,$AF$205^A28,IF(A28='Données projet'!$A$62,'Données projet'!$B$62,AI27+AH28-AQ27)))</f>
        <v>140.5</v>
      </c>
      <c r="AJ28" s="14">
        <f>AI28*VLOOKUP('Données projet'!$B$10,Paramètres!$A$1:$I$89,3,0)*VLOOKUP('Données projet'!$B$10,Paramètres!$A$1:$I$89,5,0)</f>
        <v>103.0146</v>
      </c>
      <c r="AK28" s="14">
        <f t="shared" si="35"/>
        <v>27.678938285581953</v>
      </c>
      <c r="AL28" s="22">
        <f t="shared" si="4"/>
        <v>227.62457918072189</v>
      </c>
      <c r="AM28" s="62">
        <f t="shared" si="5"/>
        <v>514.84680140294415</v>
      </c>
      <c r="AN28" s="62">
        <f ca="1">AVERAGE(OFFSET($AM$3,0,0,'Données projet'!$E$10+1,1))-AVERAGE(OFFSET($H$3,0,0,'Données projet'!$E$10+1,1))</f>
        <v>344.45199703750711</v>
      </c>
      <c r="AO28" s="62">
        <f t="shared" si="36"/>
        <v>376.41441893222185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103</v>
      </c>
      <c r="BB28" s="13">
        <f>VLOOKUP(A28,'Données projet'!$A$87:$I$107,9,0)</f>
        <v>7.2</v>
      </c>
      <c r="BC28" s="13">
        <f t="array" ref="BC28">INDEX(BB:BB,MIN(IF(ISNUMBER(BB28:BB224),ROW(BB28:BB224),"")))</f>
        <v>7.2</v>
      </c>
      <c r="BD28" s="13">
        <f>IF('Données projet'!$A$88&gt;35,BD27+BC28-BL27,IF(A28&lt;'Données projet'!$A$88,$BA$205^A28,IF(A28='Données projet'!$A$88,'Données projet'!$B$88,BD27+BC28-BL27)))</f>
        <v>103.00000000000001</v>
      </c>
      <c r="BE28" s="14">
        <f>BD28*VLOOKUP('Données projet'!$B$11,Paramètres!$A$1:$I$89,3,0)*VLOOKUP('Données projet'!$B$11,Paramètres!$A$1:$I$89,5,0)</f>
        <v>104.44200000000004</v>
      </c>
      <c r="BF28" s="14">
        <f t="shared" si="37"/>
        <v>28.01755116176631</v>
      </c>
      <c r="BG28" s="22">
        <f t="shared" si="7"/>
        <v>230.70038494007636</v>
      </c>
      <c r="BH28" s="62">
        <f t="shared" si="8"/>
        <v>517.92260716229862</v>
      </c>
      <c r="BI28" s="62">
        <f ca="1">AVERAGE(OFFSET($BH$3,0,0,'Données projet'!$E$11+1,1))-AVERAGE(OFFSET($H$3,0,0,'Données projet'!$E$11+1,1))</f>
        <v>569.39473185784823</v>
      </c>
      <c r="BJ28" s="62">
        <f t="shared" si="38"/>
        <v>367.42881145517066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76</v>
      </c>
      <c r="BW28" s="13">
        <f>VLOOKUP(A28,'Données projet'!$A$113:$I$133,9,0)</f>
        <v>8.8000000000000007</v>
      </c>
      <c r="BX28" s="13">
        <f t="array" ref="BX28">INDEX(BW:BW,MIN(IF(ISNUMBER(BW28:BW224),ROW(BW28:BW224),"")))</f>
        <v>8.8000000000000007</v>
      </c>
      <c r="BY28" s="13">
        <f>IF('Données projet'!$A$114&gt;35,BY27+BX28-CG27,IF(A28&lt;'Données projet'!$A$114,$BV$205^A28,IF(A28='Données projet'!$A$114,'Données projet'!$B$114,BY27+BX28-CG27)))</f>
        <v>75.999999999999986</v>
      </c>
      <c r="BZ28" s="14">
        <f>BY28*VLOOKUP('Données projet'!$B$12,Paramètres!$A$1:$I$89,3,0)*VLOOKUP('Données projet'!$B$12,Paramètres!$A$1:$I$89,5,0)</f>
        <v>65.207999999999998</v>
      </c>
      <c r="CA28" s="14">
        <f t="shared" si="39"/>
        <v>18.478568429485204</v>
      </c>
      <c r="CB28" s="22">
        <f t="shared" si="10"/>
        <v>145.75410668135339</v>
      </c>
      <c r="CC28" s="62">
        <f t="shared" si="11"/>
        <v>432.97632890357562</v>
      </c>
      <c r="CD28" s="62">
        <f ca="1">AVERAGE(OFFSET($CC$3,0,0,'Données projet'!$E$12+1,1))-AVERAGE(OFFSET($H$3,0,0,'Données projet'!$E$12+1,1))</f>
        <v>554.06253050955502</v>
      </c>
      <c r="CE28" s="62">
        <f t="shared" si="40"/>
        <v>269.71949336355789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138</v>
      </c>
      <c r="CR28" s="13">
        <f>VLOOKUP(A28,'Données projet'!$A$139:$I$159,9,0)</f>
        <v>10.6</v>
      </c>
      <c r="CS28" s="13">
        <f t="array" ref="CS28">INDEX(CR:CR,MIN(IF(ISNUMBER(CR28:CR224),ROW(CR28:CR224),"")))</f>
        <v>10.6</v>
      </c>
      <c r="CT28" s="13">
        <f>IF('Données projet'!$A$140&gt;35,CT27+CS28-DB27,IF(A28&lt;'Données projet'!$A$140,$CQ$205^A28,IF(A28='Données projet'!$A$140,'Données projet'!$B$140,CT27+CS28-DB27)))</f>
        <v>137.99999999999997</v>
      </c>
      <c r="CU28" s="18">
        <f>CT28*VLOOKUP('Données projet'!$B$13,Paramètres!$A$1:$I$89,3,0)*VLOOKUP('Données projet'!$B$13,Paramètres!$A$1:$I$89,5,0)</f>
        <v>107.63999999999999</v>
      </c>
      <c r="CV28" s="14">
        <f t="shared" si="41"/>
        <v>28.774250263353583</v>
      </c>
      <c r="CW28" s="22">
        <f t="shared" si="13"/>
        <v>237.58815254200749</v>
      </c>
      <c r="CX28" s="62">
        <f t="shared" si="14"/>
        <v>524.81037476422966</v>
      </c>
      <c r="CY28" s="62">
        <f ca="1">AVERAGE(OFFSET($CX$3,0,0,'Données projet'!$E$13+1,1))-AVERAGE(OFFSET($H$3,0,0,'Données projet'!$E$13+1,1))</f>
        <v>292.21364130214391</v>
      </c>
      <c r="CZ28" s="62">
        <f t="shared" si="42"/>
        <v>283.48738729114024</v>
      </c>
      <c r="DA28" s="16">
        <f>IF(ISNA(VLOOKUP(A28,'Données projet'!$A$139:$I$159,3,0)),0,VLOOKUP(A28,'Données projet'!$A$139:$I$159,3,0))</f>
        <v>2</v>
      </c>
      <c r="DB28" s="16">
        <f>IF(ISNA(VLOOKUP(A28,'Données projet'!$A$139:$I$159,4,0)),0,VLOOKUP(A28,'Données projet'!$A$139:$I$159,4,0))</f>
        <v>52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110.8974358974359</v>
      </c>
      <c r="DM28" s="13">
        <f>VLOOKUP(A28,'Données projet'!$A$165:$I$185,9,0)</f>
        <v>8.0769230769230802</v>
      </c>
      <c r="DN28" s="13">
        <f t="array" ref="DN28">INDEX(DM:DM,MIN(IF(ISNUMBER(DM28:DM224),ROW(DM28:DM224),"")))</f>
        <v>8.0769230769230802</v>
      </c>
      <c r="DO28" s="13">
        <f>IF('Données projet'!$A$166&gt;35,DO27+DN28-DW27,IF(A28&lt;'Données projet'!$A$166,$DL$205^A28,IF(A28='Données projet'!$A$166,'Données projet'!$B$166,DO27+DN28-DW27)))</f>
        <v>110.89743589743591</v>
      </c>
      <c r="DP28" s="18">
        <f>DO28*VLOOKUP('Données projet'!$B$14,Paramètres!$A$1:$I$89,3,0)*VLOOKUP('Données projet'!$B$14,Paramètres!$A$1:$I$89,5,0)</f>
        <v>105.53</v>
      </c>
      <c r="DQ28" s="14">
        <f t="shared" si="43"/>
        <v>28.275288433064166</v>
      </c>
      <c r="DR28" s="22">
        <f t="shared" si="16"/>
        <v>233.04421068758674</v>
      </c>
      <c r="DS28" s="62">
        <f t="shared" si="17"/>
        <v>520.26643290980894</v>
      </c>
      <c r="DT28" s="62">
        <f ca="1">AVERAGE(OFFSET($DS$3,0,0,'Données projet'!$E$14+1,1))-AVERAGE(OFFSET($H$3,0,0,'Données projet'!$E$14+1,1))</f>
        <v>427.47603885390191</v>
      </c>
      <c r="DU28" s="62">
        <f t="shared" si="44"/>
        <v>350.88664394632116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70</v>
      </c>
      <c r="EH28" s="13">
        <f>VLOOKUP(A28,'Données projet'!$A$191:$I$211,9,0)</f>
        <v>5.6</v>
      </c>
      <c r="EI28" s="13">
        <f t="array" ref="EI28">INDEX(EH:EH,MIN(IF(ISNUMBER(EH28:EH224),ROW(EH28:EH224),"")))</f>
        <v>5.6</v>
      </c>
      <c r="EJ28" s="13">
        <f>IF('Données projet'!$A$192&gt;35,EJ27+EI28-ER27,IF(A28&lt;'Données projet'!$A$192,$EG$205^A28,IF(A28='Données projet'!$A$192,'Données projet'!$B$192,EJ27+EI28-ER27)))</f>
        <v>70</v>
      </c>
      <c r="EK28" s="18">
        <f>EJ28*VLOOKUP('Données projet'!$B$15,Paramètres!$A$1:$I$89,3,0)*VLOOKUP('Données projet'!$B$15,Paramètres!$A$1:$I$89,5,0)</f>
        <v>67.703999999999994</v>
      </c>
      <c r="EL28" s="14">
        <f t="shared" si="45"/>
        <v>19.102177882771514</v>
      </c>
      <c r="EM28" s="22">
        <f t="shared" si="19"/>
        <v>151.18742647916039</v>
      </c>
      <c r="EN28" s="62">
        <f t="shared" si="20"/>
        <v>438.40964870138259</v>
      </c>
      <c r="EO28" s="62">
        <f ca="1">AVERAGE(OFFSET($EN$3,0,0,'Données projet'!$E$15+1,1))-AVERAGE(OFFSET($H$3,0,0,'Données projet'!$E$15+1,1))</f>
        <v>455.50822833641354</v>
      </c>
      <c r="EP28" s="62">
        <f t="shared" si="46"/>
        <v>261.14722581688039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>
        <f>VLOOKUP(A28,'Données projet'!$A$217:$I$237,2,0)</f>
        <v>126</v>
      </c>
      <c r="FC28" s="13">
        <f>VLOOKUP(A28,'Données projet'!$A$217:$I$237,9,0)</f>
        <v>10.199999999999999</v>
      </c>
      <c r="FD28" s="13">
        <f t="array" ref="FD28">INDEX(FC:FC,MIN(IF(ISNUMBER(FC28:FC224),ROW(FC28:FC224),"")))</f>
        <v>10.199999999999999</v>
      </c>
      <c r="FE28" s="13">
        <f>IF('Données projet'!$A$218&gt;35,FE27+FD28-FM27,IF(A28&lt;'Données projet'!$A$218,$FB$205^A28,IF(A28='Données projet'!$A$218,'Données projet'!$B$218,FE27+FD28-FM27)))</f>
        <v>126</v>
      </c>
      <c r="FF28" s="18">
        <f>FE28*VLOOKUP('Données projet'!$B$16,Paramètres!$A$1:$I$89,3,0)*VLOOKUP('Données projet'!$B$16,Paramètres!$A$1:$I$89,5,0)</f>
        <v>110.07360000000001</v>
      </c>
      <c r="FG28" s="14">
        <f t="shared" si="47"/>
        <v>29.348324631518828</v>
      </c>
      <c r="FH28" s="22">
        <f t="shared" si="22"/>
        <v>242.8265187332286</v>
      </c>
      <c r="FI28" s="62">
        <f t="shared" si="23"/>
        <v>530.04874095545085</v>
      </c>
      <c r="FJ28" s="62">
        <f ca="1">AVERAGE(OFFSET($FI$3,0,0,'Données projet'!$E$16+1,1))-AVERAGE(OFFSET($H$3,0,0,'Données projet'!$E$16+1,1))</f>
        <v>369.34989412920129</v>
      </c>
      <c r="FK28" s="62">
        <f t="shared" si="48"/>
        <v>371.26234252426553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>
        <f>VLOOKUP(A28,'Données projet'!$A$243:$I$263,2,0)</f>
        <v>173</v>
      </c>
      <c r="FX28" s="13">
        <f>VLOOKUP(A28,'Données projet'!$A$243:$I$263,9,0)</f>
        <v>8.4</v>
      </c>
      <c r="FY28" s="13">
        <f t="array" ref="FY28">INDEX(FX:FX,MIN(IF(ISNUMBER(FX28:FX224),ROW(FX28:FX224),"")))</f>
        <v>8.4</v>
      </c>
      <c r="FZ28" s="13">
        <f>IF('Données projet'!$A$244&gt;35,FZ27+FY28-GH27,IF(A28&lt;'Données projet'!$A$244,$FW$205^A28,IF(A28='Données projet'!$A$244,'Données projet'!$B$244,FZ27+FY28-GH27)))</f>
        <v>173.00000000000003</v>
      </c>
      <c r="GA28" s="18">
        <f>FZ28*VLOOKUP('Données projet'!$B$17,Paramètres!$A$1:$I$89,3,0)*VLOOKUP('Données projet'!$B$17,Paramètres!$A$1:$I$89,5,0)</f>
        <v>156.53040000000001</v>
      </c>
      <c r="GB28" s="14">
        <f t="shared" si="49"/>
        <v>40.058941713182037</v>
      </c>
      <c r="GC28" s="22">
        <f t="shared" si="25"/>
        <v>342.39310348379212</v>
      </c>
      <c r="GD28" s="62">
        <f t="shared" si="26"/>
        <v>629.61532570601435</v>
      </c>
      <c r="GE28" s="62">
        <f ca="1">AVERAGE(OFFSET($GD$3,0,0,'Données projet'!$E$17+1,1))-AVERAGE(OFFSET($H$3,0,0,'Données projet'!$E$17+1,1))</f>
        <v>324.4489531703187</v>
      </c>
      <c r="GF28" s="62">
        <f t="shared" si="50"/>
        <v>446.55019360848706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projet'!$B$17,Paramètres!$A$1:$I$89,3,0)*0.475*44/12</f>
        <v>0</v>
      </c>
      <c r="GM28" s="23">
        <f>EXP(-LN(2)/25)*GM27+(1-EXP(-LN(2)/25))/(LN(2)/25)*Calculateur!GH28*Calculateur!GJ28*VLOOKUP('Données projet'!$B$17,Paramètres!$A$1:$I$89,3,0)*0.475*44/12</f>
        <v>0</v>
      </c>
      <c r="GN28" s="23">
        <f>EXP(-LN(2)/2)*GN27+(1-EXP(-LN(2)/2))/(LN(2)/2)*GH28*GK28*VLOOKUP('Données projet'!$B$17,Paramètres!$A$1:$I$89,3,0)*0.475*44/12</f>
        <v>0</v>
      </c>
      <c r="GO28" s="23">
        <f t="shared" si="27"/>
        <v>0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>
        <f>VLOOKUP(A28,'Données projet'!$A$269:$I$289,2,0)</f>
        <v>108.97435897435896</v>
      </c>
      <c r="GS28" s="13">
        <f>VLOOKUP(A28,'Données projet'!$A$269:$I$289,9,0)</f>
        <v>8.4615384615384617</v>
      </c>
      <c r="GT28" s="13">
        <f t="array" ref="GT28">INDEX(GS:GS,MIN(IF(ISNUMBER(GS28:GS224),ROW(GS28:GS224),"")))</f>
        <v>8.4615384615384617</v>
      </c>
      <c r="GU28" s="13">
        <f>IF('Données projet'!$A$270&gt;35,GU27+GT28-HC27,IF(A28&lt;'Données projet'!$A$270,$GR$205^A28,IF(A28='Données projet'!$A$270,'Données projet'!$B$270,GU27+GT28-HC27)))</f>
        <v>108.97435897435901</v>
      </c>
      <c r="GV28" s="18">
        <f>GU28*VLOOKUP('Données projet'!$B$18,Paramètres!$A$1:$I$89,3,0)*VLOOKUP('Données projet'!$B$18,Paramètres!$A$1:$I$89,5,0)</f>
        <v>73.100000000000023</v>
      </c>
      <c r="GW28" s="14">
        <f t="shared" si="51"/>
        <v>20.44134457781275</v>
      </c>
      <c r="GX28" s="22">
        <f t="shared" si="28"/>
        <v>162.91784180635725</v>
      </c>
      <c r="GY28" s="62">
        <f t="shared" si="29"/>
        <v>450.14006402857945</v>
      </c>
      <c r="GZ28" s="62">
        <f ca="1">AVERAGE(OFFSET($GY$3,0,0,'Données projet'!$E$18+1,1))-AVERAGE(OFFSET($H$3,0,0,'Données projet'!$E$18+1,1))</f>
        <v>312.06797204903796</v>
      </c>
      <c r="HA28" s="62">
        <f t="shared" si="52"/>
        <v>258.20189001775151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>
        <f>EXP(-LN(2)/35)*HG27+(1-EXP(-LN(2)/35))/(LN(2)/35)*HC28*HD28*VLOOKUP('Données projet'!$B$18,Paramètres!$A$1:$I$89,3,0)*0.475*44/12</f>
        <v>0</v>
      </c>
      <c r="HH28" s="23">
        <f>EXP(-LN(2)/25)*HH27+(1-EXP(-LN(2)/25))/(LN(2)/25)*Calculateur!HC28*Calculateur!HE28*VLOOKUP('Données projet'!$B$18,Paramètres!$A$1:$I$89,3,0)*0.475*44/12</f>
        <v>0</v>
      </c>
      <c r="HI28" s="23">
        <f>EXP(-LN(2)/2)*HI27+(1-EXP(-LN(2)/2))/(LN(2)/2)*HC28*HF28*VLOOKUP('Données projet'!$B$18,Paramètres!$A$1:$I$89,3,0)*0.475*44/12</f>
        <v>0</v>
      </c>
      <c r="HJ28" s="24">
        <f t="shared" si="30"/>
        <v>0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112.20000000000002</v>
      </c>
      <c r="O29" s="14">
        <f>N29*VLOOKUP('Données projet'!$B$9,Paramètres!$A$1:$I$89,3,0)*VLOOKUP('Données projet'!$B$9,Paramètres!$A$1:$I$89,5,0)</f>
        <v>101.51856000000002</v>
      </c>
      <c r="P29" s="14">
        <f t="shared" si="33"/>
        <v>27.323455582096614</v>
      </c>
      <c r="Q29" s="22">
        <f t="shared" si="2"/>
        <v>224.39984380548495</v>
      </c>
      <c r="R29" s="62">
        <f t="shared" si="0"/>
        <v>512.84428824992938</v>
      </c>
      <c r="S29" s="62">
        <f ca="1">AVERAGE(OFFSET($R$3,0,0,'Données projet'!$E$9+1,1))-AVERAGE(OFFSET($H$3,0,0,'Données projet'!$E$9+1,1))</f>
        <v>512.84819850818667</v>
      </c>
      <c r="T29" s="62">
        <f t="shared" si="34"/>
        <v>332.61387922152159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14.260000000000002</v>
      </c>
      <c r="AI29" s="14">
        <f>IF('Données projet'!$A$62&gt;35,AI28+AH29-AQ28,IF(A29&lt;'Données projet'!$A$62,$AF$205^A29,IF(A29='Données projet'!$A$62,'Données projet'!$B$62,AI28+AH29-AQ28)))</f>
        <v>154.76</v>
      </c>
      <c r="AJ29" s="14">
        <f>AI29*VLOOKUP('Données projet'!$B$10,Paramètres!$A$1:$I$89,3,0)*VLOOKUP('Données projet'!$B$10,Paramètres!$A$1:$I$89,5,0)</f>
        <v>113.47003199999999</v>
      </c>
      <c r="AK29" s="14">
        <f t="shared" si="35"/>
        <v>30.147067487856493</v>
      </c>
      <c r="AL29" s="22">
        <f t="shared" si="4"/>
        <v>250.13311494134999</v>
      </c>
      <c r="AM29" s="62">
        <f t="shared" si="5"/>
        <v>538.57755938579442</v>
      </c>
      <c r="AN29" s="62">
        <f ca="1">AVERAGE(OFFSET($AM$3,0,0,'Données projet'!$E$10+1,1))-AVERAGE(OFFSET($H$3,0,0,'Données projet'!$E$10+1,1))</f>
        <v>344.45199703750711</v>
      </c>
      <c r="AO29" s="62">
        <f t="shared" si="36"/>
        <v>376.41441893222185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9.1999999999999993</v>
      </c>
      <c r="BD29" s="13">
        <f>IF('Données projet'!$A$88&gt;35,BD28+BC29-BL28,IF(A29&lt;'Données projet'!$A$88,$BA$205^A29,IF(A29='Données projet'!$A$88,'Données projet'!$B$88,BD28+BC29-BL28)))</f>
        <v>112.20000000000002</v>
      </c>
      <c r="BE29" s="14">
        <f>BD29*VLOOKUP('Données projet'!$B$11,Paramètres!$A$1:$I$89,3,0)*VLOOKUP('Données projet'!$B$11,Paramètres!$A$1:$I$89,5,0)</f>
        <v>113.77080000000001</v>
      </c>
      <c r="BF29" s="14">
        <f t="shared" si="37"/>
        <v>30.217664170580228</v>
      </c>
      <c r="BG29" s="22">
        <f t="shared" si="7"/>
        <v>250.77990843042721</v>
      </c>
      <c r="BH29" s="62">
        <f t="shared" si="8"/>
        <v>539.22435287487167</v>
      </c>
      <c r="BI29" s="62">
        <f ca="1">AVERAGE(OFFSET($BH$3,0,0,'Données projet'!$E$11+1,1))-AVERAGE(OFFSET($H$3,0,0,'Données projet'!$E$11+1,1))</f>
        <v>569.39473185784823</v>
      </c>
      <c r="BJ29" s="62">
        <f t="shared" si="38"/>
        <v>367.42881145517066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9.4</v>
      </c>
      <c r="BY29" s="13">
        <f>IF('Données projet'!$A$114&gt;35,BY28+BX29-CG28,IF(A29&lt;'Données projet'!$A$114,$BV$205^A29,IF(A29='Données projet'!$A$114,'Données projet'!$B$114,BY28+BX29-CG28)))</f>
        <v>85.399999999999991</v>
      </c>
      <c r="BZ29" s="14">
        <f>BY29*VLOOKUP('Données projet'!$B$12,Paramètres!$A$1:$I$89,3,0)*VLOOKUP('Données projet'!$B$12,Paramètres!$A$1:$I$89,5,0)</f>
        <v>73.273200000000003</v>
      </c>
      <c r="CA29" s="14">
        <f t="shared" si="39"/>
        <v>20.484133942460197</v>
      </c>
      <c r="CB29" s="22">
        <f t="shared" si="10"/>
        <v>163.29402328311821</v>
      </c>
      <c r="CC29" s="62">
        <f t="shared" si="11"/>
        <v>451.73846772756269</v>
      </c>
      <c r="CD29" s="62">
        <f ca="1">AVERAGE(OFFSET($CC$3,0,0,'Données projet'!$E$12+1,1))-AVERAGE(OFFSET($H$3,0,0,'Données projet'!$E$12+1,1))</f>
        <v>554.06253050955502</v>
      </c>
      <c r="CE29" s="62">
        <f t="shared" si="40"/>
        <v>269.71949336355789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11.5</v>
      </c>
      <c r="CT29" s="13">
        <f>IF('Données projet'!$A$140&gt;35,CT28+CS29-DB28,IF(A29&lt;'Données projet'!$A$140,$CQ$205^A29,IF(A29='Données projet'!$A$140,'Données projet'!$B$140,CT28+CS29-DB28)))</f>
        <v>97.499999999999972</v>
      </c>
      <c r="CU29" s="18">
        <f>CT29*VLOOKUP('Données projet'!$B$13,Paramètres!$A$1:$I$89,3,0)*VLOOKUP('Données projet'!$B$13,Paramètres!$A$1:$I$89,5,0)</f>
        <v>76.049999999999983</v>
      </c>
      <c r="CV29" s="14">
        <f t="shared" si="41"/>
        <v>21.168560890749262</v>
      </c>
      <c r="CW29" s="22">
        <f t="shared" si="13"/>
        <v>169.32232688472158</v>
      </c>
      <c r="CX29" s="62">
        <f t="shared" si="14"/>
        <v>457.76677132916603</v>
      </c>
      <c r="CY29" s="62">
        <f ca="1">AVERAGE(OFFSET($CX$3,0,0,'Données projet'!$E$13+1,1))-AVERAGE(OFFSET($H$3,0,0,'Données projet'!$E$13+1,1))</f>
        <v>292.21364130214391</v>
      </c>
      <c r="CZ29" s="62">
        <f t="shared" si="42"/>
        <v>283.48738729114024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7.9487179487179471</v>
      </c>
      <c r="DO29" s="13">
        <f>IF('Données projet'!$A$166&gt;35,DO28+DN29-DW28,IF(A29&lt;'Données projet'!$A$166,$DL$205^A29,IF(A29='Données projet'!$A$166,'Données projet'!$B$166,DO28+DN29-DW28)))</f>
        <v>118.84615384615385</v>
      </c>
      <c r="DP29" s="18">
        <f>DO29*VLOOKUP('Données projet'!$B$14,Paramètres!$A$1:$I$89,3,0)*VLOOKUP('Données projet'!$B$14,Paramètres!$A$1:$I$89,5,0)</f>
        <v>113.09400000000001</v>
      </c>
      <c r="DQ29" s="14">
        <f t="shared" si="43"/>
        <v>30.058774082813706</v>
      </c>
      <c r="DR29" s="22">
        <f t="shared" si="16"/>
        <v>249.32441486090056</v>
      </c>
      <c r="DS29" s="62">
        <f t="shared" si="17"/>
        <v>537.76885930534502</v>
      </c>
      <c r="DT29" s="62">
        <f ca="1">AVERAGE(OFFSET($DS$3,0,0,'Données projet'!$E$14+1,1))-AVERAGE(OFFSET($H$3,0,0,'Données projet'!$E$14+1,1))</f>
        <v>427.47603885390191</v>
      </c>
      <c r="DU29" s="62">
        <f t="shared" si="44"/>
        <v>350.88664394632116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7</v>
      </c>
      <c r="EJ29" s="13">
        <f>IF('Données projet'!$A$192&gt;35,EJ28+EI29-ER28,IF(A29&lt;'Données projet'!$A$192,$EG$205^A29,IF(A29='Données projet'!$A$192,'Données projet'!$B$192,EJ28+EI29-ER28)))</f>
        <v>77</v>
      </c>
      <c r="EK29" s="18">
        <f>EJ29*VLOOKUP('Données projet'!$B$15,Paramètres!$A$1:$I$89,3,0)*VLOOKUP('Données projet'!$B$15,Paramètres!$A$1:$I$89,5,0)</f>
        <v>74.474400000000003</v>
      </c>
      <c r="EL29" s="14">
        <f t="shared" si="45"/>
        <v>20.780570274034375</v>
      </c>
      <c r="EM29" s="22">
        <f t="shared" si="19"/>
        <v>165.90240656060988</v>
      </c>
      <c r="EN29" s="62">
        <f t="shared" si="20"/>
        <v>454.3468510050543</v>
      </c>
      <c r="EO29" s="62">
        <f ca="1">AVERAGE(OFFSET($EN$3,0,0,'Données projet'!$E$15+1,1))-AVERAGE(OFFSET($H$3,0,0,'Données projet'!$E$15+1,1))</f>
        <v>455.50822833641354</v>
      </c>
      <c r="EP29" s="62">
        <f t="shared" si="46"/>
        <v>261.14722581688039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9.8000000000000007</v>
      </c>
      <c r="FE29" s="13">
        <f>IF('Données projet'!$A$218&gt;35,FE28+FD29-FM28,IF(A29&lt;'Données projet'!$A$218,$FB$205^A29,IF(A29='Données projet'!$A$218,'Données projet'!$B$218,FE28+FD29-FM28)))</f>
        <v>135.80000000000001</v>
      </c>
      <c r="FF29" s="18">
        <f>FE29*VLOOKUP('Données projet'!$B$16,Paramètres!$A$1:$I$89,3,0)*VLOOKUP('Données projet'!$B$16,Paramètres!$A$1:$I$89,5,0)</f>
        <v>118.63488000000002</v>
      </c>
      <c r="FG29" s="14">
        <f t="shared" si="47"/>
        <v>31.356395772245804</v>
      </c>
      <c r="FH29" s="22">
        <f t="shared" si="22"/>
        <v>261.23480530332813</v>
      </c>
      <c r="FI29" s="62">
        <f t="shared" si="23"/>
        <v>549.67924974777259</v>
      </c>
      <c r="FJ29" s="62">
        <f ca="1">AVERAGE(OFFSET($FI$3,0,0,'Données projet'!$E$16+1,1))-AVERAGE(OFFSET($H$3,0,0,'Données projet'!$E$16+1,1))</f>
        <v>369.34989412920129</v>
      </c>
      <c r="FK29" s="62">
        <f t="shared" si="48"/>
        <v>371.26234252426553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7</v>
      </c>
      <c r="FZ29" s="13">
        <f>IF('Données projet'!$A$244&gt;35,FZ28+FY29-GH28,IF(A29&lt;'Données projet'!$A$244,$FW$205^A29,IF(A29='Données projet'!$A$244,'Données projet'!$B$244,FZ28+FY29-GH28)))</f>
        <v>180.00000000000003</v>
      </c>
      <c r="GA29" s="18">
        <f>FZ29*VLOOKUP('Données projet'!$B$17,Paramètres!$A$1:$I$89,3,0)*VLOOKUP('Données projet'!$B$17,Paramètres!$A$1:$I$89,5,0)</f>
        <v>162.864</v>
      </c>
      <c r="GB29" s="14">
        <f t="shared" si="49"/>
        <v>41.487830069509123</v>
      </c>
      <c r="GC29" s="22">
        <f t="shared" si="25"/>
        <v>355.91277070439509</v>
      </c>
      <c r="GD29" s="62">
        <f t="shared" si="26"/>
        <v>644.35721514883949</v>
      </c>
      <c r="GE29" s="62">
        <f ca="1">AVERAGE(OFFSET($GD$3,0,0,'Données projet'!$E$17+1,1))-AVERAGE(OFFSET($H$3,0,0,'Données projet'!$E$17+1,1))</f>
        <v>324.4489531703187</v>
      </c>
      <c r="GF29" s="62">
        <f t="shared" si="50"/>
        <v>446.55019360848706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projet'!$B$17,Paramètres!$A$1:$I$89,3,0)*0.475*44/12</f>
        <v>0</v>
      </c>
      <c r="GM29" s="23">
        <f>EXP(-LN(2)/25)*GM28+(1-EXP(-LN(2)/25))/(LN(2)/25)*Calculateur!GH29*Calculateur!GJ29*VLOOKUP('Données projet'!$B$17,Paramètres!$A$1:$I$89,3,0)*0.475*44/12</f>
        <v>0</v>
      </c>
      <c r="GN29" s="23">
        <f>EXP(-LN(2)/2)*GN28+(1-EXP(-LN(2)/2))/(LN(2)/2)*GH29*GK29*VLOOKUP('Données projet'!$B$17,Paramètres!$A$1:$I$89,3,0)*0.475*44/12</f>
        <v>0</v>
      </c>
      <c r="GO29" s="23">
        <f t="shared" si="27"/>
        <v>0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8.0769230769230802</v>
      </c>
      <c r="GU29" s="13">
        <f>IF('Données projet'!$A$270&gt;35,GU28+GT29-HC28,IF(A29&lt;'Données projet'!$A$270,$GR$205^A29,IF(A29='Données projet'!$A$270,'Données projet'!$B$270,GU28+GT29-HC28)))</f>
        <v>117.05128205128209</v>
      </c>
      <c r="GV29" s="18">
        <f>GU29*VLOOKUP('Données projet'!$B$18,Paramètres!$A$1:$I$89,3,0)*VLOOKUP('Données projet'!$B$18,Paramètres!$A$1:$I$89,5,0)</f>
        <v>78.518000000000029</v>
      </c>
      <c r="GW29" s="14">
        <f t="shared" si="51"/>
        <v>21.774434027551713</v>
      </c>
      <c r="GX29" s="22">
        <f t="shared" si="28"/>
        <v>174.6759892646526</v>
      </c>
      <c r="GY29" s="62">
        <f t="shared" si="29"/>
        <v>463.12043370909703</v>
      </c>
      <c r="GZ29" s="62">
        <f ca="1">AVERAGE(OFFSET($GY$3,0,0,'Données projet'!$E$18+1,1))-AVERAGE(OFFSET($H$3,0,0,'Données projet'!$E$18+1,1))</f>
        <v>312.06797204903796</v>
      </c>
      <c r="HA29" s="62">
        <f t="shared" si="52"/>
        <v>258.20189001775151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>
        <f>EXP(-LN(2)/35)*HG28+(1-EXP(-LN(2)/35))/(LN(2)/35)*HC29*HD29*VLOOKUP('Données projet'!$B$18,Paramètres!$A$1:$I$89,3,0)*0.475*44/12</f>
        <v>0</v>
      </c>
      <c r="HH29" s="23">
        <f>EXP(-LN(2)/25)*HH28+(1-EXP(-LN(2)/25))/(LN(2)/25)*Calculateur!HC29*Calculateur!HE29*VLOOKUP('Données projet'!$B$18,Paramètres!$A$1:$I$89,3,0)*0.475*44/12</f>
        <v>0</v>
      </c>
      <c r="HI29" s="23">
        <f>EXP(-LN(2)/2)*HI28+(1-EXP(-LN(2)/2))/(LN(2)/2)*HC29*HF29*VLOOKUP('Données projet'!$B$18,Paramètres!$A$1:$I$89,3,0)*0.475*44/12</f>
        <v>0</v>
      </c>
      <c r="HJ29" s="24">
        <f t="shared" si="30"/>
        <v>0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121.40000000000002</v>
      </c>
      <c r="O30" s="14">
        <f>N30*VLOOKUP('Données projet'!$B$9,Paramètres!$A$1:$I$89,3,0)*VLOOKUP('Données projet'!$B$9,Paramètres!$A$1:$I$89,5,0)</f>
        <v>109.84272000000001</v>
      </c>
      <c r="P30" s="14">
        <f t="shared" si="33"/>
        <v>29.293925092514947</v>
      </c>
      <c r="Q30" s="22">
        <f t="shared" si="2"/>
        <v>242.32965686946352</v>
      </c>
      <c r="R30" s="62">
        <f t="shared" si="0"/>
        <v>531.99632353613015</v>
      </c>
      <c r="S30" s="62">
        <f ca="1">AVERAGE(OFFSET($R$3,0,0,'Données projet'!$E$9+1,1))-AVERAGE(OFFSET($H$3,0,0,'Données projet'!$E$9+1,1))</f>
        <v>512.84819850818667</v>
      </c>
      <c r="T30" s="62">
        <f t="shared" si="34"/>
        <v>332.61387922152159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14.260000000000002</v>
      </c>
      <c r="AI30" s="14">
        <f>IF('Données projet'!$A$62&gt;35,AI29+AH30-AQ29,IF(A30&lt;'Données projet'!$A$62,$AF$205^A30,IF(A30='Données projet'!$A$62,'Données projet'!$B$62,AI29+AH30-AQ29)))</f>
        <v>169.01999999999998</v>
      </c>
      <c r="AJ30" s="14">
        <f>AI30*VLOOKUP('Données projet'!$B$10,Paramètres!$A$1:$I$89,3,0)*VLOOKUP('Données projet'!$B$10,Paramètres!$A$1:$I$89,5,0)</f>
        <v>123.92546399999999</v>
      </c>
      <c r="AK30" s="14">
        <f t="shared" si="35"/>
        <v>32.58882709773377</v>
      </c>
      <c r="AL30" s="22">
        <f t="shared" si="4"/>
        <v>272.59572366188627</v>
      </c>
      <c r="AM30" s="62">
        <f t="shared" si="5"/>
        <v>562.26239032855301</v>
      </c>
      <c r="AN30" s="62">
        <f ca="1">AVERAGE(OFFSET($AM$3,0,0,'Données projet'!$E$10+1,1))-AVERAGE(OFFSET($H$3,0,0,'Données projet'!$E$10+1,1))</f>
        <v>344.45199703750711</v>
      </c>
      <c r="AO30" s="62">
        <f t="shared" si="36"/>
        <v>376.41441893222185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9.1999999999999993</v>
      </c>
      <c r="BD30" s="13">
        <f>IF('Données projet'!$A$88&gt;35,BD29+BC30-BL29,IF(A30&lt;'Données projet'!$A$88,$BA$205^A30,IF(A30='Données projet'!$A$88,'Données projet'!$B$88,BD29+BC30-BL29)))</f>
        <v>121.40000000000002</v>
      </c>
      <c r="BE30" s="14">
        <f>BD30*VLOOKUP('Données projet'!$B$11,Paramètres!$A$1:$I$89,3,0)*VLOOKUP('Données projet'!$B$11,Paramètres!$A$1:$I$89,5,0)</f>
        <v>123.09960000000002</v>
      </c>
      <c r="BF30" s="14">
        <f t="shared" si="37"/>
        <v>32.396853612606897</v>
      </c>
      <c r="BG30" s="22">
        <f t="shared" si="7"/>
        <v>270.82299004195704</v>
      </c>
      <c r="BH30" s="62">
        <f t="shared" si="8"/>
        <v>560.48965670862367</v>
      </c>
      <c r="BI30" s="62">
        <f ca="1">AVERAGE(OFFSET($BH$3,0,0,'Données projet'!$E$11+1,1))-AVERAGE(OFFSET($H$3,0,0,'Données projet'!$E$11+1,1))</f>
        <v>569.39473185784823</v>
      </c>
      <c r="BJ30" s="62">
        <f t="shared" si="38"/>
        <v>367.42881145517066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9.4</v>
      </c>
      <c r="BY30" s="13">
        <f>IF('Données projet'!$A$114&gt;35,BY29+BX30-CG29,IF(A30&lt;'Données projet'!$A$114,$BV$205^A30,IF(A30='Données projet'!$A$114,'Données projet'!$B$114,BY29+BX30-CG29)))</f>
        <v>94.8</v>
      </c>
      <c r="BZ30" s="14">
        <f>BY30*VLOOKUP('Données projet'!$B$12,Paramètres!$A$1:$I$89,3,0)*VLOOKUP('Données projet'!$B$12,Paramètres!$A$1:$I$89,5,0)</f>
        <v>81.338400000000007</v>
      </c>
      <c r="CA30" s="14">
        <f t="shared" si="39"/>
        <v>22.464113218363337</v>
      </c>
      <c r="CB30" s="22">
        <f t="shared" si="10"/>
        <v>180.7893771886495</v>
      </c>
      <c r="CC30" s="62">
        <f t="shared" si="11"/>
        <v>470.45604385531618</v>
      </c>
      <c r="CD30" s="62">
        <f ca="1">AVERAGE(OFFSET($CC$3,0,0,'Données projet'!$E$12+1,1))-AVERAGE(OFFSET($H$3,0,0,'Données projet'!$E$12+1,1))</f>
        <v>554.06253050955502</v>
      </c>
      <c r="CE30" s="62">
        <f t="shared" si="40"/>
        <v>269.71949336355789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11.5</v>
      </c>
      <c r="CT30" s="13">
        <f>IF('Données projet'!$A$140&gt;35,CT29+CS30-DB29,IF(A30&lt;'Données projet'!$A$140,$CQ$205^A30,IF(A30='Données projet'!$A$140,'Données projet'!$B$140,CT29+CS30-DB29)))</f>
        <v>108.99999999999997</v>
      </c>
      <c r="CU30" s="18">
        <f>CT30*VLOOKUP('Données projet'!$B$13,Paramètres!$A$1:$I$89,3,0)*VLOOKUP('Données projet'!$B$13,Paramètres!$A$1:$I$89,5,0)</f>
        <v>85.019999999999982</v>
      </c>
      <c r="CV30" s="14">
        <f t="shared" si="41"/>
        <v>23.360218970693108</v>
      </c>
      <c r="CW30" s="22">
        <f t="shared" si="13"/>
        <v>188.76221470729047</v>
      </c>
      <c r="CX30" s="62">
        <f t="shared" si="14"/>
        <v>478.42888137395715</v>
      </c>
      <c r="CY30" s="62">
        <f ca="1">AVERAGE(OFFSET($CX$3,0,0,'Données projet'!$E$13+1,1))-AVERAGE(OFFSET($H$3,0,0,'Données projet'!$E$13+1,1))</f>
        <v>292.21364130214391</v>
      </c>
      <c r="CZ30" s="62">
        <f t="shared" si="42"/>
        <v>283.48738729114024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7.9487179487179471</v>
      </c>
      <c r="DO30" s="13">
        <f>IF('Données projet'!$A$166&gt;35,DO29+DN30-DW29,IF(A30&lt;'Données projet'!$A$166,$DL$205^A30,IF(A30='Données projet'!$A$166,'Données projet'!$B$166,DO29+DN30-DW29)))</f>
        <v>126.7948717948718</v>
      </c>
      <c r="DP30" s="18">
        <f>DO30*VLOOKUP('Données projet'!$B$14,Paramètres!$A$1:$I$89,3,0)*VLOOKUP('Données projet'!$B$14,Paramètres!$A$1:$I$89,5,0)</f>
        <v>120.658</v>
      </c>
      <c r="DQ30" s="14">
        <f t="shared" si="43"/>
        <v>31.828418112039433</v>
      </c>
      <c r="DR30" s="22">
        <f t="shared" si="16"/>
        <v>265.58051154513532</v>
      </c>
      <c r="DS30" s="62">
        <f t="shared" si="17"/>
        <v>555.24717821180207</v>
      </c>
      <c r="DT30" s="62">
        <f ca="1">AVERAGE(OFFSET($DS$3,0,0,'Données projet'!$E$14+1,1))-AVERAGE(OFFSET($H$3,0,0,'Données projet'!$E$14+1,1))</f>
        <v>427.47603885390191</v>
      </c>
      <c r="DU30" s="62">
        <f t="shared" si="44"/>
        <v>350.88664394632116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7</v>
      </c>
      <c r="EJ30" s="13">
        <f>IF('Données projet'!$A$192&gt;35,EJ29+EI30-ER29,IF(A30&lt;'Données projet'!$A$192,$EG$205^A30,IF(A30='Données projet'!$A$192,'Données projet'!$B$192,EJ29+EI30-ER29)))</f>
        <v>84</v>
      </c>
      <c r="EK30" s="18">
        <f>EJ30*VLOOKUP('Données projet'!$B$15,Paramètres!$A$1:$I$89,3,0)*VLOOKUP('Données projet'!$B$15,Paramètres!$A$1:$I$89,5,0)</f>
        <v>81.244799999999998</v>
      </c>
      <c r="EL30" s="14">
        <f t="shared" si="45"/>
        <v>22.441270156928962</v>
      </c>
      <c r="EM30" s="22">
        <f t="shared" si="19"/>
        <v>180.58657218998462</v>
      </c>
      <c r="EN30" s="62">
        <f t="shared" si="20"/>
        <v>470.25323885665131</v>
      </c>
      <c r="EO30" s="62">
        <f ca="1">AVERAGE(OFFSET($EN$3,0,0,'Données projet'!$E$15+1,1))-AVERAGE(OFFSET($H$3,0,0,'Données projet'!$E$15+1,1))</f>
        <v>455.50822833641354</v>
      </c>
      <c r="EP30" s="62">
        <f t="shared" si="46"/>
        <v>261.14722581688039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9.8000000000000007</v>
      </c>
      <c r="FE30" s="13">
        <f>IF('Données projet'!$A$218&gt;35,FE29+FD30-FM29,IF(A30&lt;'Données projet'!$A$218,$FB$205^A30,IF(A30='Données projet'!$A$218,'Données projet'!$B$218,FE29+FD30-FM29)))</f>
        <v>145.60000000000002</v>
      </c>
      <c r="FF30" s="18">
        <f>FE30*VLOOKUP('Données projet'!$B$16,Paramètres!$A$1:$I$89,3,0)*VLOOKUP('Données projet'!$B$16,Paramètres!$A$1:$I$89,5,0)</f>
        <v>127.19616000000003</v>
      </c>
      <c r="FG30" s="14">
        <f t="shared" si="47"/>
        <v>33.347654365530353</v>
      </c>
      <c r="FH30" s="22">
        <f t="shared" si="22"/>
        <v>279.6138100199654</v>
      </c>
      <c r="FI30" s="62">
        <f t="shared" si="23"/>
        <v>569.28047668663203</v>
      </c>
      <c r="FJ30" s="62">
        <f ca="1">AVERAGE(OFFSET($FI$3,0,0,'Données projet'!$E$16+1,1))-AVERAGE(OFFSET($H$3,0,0,'Données projet'!$E$16+1,1))</f>
        <v>369.34989412920129</v>
      </c>
      <c r="FK30" s="62">
        <f t="shared" si="48"/>
        <v>371.26234252426553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7</v>
      </c>
      <c r="FZ30" s="13">
        <f>IF('Données projet'!$A$244&gt;35,FZ29+FY30-GH29,IF(A30&lt;'Données projet'!$A$244,$FW$205^A30,IF(A30='Données projet'!$A$244,'Données projet'!$B$244,FZ29+FY30-GH29)))</f>
        <v>187.00000000000003</v>
      </c>
      <c r="GA30" s="18">
        <f>FZ30*VLOOKUP('Données projet'!$B$17,Paramètres!$A$1:$I$89,3,0)*VLOOKUP('Données projet'!$B$17,Paramètres!$A$1:$I$89,5,0)</f>
        <v>169.19760000000002</v>
      </c>
      <c r="GB30" s="14">
        <f t="shared" si="49"/>
        <v>42.910263223432885</v>
      </c>
      <c r="GC30" s="22">
        <f t="shared" si="25"/>
        <v>369.42119511414558</v>
      </c>
      <c r="GD30" s="62">
        <f t="shared" si="26"/>
        <v>659.08786178081232</v>
      </c>
      <c r="GE30" s="62">
        <f ca="1">AVERAGE(OFFSET($GD$3,0,0,'Données projet'!$E$17+1,1))-AVERAGE(OFFSET($H$3,0,0,'Données projet'!$E$17+1,1))</f>
        <v>324.4489531703187</v>
      </c>
      <c r="GF30" s="62">
        <f t="shared" si="50"/>
        <v>446.55019360848706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projet'!$B$17,Paramètres!$A$1:$I$89,3,0)*0.475*44/12</f>
        <v>0</v>
      </c>
      <c r="GM30" s="23">
        <f>EXP(-LN(2)/25)*GM29+(1-EXP(-LN(2)/25))/(LN(2)/25)*Calculateur!GH30*Calculateur!GJ30*VLOOKUP('Données projet'!$B$17,Paramètres!$A$1:$I$89,3,0)*0.475*44/12</f>
        <v>0</v>
      </c>
      <c r="GN30" s="23">
        <f>EXP(-LN(2)/2)*GN29+(1-EXP(-LN(2)/2))/(LN(2)/2)*GH30*GK30*VLOOKUP('Données projet'!$B$17,Paramètres!$A$1:$I$89,3,0)*0.475*44/12</f>
        <v>0</v>
      </c>
      <c r="GO30" s="23">
        <f t="shared" si="27"/>
        <v>0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8.0769230769230802</v>
      </c>
      <c r="GU30" s="13">
        <f>IF('Données projet'!$A$270&gt;35,GU29+GT30-HC29,IF(A30&lt;'Données projet'!$A$270,$GR$205^A30,IF(A30='Données projet'!$A$270,'Données projet'!$B$270,GU29+GT30-HC29)))</f>
        <v>125.12820512820517</v>
      </c>
      <c r="GV30" s="18">
        <f>GU30*VLOOKUP('Données projet'!$B$18,Paramètres!$A$1:$I$89,3,0)*VLOOKUP('Données projet'!$B$18,Paramètres!$A$1:$I$89,5,0)</f>
        <v>83.936000000000021</v>
      </c>
      <c r="GW30" s="14">
        <f t="shared" si="51"/>
        <v>23.096850074431298</v>
      </c>
      <c r="GX30" s="22">
        <f t="shared" si="28"/>
        <v>186.41554721296791</v>
      </c>
      <c r="GY30" s="62">
        <f t="shared" si="29"/>
        <v>476.08221387963459</v>
      </c>
      <c r="GZ30" s="62">
        <f ca="1">AVERAGE(OFFSET($GY$3,0,0,'Données projet'!$E$18+1,1))-AVERAGE(OFFSET($H$3,0,0,'Données projet'!$E$18+1,1))</f>
        <v>312.06797204903796</v>
      </c>
      <c r="HA30" s="62">
        <f t="shared" si="52"/>
        <v>258.20189001775151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>
        <f>EXP(-LN(2)/35)*HG29+(1-EXP(-LN(2)/35))/(LN(2)/35)*HC30*HD30*VLOOKUP('Données projet'!$B$18,Paramètres!$A$1:$I$89,3,0)*0.475*44/12</f>
        <v>0</v>
      </c>
      <c r="HH30" s="23">
        <f>EXP(-LN(2)/25)*HH29+(1-EXP(-LN(2)/25))/(LN(2)/25)*Calculateur!HC30*Calculateur!HE30*VLOOKUP('Données projet'!$B$18,Paramètres!$A$1:$I$89,3,0)*0.475*44/12</f>
        <v>0</v>
      </c>
      <c r="HI30" s="23">
        <f>EXP(-LN(2)/2)*HI29+(1-EXP(-LN(2)/2))/(LN(2)/2)*HC30*HF30*VLOOKUP('Données projet'!$B$18,Paramètres!$A$1:$I$89,3,0)*0.475*44/12</f>
        <v>0</v>
      </c>
      <c r="HJ30" s="24">
        <f t="shared" si="30"/>
        <v>0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130.60000000000002</v>
      </c>
      <c r="O31" s="14">
        <f>N31*VLOOKUP('Données projet'!$B$9,Paramètres!$A$1:$I$89,3,0)*VLOOKUP('Données projet'!$B$9,Paramètres!$A$1:$I$89,5,0)</f>
        <v>118.16688000000001</v>
      </c>
      <c r="P31" s="14">
        <f t="shared" si="33"/>
        <v>31.247071864249254</v>
      </c>
      <c r="Q31" s="22">
        <f t="shared" si="2"/>
        <v>260.22929949690081</v>
      </c>
      <c r="R31" s="62">
        <f t="shared" si="0"/>
        <v>551.11818838578961</v>
      </c>
      <c r="S31" s="62">
        <f ca="1">AVERAGE(OFFSET($R$3,0,0,'Données projet'!$E$9+1,1))-AVERAGE(OFFSET($H$3,0,0,'Données projet'!$E$9+1,1))</f>
        <v>512.84819850818667</v>
      </c>
      <c r="T31" s="62">
        <f t="shared" si="34"/>
        <v>332.61387922152159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14.260000000000002</v>
      </c>
      <c r="AI31" s="14">
        <f>IF('Données projet'!$A$62&gt;35,AI30+AH31-AQ30,IF(A31&lt;'Données projet'!$A$62,$AF$205^A31,IF(A31='Données projet'!$A$62,'Données projet'!$B$62,AI30+AH31-AQ30)))</f>
        <v>183.27999999999997</v>
      </c>
      <c r="AJ31" s="14">
        <f>AI31*VLOOKUP('Données projet'!$B$10,Paramètres!$A$1:$I$89,3,0)*VLOOKUP('Données projet'!$B$10,Paramètres!$A$1:$I$89,5,0)</f>
        <v>134.38089599999998</v>
      </c>
      <c r="AK31" s="14">
        <f t="shared" si="35"/>
        <v>35.006694824713001</v>
      </c>
      <c r="AL31" s="22">
        <f t="shared" si="4"/>
        <v>295.01672068637509</v>
      </c>
      <c r="AM31" s="62">
        <f t="shared" si="5"/>
        <v>585.90560957526395</v>
      </c>
      <c r="AN31" s="62">
        <f ca="1">AVERAGE(OFFSET($AM$3,0,0,'Données projet'!$E$10+1,1))-AVERAGE(OFFSET($H$3,0,0,'Données projet'!$E$10+1,1))</f>
        <v>344.45199703750711</v>
      </c>
      <c r="AO31" s="62">
        <f t="shared" si="36"/>
        <v>376.41441893222185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9.1999999999999993</v>
      </c>
      <c r="BD31" s="13">
        <f>IF('Données projet'!$A$88&gt;35,BD30+BC31-BL30,IF(A31&lt;'Données projet'!$A$88,$BA$205^A31,IF(A31='Données projet'!$A$88,'Données projet'!$B$88,BD30+BC31-BL30)))</f>
        <v>130.60000000000002</v>
      </c>
      <c r="BE31" s="14">
        <f>BD31*VLOOKUP('Données projet'!$B$11,Paramètres!$A$1:$I$89,3,0)*VLOOKUP('Données projet'!$B$11,Paramètres!$A$1:$I$89,5,0)</f>
        <v>132.42840000000004</v>
      </c>
      <c r="BF31" s="14">
        <f t="shared" si="37"/>
        <v>34.556885422887589</v>
      </c>
      <c r="BG31" s="22">
        <f t="shared" si="7"/>
        <v>290.8327054448626</v>
      </c>
      <c r="BH31" s="62">
        <f t="shared" si="8"/>
        <v>581.72159433375145</v>
      </c>
      <c r="BI31" s="62">
        <f ca="1">AVERAGE(OFFSET($BH$3,0,0,'Données projet'!$E$11+1,1))-AVERAGE(OFFSET($H$3,0,0,'Données projet'!$E$11+1,1))</f>
        <v>569.39473185784823</v>
      </c>
      <c r="BJ31" s="62">
        <f t="shared" si="38"/>
        <v>367.42881145517066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9.4</v>
      </c>
      <c r="BY31" s="13">
        <f>IF('Données projet'!$A$114&gt;35,BY30+BX31-CG30,IF(A31&lt;'Données projet'!$A$114,$BV$205^A31,IF(A31='Données projet'!$A$114,'Données projet'!$B$114,BY30+BX31-CG30)))</f>
        <v>104.2</v>
      </c>
      <c r="BZ31" s="14">
        <f>BY31*VLOOKUP('Données projet'!$B$12,Paramètres!$A$1:$I$89,3,0)*VLOOKUP('Données projet'!$B$12,Paramètres!$A$1:$I$89,5,0)</f>
        <v>89.403600000000012</v>
      </c>
      <c r="CA31" s="14">
        <f t="shared" si="39"/>
        <v>24.421332063883675</v>
      </c>
      <c r="CB31" s="22">
        <f t="shared" si="10"/>
        <v>198.2450900112641</v>
      </c>
      <c r="CC31" s="62">
        <f t="shared" si="11"/>
        <v>489.13397890015295</v>
      </c>
      <c r="CD31" s="62">
        <f ca="1">AVERAGE(OFFSET($CC$3,0,0,'Données projet'!$E$12+1,1))-AVERAGE(OFFSET($H$3,0,0,'Données projet'!$E$12+1,1))</f>
        <v>554.06253050955502</v>
      </c>
      <c r="CE31" s="62">
        <f t="shared" si="40"/>
        <v>269.71949336355789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11.5</v>
      </c>
      <c r="CT31" s="13">
        <f>IF('Données projet'!$A$140&gt;35,CT30+CS31-DB30,IF(A31&lt;'Données projet'!$A$140,$CQ$205^A31,IF(A31='Données projet'!$A$140,'Données projet'!$B$140,CT30+CS31-DB30)))</f>
        <v>120.49999999999997</v>
      </c>
      <c r="CU31" s="18">
        <f>CT31*VLOOKUP('Données projet'!$B$13,Paramètres!$A$1:$I$89,3,0)*VLOOKUP('Données projet'!$B$13,Paramètres!$A$1:$I$89,5,0)</f>
        <v>93.989999999999981</v>
      </c>
      <c r="CV31" s="14">
        <f t="shared" si="41"/>
        <v>25.525074036970079</v>
      </c>
      <c r="CW31" s="22">
        <f t="shared" si="13"/>
        <v>208.15542061438953</v>
      </c>
      <c r="CX31" s="62">
        <f t="shared" si="14"/>
        <v>499.04430950327838</v>
      </c>
      <c r="CY31" s="62">
        <f ca="1">AVERAGE(OFFSET($CX$3,0,0,'Données projet'!$E$13+1,1))-AVERAGE(OFFSET($H$3,0,0,'Données projet'!$E$13+1,1))</f>
        <v>292.21364130214391</v>
      </c>
      <c r="CZ31" s="62">
        <f t="shared" si="42"/>
        <v>283.48738729114024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7.9487179487179471</v>
      </c>
      <c r="DO31" s="13">
        <f>IF('Données projet'!$A$166&gt;35,DO30+DN31-DW30,IF(A31&lt;'Données projet'!$A$166,$DL$205^A31,IF(A31='Données projet'!$A$166,'Données projet'!$B$166,DO30+DN31-DW30)))</f>
        <v>134.74358974358975</v>
      </c>
      <c r="DP31" s="18">
        <f>DO31*VLOOKUP('Données projet'!$B$14,Paramètres!$A$1:$I$89,3,0)*VLOOKUP('Données projet'!$B$14,Paramètres!$A$1:$I$89,5,0)</f>
        <v>128.22200000000001</v>
      </c>
      <c r="DQ31" s="14">
        <f t="shared" si="43"/>
        <v>33.585187028861384</v>
      </c>
      <c r="DR31" s="22">
        <f t="shared" si="16"/>
        <v>281.81418407526689</v>
      </c>
      <c r="DS31" s="62">
        <f t="shared" si="17"/>
        <v>572.70307296415581</v>
      </c>
      <c r="DT31" s="62">
        <f ca="1">AVERAGE(OFFSET($DS$3,0,0,'Données projet'!$E$14+1,1))-AVERAGE(OFFSET($H$3,0,0,'Données projet'!$E$14+1,1))</f>
        <v>427.47603885390191</v>
      </c>
      <c r="DU31" s="62">
        <f t="shared" si="44"/>
        <v>350.88664394632116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7</v>
      </c>
      <c r="EJ31" s="13">
        <f>IF('Données projet'!$A$192&gt;35,EJ30+EI31-ER30,IF(A31&lt;'Données projet'!$A$192,$EG$205^A31,IF(A31='Données projet'!$A$192,'Données projet'!$B$192,EJ30+EI31-ER30)))</f>
        <v>91</v>
      </c>
      <c r="EK31" s="18">
        <f>EJ31*VLOOKUP('Données projet'!$B$15,Paramètres!$A$1:$I$89,3,0)*VLOOKUP('Données projet'!$B$15,Paramètres!$A$1:$I$89,5,0)</f>
        <v>88.015200000000007</v>
      </c>
      <c r="EL31" s="14">
        <f t="shared" si="45"/>
        <v>24.085919530575829</v>
      </c>
      <c r="EM31" s="22">
        <f t="shared" si="19"/>
        <v>195.24278318241954</v>
      </c>
      <c r="EN31" s="62">
        <f t="shared" si="20"/>
        <v>486.1316720713084</v>
      </c>
      <c r="EO31" s="62">
        <f ca="1">AVERAGE(OFFSET($EN$3,0,0,'Données projet'!$E$15+1,1))-AVERAGE(OFFSET($H$3,0,0,'Données projet'!$E$15+1,1))</f>
        <v>455.50822833641354</v>
      </c>
      <c r="EP31" s="62">
        <f t="shared" si="46"/>
        <v>261.14722581688039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9.8000000000000007</v>
      </c>
      <c r="FE31" s="13">
        <f>IF('Données projet'!$A$218&gt;35,FE30+FD31-FM30,IF(A31&lt;'Données projet'!$A$218,$FB$205^A31,IF(A31='Données projet'!$A$218,'Données projet'!$B$218,FE30+FD31-FM30)))</f>
        <v>155.40000000000003</v>
      </c>
      <c r="FF31" s="18">
        <f>FE31*VLOOKUP('Données projet'!$B$16,Paramètres!$A$1:$I$89,3,0)*VLOOKUP('Données projet'!$B$16,Paramètres!$A$1:$I$89,5,0)</f>
        <v>135.75744000000006</v>
      </c>
      <c r="FG31" s="14">
        <f t="shared" si="47"/>
        <v>35.323360776061499</v>
      </c>
      <c r="FH31" s="22">
        <f t="shared" si="22"/>
        <v>297.96572801830717</v>
      </c>
      <c r="FI31" s="62">
        <f t="shared" si="23"/>
        <v>588.85461690719603</v>
      </c>
      <c r="FJ31" s="62">
        <f ca="1">AVERAGE(OFFSET($FI$3,0,0,'Données projet'!$E$16+1,1))-AVERAGE(OFFSET($H$3,0,0,'Données projet'!$E$16+1,1))</f>
        <v>369.34989412920129</v>
      </c>
      <c r="FK31" s="62">
        <f t="shared" si="48"/>
        <v>371.26234252426553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7</v>
      </c>
      <c r="FZ31" s="13">
        <f>IF('Données projet'!$A$244&gt;35,FZ30+FY31-GH30,IF(A31&lt;'Données projet'!$A$244,$FW$205^A31,IF(A31='Données projet'!$A$244,'Données projet'!$B$244,FZ30+FY31-GH30)))</f>
        <v>194.00000000000003</v>
      </c>
      <c r="GA31" s="18">
        <f>FZ31*VLOOKUP('Données projet'!$B$17,Paramètres!$A$1:$I$89,3,0)*VLOOKUP('Données projet'!$B$17,Paramètres!$A$1:$I$89,5,0)</f>
        <v>175.53120000000001</v>
      </c>
      <c r="GB31" s="14">
        <f t="shared" si="49"/>
        <v>44.326510481422488</v>
      </c>
      <c r="GC31" s="22">
        <f t="shared" si="25"/>
        <v>382.9188457551441</v>
      </c>
      <c r="GD31" s="62">
        <f t="shared" si="26"/>
        <v>673.80773464403296</v>
      </c>
      <c r="GE31" s="62">
        <f ca="1">AVERAGE(OFFSET($GD$3,0,0,'Données projet'!$E$17+1,1))-AVERAGE(OFFSET($H$3,0,0,'Données projet'!$E$17+1,1))</f>
        <v>324.4489531703187</v>
      </c>
      <c r="GF31" s="62">
        <f t="shared" si="50"/>
        <v>446.55019360848706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projet'!$B$17,Paramètres!$A$1:$I$89,3,0)*0.475*44/12</f>
        <v>0</v>
      </c>
      <c r="GM31" s="23">
        <f>EXP(-LN(2)/25)*GM30+(1-EXP(-LN(2)/25))/(LN(2)/25)*Calculateur!GH31*Calculateur!GJ31*VLOOKUP('Données projet'!$B$17,Paramètres!$A$1:$I$89,3,0)*0.475*44/12</f>
        <v>0</v>
      </c>
      <c r="GN31" s="23">
        <f>EXP(-LN(2)/2)*GN30+(1-EXP(-LN(2)/2))/(LN(2)/2)*GH31*GK31*VLOOKUP('Données projet'!$B$17,Paramètres!$A$1:$I$89,3,0)*0.475*44/12</f>
        <v>0</v>
      </c>
      <c r="GO31" s="23">
        <f t="shared" si="27"/>
        <v>0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8.0769230769230802</v>
      </c>
      <c r="GU31" s="13">
        <f>IF('Données projet'!$A$270&gt;35,GU30+GT31-HC30,IF(A31&lt;'Données projet'!$A$270,$GR$205^A31,IF(A31='Données projet'!$A$270,'Données projet'!$B$270,GU30+GT31-HC30)))</f>
        <v>133.20512820512823</v>
      </c>
      <c r="GV31" s="18">
        <f>GU31*VLOOKUP('Données projet'!$B$18,Paramètres!$A$1:$I$89,3,0)*VLOOKUP('Données projet'!$B$18,Paramètres!$A$1:$I$89,5,0)</f>
        <v>89.354000000000013</v>
      </c>
      <c r="GW31" s="14">
        <f t="shared" si="51"/>
        <v>24.40936009026365</v>
      </c>
      <c r="GX31" s="22">
        <f t="shared" si="28"/>
        <v>198.13785215720918</v>
      </c>
      <c r="GY31" s="62">
        <f t="shared" si="29"/>
        <v>489.02674104609804</v>
      </c>
      <c r="GZ31" s="62">
        <f ca="1">AVERAGE(OFFSET($GY$3,0,0,'Données projet'!$E$18+1,1))-AVERAGE(OFFSET($H$3,0,0,'Données projet'!$E$18+1,1))</f>
        <v>312.06797204903796</v>
      </c>
      <c r="HA31" s="62">
        <f t="shared" si="52"/>
        <v>258.20189001775151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>
        <f>EXP(-LN(2)/35)*HG30+(1-EXP(-LN(2)/35))/(LN(2)/35)*HC31*HD31*VLOOKUP('Données projet'!$B$18,Paramètres!$A$1:$I$89,3,0)*0.475*44/12</f>
        <v>0</v>
      </c>
      <c r="HH31" s="23">
        <f>EXP(-LN(2)/25)*HH30+(1-EXP(-LN(2)/25))/(LN(2)/25)*Calculateur!HC31*Calculateur!HE31*VLOOKUP('Données projet'!$B$18,Paramètres!$A$1:$I$89,3,0)*0.475*44/12</f>
        <v>0</v>
      </c>
      <c r="HI31" s="23">
        <f>EXP(-LN(2)/2)*HI30+(1-EXP(-LN(2)/2))/(LN(2)/2)*HC31*HF31*VLOOKUP('Données projet'!$B$18,Paramètres!$A$1:$I$89,3,0)*0.475*44/12</f>
        <v>0</v>
      </c>
      <c r="HJ31" s="24">
        <f t="shared" si="30"/>
        <v>0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139.80000000000001</v>
      </c>
      <c r="O32" s="14">
        <f>N32*VLOOKUP('Données projet'!$B$9,Paramètres!$A$1:$I$89,3,0)*VLOOKUP('Données projet'!$B$9,Paramètres!$A$1:$I$89,5,0)</f>
        <v>126.49104000000001</v>
      </c>
      <c r="P32" s="14">
        <f t="shared" si="33"/>
        <v>33.184254980539251</v>
      </c>
      <c r="Q32" s="22">
        <f t="shared" si="2"/>
        <v>278.10113875777256</v>
      </c>
      <c r="R32" s="62">
        <f t="shared" si="0"/>
        <v>570.21224986888365</v>
      </c>
      <c r="S32" s="62">
        <f ca="1">AVERAGE(OFFSET($R$3,0,0,'Données projet'!$E$9+1,1))-AVERAGE(OFFSET($H$3,0,0,'Données projet'!$E$9+1,1))</f>
        <v>512.84819850818667</v>
      </c>
      <c r="T32" s="62">
        <f t="shared" si="34"/>
        <v>332.61387922152159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14.260000000000002</v>
      </c>
      <c r="AI32" s="14">
        <f>IF('Données projet'!$A$62&gt;35,AI31+AH32-AQ31,IF(A32&lt;'Données projet'!$A$62,$AF$205^A32,IF(A32='Données projet'!$A$62,'Données projet'!$B$62,AI31+AH32-AQ31)))</f>
        <v>197.53999999999996</v>
      </c>
      <c r="AJ32" s="14">
        <f>AI32*VLOOKUP('Données projet'!$B$10,Paramètres!$A$1:$I$89,3,0)*VLOOKUP('Données projet'!$B$10,Paramètres!$A$1:$I$89,5,0)</f>
        <v>144.83632799999995</v>
      </c>
      <c r="AK32" s="14">
        <f t="shared" si="35"/>
        <v>37.402740912462832</v>
      </c>
      <c r="AL32" s="22">
        <f t="shared" si="4"/>
        <v>317.39971168920596</v>
      </c>
      <c r="AM32" s="62">
        <f t="shared" si="5"/>
        <v>609.5108228003171</v>
      </c>
      <c r="AN32" s="62">
        <f ca="1">AVERAGE(OFFSET($AM$3,0,0,'Données projet'!$E$10+1,1))-AVERAGE(OFFSET($H$3,0,0,'Données projet'!$E$10+1,1))</f>
        <v>344.45199703750711</v>
      </c>
      <c r="AO32" s="62">
        <f t="shared" si="36"/>
        <v>376.41441893222185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9.1999999999999993</v>
      </c>
      <c r="BD32" s="13">
        <f>IF('Données projet'!$A$88&gt;35,BD31+BC32-BL31,IF(A32&lt;'Données projet'!$A$88,$BA$205^A32,IF(A32='Données projet'!$A$88,'Données projet'!$B$88,BD31+BC32-BL31)))</f>
        <v>139.80000000000001</v>
      </c>
      <c r="BE32" s="14">
        <f>BD32*VLOOKUP('Données projet'!$B$11,Paramètres!$A$1:$I$89,3,0)*VLOOKUP('Données projet'!$B$11,Paramètres!$A$1:$I$89,5,0)</f>
        <v>141.75720000000001</v>
      </c>
      <c r="BF32" s="14">
        <f t="shared" si="37"/>
        <v>36.69926264413936</v>
      </c>
      <c r="BG32" s="22">
        <f t="shared" si="7"/>
        <v>310.8116724385427</v>
      </c>
      <c r="BH32" s="62">
        <f t="shared" si="8"/>
        <v>602.92278354965379</v>
      </c>
      <c r="BI32" s="62">
        <f ca="1">AVERAGE(OFFSET($BH$3,0,0,'Données projet'!$E$11+1,1))-AVERAGE(OFFSET($H$3,0,0,'Données projet'!$E$11+1,1))</f>
        <v>569.39473185784823</v>
      </c>
      <c r="BJ32" s="62">
        <f t="shared" si="38"/>
        <v>367.42881145517066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9.4</v>
      </c>
      <c r="BY32" s="13">
        <f>IF('Données projet'!$A$114&gt;35,BY31+BX32-CG31,IF(A32&lt;'Données projet'!$A$114,$BV$205^A32,IF(A32='Données projet'!$A$114,'Données projet'!$B$114,BY31+BX32-CG31)))</f>
        <v>113.60000000000001</v>
      </c>
      <c r="BZ32" s="14">
        <f>BY32*VLOOKUP('Données projet'!$B$12,Paramètres!$A$1:$I$89,3,0)*VLOOKUP('Données projet'!$B$12,Paramètres!$A$1:$I$89,5,0)</f>
        <v>97.468800000000016</v>
      </c>
      <c r="CA32" s="14">
        <f t="shared" si="39"/>
        <v>26.358077222002049</v>
      </c>
      <c r="CB32" s="22">
        <f t="shared" si="10"/>
        <v>215.66514449498695</v>
      </c>
      <c r="CC32" s="62">
        <f t="shared" si="11"/>
        <v>507.77625560609806</v>
      </c>
      <c r="CD32" s="62">
        <f ca="1">AVERAGE(OFFSET($CC$3,0,0,'Données projet'!$E$12+1,1))-AVERAGE(OFFSET($H$3,0,0,'Données projet'!$E$12+1,1))</f>
        <v>554.06253050955502</v>
      </c>
      <c r="CE32" s="62">
        <f t="shared" si="40"/>
        <v>269.71949336355789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11.5</v>
      </c>
      <c r="CT32" s="13">
        <f>IF('Données projet'!$A$140&gt;35,CT31+CS32-DB31,IF(A32&lt;'Données projet'!$A$140,$CQ$205^A32,IF(A32='Données projet'!$A$140,'Données projet'!$B$140,CT31+CS32-DB31)))</f>
        <v>131.99999999999997</v>
      </c>
      <c r="CU32" s="18">
        <f>CT32*VLOOKUP('Données projet'!$B$13,Paramètres!$A$1:$I$89,3,0)*VLOOKUP('Données projet'!$B$13,Paramètres!$A$1:$I$89,5,0)</f>
        <v>102.95999999999998</v>
      </c>
      <c r="CV32" s="14">
        <f t="shared" si="41"/>
        <v>27.665975080374633</v>
      </c>
      <c r="CW32" s="22">
        <f t="shared" si="13"/>
        <v>227.50690659831912</v>
      </c>
      <c r="CX32" s="62">
        <f t="shared" si="14"/>
        <v>519.61801770943021</v>
      </c>
      <c r="CY32" s="62">
        <f ca="1">AVERAGE(OFFSET($CX$3,0,0,'Données projet'!$E$13+1,1))-AVERAGE(OFFSET($H$3,0,0,'Données projet'!$E$13+1,1))</f>
        <v>292.21364130214391</v>
      </c>
      <c r="CZ32" s="62">
        <f t="shared" si="42"/>
        <v>283.48738729114024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7.9487179487179471</v>
      </c>
      <c r="DO32" s="13">
        <f>IF('Données projet'!$A$166&gt;35,DO31+DN32-DW31,IF(A32&lt;'Données projet'!$A$166,$DL$205^A32,IF(A32='Données projet'!$A$166,'Données projet'!$B$166,DO31+DN32-DW31)))</f>
        <v>142.69230769230771</v>
      </c>
      <c r="DP32" s="18">
        <f>DO32*VLOOKUP('Données projet'!$B$14,Paramètres!$A$1:$I$89,3,0)*VLOOKUP('Données projet'!$B$14,Paramètres!$A$1:$I$89,5,0)</f>
        <v>135.78600000000003</v>
      </c>
      <c r="DQ32" s="14">
        <f t="shared" si="43"/>
        <v>35.329926868166567</v>
      </c>
      <c r="DR32" s="22">
        <f t="shared" si="16"/>
        <v>298.02690596205679</v>
      </c>
      <c r="DS32" s="62">
        <f t="shared" si="17"/>
        <v>590.13801707316793</v>
      </c>
      <c r="DT32" s="62">
        <f ca="1">AVERAGE(OFFSET($DS$3,0,0,'Données projet'!$E$14+1,1))-AVERAGE(OFFSET($H$3,0,0,'Données projet'!$E$14+1,1))</f>
        <v>427.47603885390191</v>
      </c>
      <c r="DU32" s="62">
        <f t="shared" si="44"/>
        <v>350.88664394632116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7</v>
      </c>
      <c r="EJ32" s="13">
        <f>IF('Données projet'!$A$192&gt;35,EJ31+EI32-ER31,IF(A32&lt;'Données projet'!$A$192,$EG$205^A32,IF(A32='Données projet'!$A$192,'Données projet'!$B$192,EJ31+EI32-ER31)))</f>
        <v>98</v>
      </c>
      <c r="EK32" s="18">
        <f>EJ32*VLOOKUP('Données projet'!$B$15,Paramètres!$A$1:$I$89,3,0)*VLOOKUP('Données projet'!$B$15,Paramètres!$A$1:$I$89,5,0)</f>
        <v>94.785600000000002</v>
      </c>
      <c r="EL32" s="14">
        <f t="shared" si="45"/>
        <v>25.715893428674526</v>
      </c>
      <c r="EM32" s="22">
        <f t="shared" si="19"/>
        <v>209.87343438827483</v>
      </c>
      <c r="EN32" s="62">
        <f t="shared" si="20"/>
        <v>501.98454549938594</v>
      </c>
      <c r="EO32" s="62">
        <f ca="1">AVERAGE(OFFSET($EN$3,0,0,'Données projet'!$E$15+1,1))-AVERAGE(OFFSET($H$3,0,0,'Données projet'!$E$15+1,1))</f>
        <v>455.50822833641354</v>
      </c>
      <c r="EP32" s="62">
        <f t="shared" si="46"/>
        <v>261.14722581688039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9.8000000000000007</v>
      </c>
      <c r="FE32" s="13">
        <f>IF('Données projet'!$A$218&gt;35,FE31+FD32-FM31,IF(A32&lt;'Données projet'!$A$218,$FB$205^A32,IF(A32='Données projet'!$A$218,'Données projet'!$B$218,FE31+FD32-FM31)))</f>
        <v>165.20000000000005</v>
      </c>
      <c r="FF32" s="18">
        <f>FE32*VLOOKUP('Données projet'!$B$16,Paramètres!$A$1:$I$89,3,0)*VLOOKUP('Données projet'!$B$16,Paramètres!$A$1:$I$89,5,0)</f>
        <v>144.31872000000004</v>
      </c>
      <c r="FG32" s="14">
        <f t="shared" si="47"/>
        <v>37.284607417926182</v>
      </c>
      <c r="FH32" s="22">
        <f t="shared" si="22"/>
        <v>316.2924619195548</v>
      </c>
      <c r="FI32" s="62">
        <f t="shared" si="23"/>
        <v>608.40357303066594</v>
      </c>
      <c r="FJ32" s="62">
        <f ca="1">AVERAGE(OFFSET($FI$3,0,0,'Données projet'!$E$16+1,1))-AVERAGE(OFFSET($H$3,0,0,'Données projet'!$E$16+1,1))</f>
        <v>369.34989412920129</v>
      </c>
      <c r="FK32" s="62">
        <f t="shared" si="48"/>
        <v>371.26234252426553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7</v>
      </c>
      <c r="FZ32" s="13">
        <f>IF('Données projet'!$A$244&gt;35,FZ31+FY32-GH31,IF(A32&lt;'Données projet'!$A$244,$FW$205^A32,IF(A32='Données projet'!$A$244,'Données projet'!$B$244,FZ31+FY32-GH31)))</f>
        <v>201.00000000000003</v>
      </c>
      <c r="GA32" s="18">
        <f>FZ32*VLOOKUP('Données projet'!$B$17,Paramètres!$A$1:$I$89,3,0)*VLOOKUP('Données projet'!$B$17,Paramètres!$A$1:$I$89,5,0)</f>
        <v>181.86480000000003</v>
      </c>
      <c r="GB32" s="14">
        <f t="shared" si="49"/>
        <v>45.73682061391029</v>
      </c>
      <c r="GC32" s="22">
        <f t="shared" si="25"/>
        <v>396.40615590256044</v>
      </c>
      <c r="GD32" s="62">
        <f t="shared" si="26"/>
        <v>688.51726701367159</v>
      </c>
      <c r="GE32" s="62">
        <f ca="1">AVERAGE(OFFSET($GD$3,0,0,'Données projet'!$E$17+1,1))-AVERAGE(OFFSET($H$3,0,0,'Données projet'!$E$17+1,1))</f>
        <v>324.4489531703187</v>
      </c>
      <c r="GF32" s="62">
        <f t="shared" si="50"/>
        <v>446.55019360848706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projet'!$B$17,Paramètres!$A$1:$I$89,3,0)*0.475*44/12</f>
        <v>0</v>
      </c>
      <c r="GM32" s="23">
        <f>EXP(-LN(2)/25)*GM31+(1-EXP(-LN(2)/25))/(LN(2)/25)*Calculateur!GH32*Calculateur!GJ32*VLOOKUP('Données projet'!$B$17,Paramètres!$A$1:$I$89,3,0)*0.475*44/12</f>
        <v>0</v>
      </c>
      <c r="GN32" s="23">
        <f>EXP(-LN(2)/2)*GN31+(1-EXP(-LN(2)/2))/(LN(2)/2)*GH32*GK32*VLOOKUP('Données projet'!$B$17,Paramètres!$A$1:$I$89,3,0)*0.475*44/12</f>
        <v>0</v>
      </c>
      <c r="GO32" s="23">
        <f t="shared" si="27"/>
        <v>0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8.0769230769230802</v>
      </c>
      <c r="GU32" s="13">
        <f>IF('Données projet'!$A$270&gt;35,GU31+GT32-HC31,IF(A32&lt;'Données projet'!$A$270,$GR$205^A32,IF(A32='Données projet'!$A$270,'Données projet'!$B$270,GU31+GT32-HC31)))</f>
        <v>141.28205128205133</v>
      </c>
      <c r="GV32" s="18">
        <f>GU32*VLOOKUP('Données projet'!$B$18,Paramètres!$A$1:$I$89,3,0)*VLOOKUP('Données projet'!$B$18,Paramètres!$A$1:$I$89,5,0)</f>
        <v>94.772000000000034</v>
      </c>
      <c r="GW32" s="14">
        <f t="shared" si="51"/>
        <v>25.712633129183839</v>
      </c>
      <c r="GX32" s="22">
        <f t="shared" si="28"/>
        <v>209.8440693666619</v>
      </c>
      <c r="GY32" s="62">
        <f t="shared" si="29"/>
        <v>501.95518047777307</v>
      </c>
      <c r="GZ32" s="62">
        <f ca="1">AVERAGE(OFFSET($GY$3,0,0,'Données projet'!$E$18+1,1))-AVERAGE(OFFSET($H$3,0,0,'Données projet'!$E$18+1,1))</f>
        <v>312.06797204903796</v>
      </c>
      <c r="HA32" s="62">
        <f t="shared" si="52"/>
        <v>258.20189001775151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>
        <f>EXP(-LN(2)/35)*HG31+(1-EXP(-LN(2)/35))/(LN(2)/35)*HC32*HD32*VLOOKUP('Données projet'!$B$18,Paramètres!$A$1:$I$89,3,0)*0.475*44/12</f>
        <v>0</v>
      </c>
      <c r="HH32" s="23">
        <f>EXP(-LN(2)/25)*HH31+(1-EXP(-LN(2)/25))/(LN(2)/25)*Calculateur!HC32*Calculateur!HE32*VLOOKUP('Données projet'!$B$18,Paramètres!$A$1:$I$89,3,0)*0.475*44/12</f>
        <v>0</v>
      </c>
      <c r="HI32" s="23">
        <f>EXP(-LN(2)/2)*HI31+(1-EXP(-LN(2)/2))/(LN(2)/2)*HC32*HF32*VLOOKUP('Données projet'!$B$18,Paramètres!$A$1:$I$89,3,0)*0.475*44/12</f>
        <v>0</v>
      </c>
      <c r="HJ32" s="24">
        <f t="shared" si="30"/>
        <v>0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149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149</v>
      </c>
      <c r="O33" s="14">
        <f>N33*VLOOKUP('Données projet'!$B$9,Paramètres!$A$1:$I$89,3,0)*VLOOKUP('Données projet'!$B$9,Paramètres!$A$1:$I$89,5,0)</f>
        <v>134.81519999999998</v>
      </c>
      <c r="P33" s="14">
        <f t="shared" si="33"/>
        <v>35.106644529103392</v>
      </c>
      <c r="Q33" s="22">
        <f t="shared" si="2"/>
        <v>295.94721255485501</v>
      </c>
      <c r="R33" s="62">
        <f t="shared" si="0"/>
        <v>589.28054588818827</v>
      </c>
      <c r="S33" s="62">
        <f ca="1">AVERAGE(OFFSET($R$3,0,0,'Données projet'!$E$9+1,1))-AVERAGE(OFFSET($H$3,0,0,'Données projet'!$E$9+1,1))</f>
        <v>512.84819850818667</v>
      </c>
      <c r="T33" s="62">
        <f t="shared" si="34"/>
        <v>332.61387922152159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56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211.8</v>
      </c>
      <c r="AG33" s="13">
        <f>VLOOKUP(A33,'Données projet'!$A$61:$I$81,9,0)</f>
        <v>14.260000000000002</v>
      </c>
      <c r="AH33" s="13">
        <f t="array" ref="AH33">INDEX(AG:AG,MIN(IF(ISNUMBER(AG33:AG229),ROW(AG33:AG229),"")))</f>
        <v>14.260000000000002</v>
      </c>
      <c r="AI33" s="14">
        <f>IF('Données projet'!$A$62&gt;35,AI32+AH33-AQ32,IF(A33&lt;'Données projet'!$A$62,$AF$205^A33,IF(A33='Données projet'!$A$62,'Données projet'!$B$62,AI32+AH33-AQ32)))</f>
        <v>211.79999999999995</v>
      </c>
      <c r="AJ33" s="14">
        <f>AI33*VLOOKUP('Données projet'!$B$10,Paramètres!$A$1:$I$89,3,0)*VLOOKUP('Données projet'!$B$10,Paramètres!$A$1:$I$89,5,0)</f>
        <v>155.29175999999998</v>
      </c>
      <c r="AK33" s="14">
        <f t="shared" si="35"/>
        <v>39.778719769696814</v>
      </c>
      <c r="AL33" s="22">
        <f t="shared" si="4"/>
        <v>339.74775226555522</v>
      </c>
      <c r="AM33" s="62">
        <f t="shared" si="5"/>
        <v>633.08108559888854</v>
      </c>
      <c r="AN33" s="62">
        <f ca="1">AVERAGE(OFFSET($AM$3,0,0,'Données projet'!$E$10+1,1))-AVERAGE(OFFSET($H$3,0,0,'Données projet'!$E$10+1,1))</f>
        <v>344.45199703750711</v>
      </c>
      <c r="AO33" s="62">
        <f t="shared" si="36"/>
        <v>376.41441893222185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70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149</v>
      </c>
      <c r="BB33" s="13">
        <f>VLOOKUP(A33,'Données projet'!$A$87:$I$107,9,0)</f>
        <v>9.1999999999999993</v>
      </c>
      <c r="BC33" s="13">
        <f t="array" ref="BC33">INDEX(BB:BB,MIN(IF(ISNUMBER(BB33:BB229),ROW(BB33:BB229),"")))</f>
        <v>9.1999999999999993</v>
      </c>
      <c r="BD33" s="13">
        <f>IF('Données projet'!$A$88&gt;35,BD32+BC33-BL32,IF(A33&lt;'Données projet'!$A$88,$BA$205^A33,IF(A33='Données projet'!$A$88,'Données projet'!$B$88,BD32+BC33-BL32)))</f>
        <v>149</v>
      </c>
      <c r="BE33" s="14">
        <f>BD33*VLOOKUP('Données projet'!$B$11,Paramètres!$A$1:$I$89,3,0)*VLOOKUP('Données projet'!$B$11,Paramètres!$A$1:$I$89,5,0)</f>
        <v>151.08600000000001</v>
      </c>
      <c r="BF33" s="14">
        <f t="shared" si="37"/>
        <v>38.825279304404233</v>
      </c>
      <c r="BG33" s="22">
        <f t="shared" si="7"/>
        <v>330.76214478850403</v>
      </c>
      <c r="BH33" s="62">
        <f t="shared" si="8"/>
        <v>624.09547812183735</v>
      </c>
      <c r="BI33" s="62">
        <f ca="1">AVERAGE(OFFSET($BH$3,0,0,'Données projet'!$E$11+1,1))-AVERAGE(OFFSET($H$3,0,0,'Données projet'!$E$11+1,1))</f>
        <v>569.39473185784823</v>
      </c>
      <c r="BJ33" s="62">
        <f t="shared" si="38"/>
        <v>367.42881145517066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56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123</v>
      </c>
      <c r="BW33" s="13">
        <f>VLOOKUP(A33,'Données projet'!$A$113:$I$133,9,0)</f>
        <v>9.4</v>
      </c>
      <c r="BX33" s="13">
        <f t="array" ref="BX33">INDEX(BW:BW,MIN(IF(ISNUMBER(BW33:BW229),ROW(BW33:BW229),"")))</f>
        <v>9.4</v>
      </c>
      <c r="BY33" s="13">
        <f>IF('Données projet'!$A$114&gt;35,BY32+BX33-CG32,IF(A33&lt;'Données projet'!$A$114,$BV$205^A33,IF(A33='Données projet'!$A$114,'Données projet'!$B$114,BY32+BX33-CG32)))</f>
        <v>123.00000000000001</v>
      </c>
      <c r="BZ33" s="14">
        <f>BY33*VLOOKUP('Données projet'!$B$12,Paramètres!$A$1:$I$89,3,0)*VLOOKUP('Données projet'!$B$12,Paramètres!$A$1:$I$89,5,0)</f>
        <v>105.53400000000003</v>
      </c>
      <c r="CA33" s="14">
        <f t="shared" si="39"/>
        <v>28.276235424052324</v>
      </c>
      <c r="CB33" s="22">
        <f t="shared" si="10"/>
        <v>233.0528266968912</v>
      </c>
      <c r="CC33" s="62">
        <f t="shared" si="11"/>
        <v>526.38616003022457</v>
      </c>
      <c r="CD33" s="62">
        <f ca="1">AVERAGE(OFFSET($CC$3,0,0,'Données projet'!$E$12+1,1))-AVERAGE(OFFSET($H$3,0,0,'Données projet'!$E$12+1,1))</f>
        <v>554.06253050955502</v>
      </c>
      <c r="CE33" s="62">
        <f t="shared" si="40"/>
        <v>269.71949336355789</v>
      </c>
      <c r="CF33" s="16">
        <f>IF(ISNA(VLOOKUP(A33,'Données projet'!$A$113:$I$133,3,0)),0,VLOOKUP(A33,'Données projet'!$A$113:$I$133,3,0))</f>
        <v>1</v>
      </c>
      <c r="CG33" s="16">
        <f>IF(ISNA(VLOOKUP(A33,'Données projet'!$A$113:$I$133,4,0)),0,VLOOKUP(A33,'Données projet'!$A$113:$I$133,4,0))</f>
        <v>35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11.5</v>
      </c>
      <c r="CT33" s="13">
        <f>IF('Données projet'!$A$140&gt;35,CT32+CS33-DB32,IF(A33&lt;'Données projet'!$A$140,$CQ$205^A33,IF(A33='Données projet'!$A$140,'Données projet'!$B$140,CT32+CS33-DB32)))</f>
        <v>143.49999999999997</v>
      </c>
      <c r="CU33" s="18">
        <f>CT33*VLOOKUP('Données projet'!$B$13,Paramètres!$A$1:$I$89,3,0)*VLOOKUP('Données projet'!$B$13,Paramètres!$A$1:$I$89,5,0)</f>
        <v>111.92999999999998</v>
      </c>
      <c r="CV33" s="14">
        <f t="shared" si="41"/>
        <v>29.785246291563833</v>
      </c>
      <c r="CW33" s="22">
        <f t="shared" si="13"/>
        <v>246.82072062447358</v>
      </c>
      <c r="CX33" s="62">
        <f t="shared" si="14"/>
        <v>540.15405395780692</v>
      </c>
      <c r="CY33" s="62">
        <f ca="1">AVERAGE(OFFSET($CX$3,0,0,'Données projet'!$E$13+1,1))-AVERAGE(OFFSET($H$3,0,0,'Données projet'!$E$13+1,1))</f>
        <v>292.21364130214391</v>
      </c>
      <c r="CZ33" s="62">
        <f t="shared" si="42"/>
        <v>283.48738729114024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150.64102564102564</v>
      </c>
      <c r="DM33" s="13">
        <f>VLOOKUP(A33,'Données projet'!$A$165:$I$185,9,0)</f>
        <v>7.9487179487179471</v>
      </c>
      <c r="DN33" s="13">
        <f t="array" ref="DN33">INDEX(DM:DM,MIN(IF(ISNUMBER(DM33:DM229),ROW(DM33:DM229),"")))</f>
        <v>7.9487179487179471</v>
      </c>
      <c r="DO33" s="13">
        <f>IF('Données projet'!$A$166&gt;35,DO32+DN33-DW32,IF(A33&lt;'Données projet'!$A$166,$DL$205^A33,IF(A33='Données projet'!$A$166,'Données projet'!$B$166,DO32+DN33-DW32)))</f>
        <v>150.64102564102566</v>
      </c>
      <c r="DP33" s="18">
        <f>DO33*VLOOKUP('Données projet'!$B$14,Paramètres!$A$1:$I$89,3,0)*VLOOKUP('Données projet'!$B$14,Paramètres!$A$1:$I$89,5,0)</f>
        <v>143.35000000000002</v>
      </c>
      <c r="DQ33" s="14">
        <f t="shared" si="43"/>
        <v>37.063384084012192</v>
      </c>
      <c r="DR33" s="22">
        <f t="shared" si="16"/>
        <v>314.21997727965459</v>
      </c>
      <c r="DS33" s="62">
        <f t="shared" si="17"/>
        <v>607.55331061298784</v>
      </c>
      <c r="DT33" s="62">
        <f ca="1">AVERAGE(OFFSET($DS$3,0,0,'Données projet'!$E$14+1,1))-AVERAGE(OFFSET($H$3,0,0,'Données projet'!$E$14+1,1))</f>
        <v>427.47603885390191</v>
      </c>
      <c r="DU33" s="62">
        <f t="shared" si="44"/>
        <v>350.88664394632116</v>
      </c>
      <c r="DV33" s="16">
        <f>IF(ISNA(VLOOKUP(A33,'Données projet'!$A$165:$I$185,3,0)),0,VLOOKUP(A33,'Données projet'!$A$165:$I$185,3,0))</f>
        <v>2</v>
      </c>
      <c r="DW33" s="16">
        <f>IF(ISNA(VLOOKUP(A33,'Données projet'!$A$165:$I$185,4,0)),0,VLOOKUP(A33,'Données projet'!$A$165:$I$185,4,0))</f>
        <v>33.974358974358971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105</v>
      </c>
      <c r="EH33" s="13">
        <f>VLOOKUP(A33,'Données projet'!$A$191:$I$211,9,0)</f>
        <v>7</v>
      </c>
      <c r="EI33" s="13">
        <f t="array" ref="EI33">INDEX(EH:EH,MIN(IF(ISNUMBER(EH33:EH229),ROW(EH33:EH229),"")))</f>
        <v>7</v>
      </c>
      <c r="EJ33" s="13">
        <f>IF('Données projet'!$A$192&gt;35,EJ32+EI33-ER32,IF(A33&lt;'Données projet'!$A$192,$EG$205^A33,IF(A33='Données projet'!$A$192,'Données projet'!$B$192,EJ32+EI33-ER32)))</f>
        <v>105</v>
      </c>
      <c r="EK33" s="18">
        <f>EJ33*VLOOKUP('Données projet'!$B$15,Paramètres!$A$1:$I$89,3,0)*VLOOKUP('Données projet'!$B$15,Paramètres!$A$1:$I$89,5,0)</f>
        <v>101.556</v>
      </c>
      <c r="EL33" s="14">
        <f t="shared" si="45"/>
        <v>27.332359320696909</v>
      </c>
      <c r="EM33" s="22">
        <f t="shared" si="19"/>
        <v>224.48055915021379</v>
      </c>
      <c r="EN33" s="62">
        <f t="shared" si="20"/>
        <v>517.81389248354708</v>
      </c>
      <c r="EO33" s="62">
        <f ca="1">AVERAGE(OFFSET($EN$3,0,0,'Données projet'!$E$15+1,1))-AVERAGE(OFFSET($H$3,0,0,'Données projet'!$E$15+1,1))</f>
        <v>455.50822833641354</v>
      </c>
      <c r="EP33" s="62">
        <f t="shared" si="46"/>
        <v>261.14722581688039</v>
      </c>
      <c r="EQ33" s="16">
        <f>IF(ISNA(VLOOKUP(A33,'Données projet'!$A$191:$I$211,3,0)),0,VLOOKUP(A33,'Données projet'!$A$191:$I$211,3,0))</f>
        <v>1</v>
      </c>
      <c r="ER33" s="16">
        <f>IF(ISNA(VLOOKUP(A33,'Données projet'!$A$191:$I$211,4,0)),0,VLOOKUP(A33,'Données projet'!$A$191:$I$211,4,0))</f>
        <v>29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175</v>
      </c>
      <c r="FC33" s="13">
        <f>VLOOKUP(A33,'Données projet'!$A$217:$I$237,9,0)</f>
        <v>9.8000000000000007</v>
      </c>
      <c r="FD33" s="13">
        <f t="array" ref="FD33">INDEX(FC:FC,MIN(IF(ISNUMBER(FC33:FC229),ROW(FC33:FC229),"")))</f>
        <v>9.8000000000000007</v>
      </c>
      <c r="FE33" s="13">
        <f>IF('Données projet'!$A$218&gt;35,FE32+FD33-FM32,IF(A33&lt;'Données projet'!$A$218,$FB$205^A33,IF(A33='Données projet'!$A$218,'Données projet'!$B$218,FE32+FD33-FM32)))</f>
        <v>175.00000000000006</v>
      </c>
      <c r="FF33" s="18">
        <f>FE33*VLOOKUP('Données projet'!$B$16,Paramètres!$A$1:$I$89,3,0)*VLOOKUP('Données projet'!$B$16,Paramètres!$A$1:$I$89,5,0)</f>
        <v>152.88000000000008</v>
      </c>
      <c r="FG33" s="14">
        <f t="shared" si="47"/>
        <v>39.232349774697887</v>
      </c>
      <c r="FH33" s="22">
        <f t="shared" si="22"/>
        <v>334.59567585759896</v>
      </c>
      <c r="FI33" s="62">
        <f t="shared" si="23"/>
        <v>627.92900919093222</v>
      </c>
      <c r="FJ33" s="62">
        <f ca="1">AVERAGE(OFFSET($FI$3,0,0,'Données projet'!$E$16+1,1))-AVERAGE(OFFSET($H$3,0,0,'Données projet'!$E$16+1,1))</f>
        <v>369.34989412920129</v>
      </c>
      <c r="FK33" s="62">
        <f t="shared" si="48"/>
        <v>371.26234252426553</v>
      </c>
      <c r="FL33" s="16">
        <f>IF(ISNA(VLOOKUP(A33,'Données projet'!$A$217:$I$237,3,0)),0,VLOOKUP(A33,'Données projet'!$A$217:$I$237,3,0))</f>
        <v>2</v>
      </c>
      <c r="FM33" s="16">
        <f>IF(ISNA(VLOOKUP(A33,'Données projet'!$A$217:$I$237,4,0)),0,VLOOKUP(A33,'Données projet'!$A$217:$I$237,4,0))</f>
        <v>53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>
        <f>VLOOKUP(A33,'Données projet'!$A$243:$I$263,2,0)</f>
        <v>208</v>
      </c>
      <c r="FX33" s="13">
        <f>VLOOKUP(A33,'Données projet'!$A$243:$I$263,9,0)</f>
        <v>7</v>
      </c>
      <c r="FY33" s="13">
        <f t="array" ref="FY33">INDEX(FX:FX,MIN(IF(ISNUMBER(FX33:FX229),ROW(FX33:FX229),"")))</f>
        <v>7</v>
      </c>
      <c r="FZ33" s="13">
        <f>IF('Données projet'!$A$244&gt;35,FZ32+FY33-GH32,IF(A33&lt;'Données projet'!$A$244,$FW$205^A33,IF(A33='Données projet'!$A$244,'Données projet'!$B$244,FZ32+FY33-GH32)))</f>
        <v>208.00000000000003</v>
      </c>
      <c r="GA33" s="18">
        <f>FZ33*VLOOKUP('Données projet'!$B$17,Paramètres!$A$1:$I$89,3,0)*VLOOKUP('Données projet'!$B$17,Paramètres!$A$1:$I$89,5,0)</f>
        <v>188.19840000000002</v>
      </c>
      <c r="GB33" s="14">
        <f t="shared" si="49"/>
        <v>47.141424081428013</v>
      </c>
      <c r="GC33" s="22">
        <f t="shared" si="25"/>
        <v>409.88352694182049</v>
      </c>
      <c r="GD33" s="62">
        <f t="shared" si="26"/>
        <v>703.21686027515375</v>
      </c>
      <c r="GE33" s="62">
        <f ca="1">AVERAGE(OFFSET($GD$3,0,0,'Données projet'!$E$17+1,1))-AVERAGE(OFFSET($H$3,0,0,'Données projet'!$E$17+1,1))</f>
        <v>324.4489531703187</v>
      </c>
      <c r="GF33" s="62">
        <f t="shared" si="50"/>
        <v>446.55019360848706</v>
      </c>
      <c r="GG33" s="16">
        <f>IF(ISNA(VLOOKUP(A33,'Données projet'!$A$243:$I$263,3,0)),0,VLOOKUP(A33,'Données projet'!$A$243:$I$263,3,0))</f>
        <v>2</v>
      </c>
      <c r="GH33" s="16">
        <f>IF(ISNA(VLOOKUP(A33,'Données projet'!$A$243:$I$263,4,0)),0,VLOOKUP(A33,'Données projet'!$A$243:$I$263,4,0))</f>
        <v>20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projet'!$B$17,Paramètres!$A$1:$I$89,3,0)*0.475*44/12</f>
        <v>0</v>
      </c>
      <c r="GM33" s="23">
        <f>EXP(-LN(2)/25)*GM32+(1-EXP(-LN(2)/25))/(LN(2)/25)*Calculateur!GH33*Calculateur!GJ33*VLOOKUP('Données projet'!$B$17,Paramètres!$A$1:$I$89,3,0)*0.475*44/12</f>
        <v>0</v>
      </c>
      <c r="GN33" s="23">
        <f>EXP(-LN(2)/2)*GN32+(1-EXP(-LN(2)/2))/(LN(2)/2)*GH33*GK33*VLOOKUP('Données projet'!$B$17,Paramètres!$A$1:$I$89,3,0)*0.475*44/12</f>
        <v>0</v>
      </c>
      <c r="GO33" s="23">
        <f t="shared" si="27"/>
        <v>0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>
        <f>VLOOKUP(A33,'Données projet'!$A$269:$I$289,2,0)</f>
        <v>149.35897435897436</v>
      </c>
      <c r="GS33" s="13">
        <f>VLOOKUP(A33,'Données projet'!$A$269:$I$289,9,0)</f>
        <v>8.0769230769230802</v>
      </c>
      <c r="GT33" s="13">
        <f t="array" ref="GT33">INDEX(GS:GS,MIN(IF(ISNUMBER(GS33:GS229),ROW(GS33:GS229),"")))</f>
        <v>8.0769230769230802</v>
      </c>
      <c r="GU33" s="13">
        <f>IF('Données projet'!$A$270&gt;35,GU32+GT33-HC32,IF(A33&lt;'Données projet'!$A$270,$GR$205^A33,IF(A33='Données projet'!$A$270,'Données projet'!$B$270,GU32+GT33-HC32)))</f>
        <v>149.35897435897442</v>
      </c>
      <c r="GV33" s="18">
        <f>GU33*VLOOKUP('Données projet'!$B$18,Paramètres!$A$1:$I$89,3,0)*VLOOKUP('Données projet'!$B$18,Paramètres!$A$1:$I$89,5,0)</f>
        <v>100.19000000000005</v>
      </c>
      <c r="GW33" s="14">
        <f t="shared" si="51"/>
        <v>27.007257426460161</v>
      </c>
      <c r="GX33" s="22">
        <f t="shared" si="28"/>
        <v>221.53522335108485</v>
      </c>
      <c r="GY33" s="62">
        <f t="shared" si="29"/>
        <v>514.86855668441819</v>
      </c>
      <c r="GZ33" s="62">
        <f ca="1">AVERAGE(OFFSET($GY$3,0,0,'Données projet'!$E$18+1,1))-AVERAGE(OFFSET($H$3,0,0,'Données projet'!$E$18+1,1))</f>
        <v>312.06797204903796</v>
      </c>
      <c r="HA33" s="62">
        <f t="shared" si="52"/>
        <v>258.20189001775151</v>
      </c>
      <c r="HB33" s="16">
        <f>IF(ISNA(VLOOKUP(A33,'Données projet'!$A$269:$I$289,3,0)),0,VLOOKUP(A33,'Données projet'!$A$269:$I$289,3,0))</f>
        <v>2</v>
      </c>
      <c r="HC33" s="16">
        <f>IF(ISNA(VLOOKUP(A33,'Données projet'!$A$269:$I$289,4,0)),0,VLOOKUP(A33,'Données projet'!$A$269:$I$289,4,0))</f>
        <v>32.692307692307693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>
        <f>EXP(-LN(2)/35)*HG32+(1-EXP(-LN(2)/35))/(LN(2)/35)*HC33*HD33*VLOOKUP('Données projet'!$B$18,Paramètres!$A$1:$I$89,3,0)*0.475*44/12</f>
        <v>0</v>
      </c>
      <c r="HH33" s="23">
        <f>EXP(-LN(2)/25)*HH32+(1-EXP(-LN(2)/25))/(LN(2)/25)*Calculateur!HC33*Calculateur!HE33*VLOOKUP('Données projet'!$B$18,Paramètres!$A$1:$I$89,3,0)*0.475*44/12</f>
        <v>0</v>
      </c>
      <c r="HI33" s="23">
        <f>EXP(-LN(2)/2)*HI32+(1-EXP(-LN(2)/2))/(LN(2)/2)*HC33*HF33*VLOOKUP('Données projet'!$B$18,Paramètres!$A$1:$I$89,3,0)*0.475*44/12</f>
        <v>0</v>
      </c>
      <c r="HJ33" s="24">
        <f t="shared" si="30"/>
        <v>0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10.8</v>
      </c>
      <c r="N34" s="14">
        <f>IF('Données projet'!$A$36&gt;35,N33+M34-V33,IF(A34&lt;'Données projet'!$A$36,$K$205^A34,IF(A34='Données projet'!$A$36,'Données projet'!$B$36,N33+M34-V33)))</f>
        <v>103.80000000000001</v>
      </c>
      <c r="O34" s="14">
        <f>N34*VLOOKUP('Données projet'!$B$9,Paramètres!$A$1:$I$89,3,0)*VLOOKUP('Données projet'!$B$9,Paramètres!$A$1:$I$89,5,0)</f>
        <v>93.918239999999997</v>
      </c>
      <c r="P34" s="14">
        <f t="shared" si="33"/>
        <v>25.507853654186022</v>
      </c>
      <c r="Q34" s="22">
        <f t="shared" si="2"/>
        <v>208.0004464477073</v>
      </c>
      <c r="R34" s="62">
        <f t="shared" si="0"/>
        <v>501.33377978104062</v>
      </c>
      <c r="S34" s="62">
        <f ca="1">AVERAGE(OFFSET($R$3,0,0,'Données projet'!$E$9+1,1))-AVERAGE(OFFSET($H$3,0,0,'Données projet'!$E$9+1,1))</f>
        <v>512.84819850818667</v>
      </c>
      <c r="T34" s="62">
        <f t="shared" si="34"/>
        <v>332.61387922152159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12.919999999999998</v>
      </c>
      <c r="AI34" s="14">
        <f>IF('Données projet'!$A$62&gt;35,AI33+AH34-AQ33,IF(A34&lt;'Données projet'!$A$62,$AF$205^A34,IF(A34='Données projet'!$A$62,'Données projet'!$B$62,AI33+AH34-AQ33)))</f>
        <v>154.71999999999994</v>
      </c>
      <c r="AJ34" s="14">
        <f>AI34*VLOOKUP('Données projet'!$B$10,Paramètres!$A$1:$I$89,3,0)*VLOOKUP('Données projet'!$B$10,Paramètres!$A$1:$I$89,5,0)</f>
        <v>113.44070399999997</v>
      </c>
      <c r="AK34" s="14">
        <f t="shared" si="35"/>
        <v>30.140182414303599</v>
      </c>
      <c r="AL34" s="22">
        <f t="shared" si="4"/>
        <v>250.07004383824537</v>
      </c>
      <c r="AM34" s="62">
        <f t="shared" si="5"/>
        <v>543.40337717157865</v>
      </c>
      <c r="AN34" s="62">
        <f ca="1">AVERAGE(OFFSET($AM$3,0,0,'Données projet'!$E$10+1,1))-AVERAGE(OFFSET($H$3,0,0,'Données projet'!$E$10+1,1))</f>
        <v>344.45199703750711</v>
      </c>
      <c r="AO34" s="62">
        <f t="shared" si="36"/>
        <v>376.41441893222185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10.8</v>
      </c>
      <c r="BD34" s="13">
        <f>IF('Données projet'!$A$88&gt;35,BD33+BC34-BL33,IF(A34&lt;'Données projet'!$A$88,$BA$205^A34,IF(A34='Données projet'!$A$88,'Données projet'!$B$88,BD33+BC34-BL33)))</f>
        <v>103.80000000000001</v>
      </c>
      <c r="BE34" s="14">
        <f>BD34*VLOOKUP('Données projet'!$B$11,Paramètres!$A$1:$I$89,3,0)*VLOOKUP('Données projet'!$B$11,Paramètres!$A$1:$I$89,5,0)</f>
        <v>105.25320000000002</v>
      </c>
      <c r="BF34" s="14">
        <f t="shared" si="37"/>
        <v>28.209746498519422</v>
      </c>
      <c r="BG34" s="22">
        <f t="shared" si="7"/>
        <v>232.44796515158802</v>
      </c>
      <c r="BH34" s="62">
        <f t="shared" si="8"/>
        <v>525.78129848492131</v>
      </c>
      <c r="BI34" s="62">
        <f ca="1">AVERAGE(OFFSET($BH$3,0,0,'Données projet'!$E$11+1,1))-AVERAGE(OFFSET($H$3,0,0,'Données projet'!$E$11+1,1))</f>
        <v>569.39473185784823</v>
      </c>
      <c r="BJ34" s="62">
        <f t="shared" si="38"/>
        <v>367.42881145517066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10.199999999999999</v>
      </c>
      <c r="BY34" s="13">
        <f>IF('Données projet'!$A$114&gt;35,BY33+BX34-CG33,IF(A34&lt;'Données projet'!$A$114,$BV$205^A34,IF(A34='Données projet'!$A$114,'Données projet'!$B$114,BY33+BX34-CG33)))</f>
        <v>98.200000000000017</v>
      </c>
      <c r="BZ34" s="14">
        <f>BY34*VLOOKUP('Données projet'!$B$12,Paramètres!$A$1:$I$89,3,0)*VLOOKUP('Données projet'!$B$12,Paramètres!$A$1:$I$89,5,0)</f>
        <v>84.255600000000015</v>
      </c>
      <c r="CA34" s="14">
        <f t="shared" si="39"/>
        <v>23.174541098743855</v>
      </c>
      <c r="CB34" s="22">
        <f t="shared" si="10"/>
        <v>187.10749574697891</v>
      </c>
      <c r="CC34" s="62">
        <f t="shared" si="11"/>
        <v>480.44082908031226</v>
      </c>
      <c r="CD34" s="62">
        <f ca="1">AVERAGE(OFFSET($CC$3,0,0,'Données projet'!$E$12+1,1))-AVERAGE(OFFSET($H$3,0,0,'Données projet'!$E$12+1,1))</f>
        <v>554.06253050955502</v>
      </c>
      <c r="CE34" s="62">
        <f t="shared" si="40"/>
        <v>269.71949336355789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>
        <f>VLOOKUP(A34,'Données projet'!$A$139:$I$159,2,0)</f>
        <v>155</v>
      </c>
      <c r="CR34" s="13">
        <f>VLOOKUP(A34,'Données projet'!$A$139:$I$159,9,0)</f>
        <v>11.5</v>
      </c>
      <c r="CS34" s="13">
        <f t="array" ref="CS34">INDEX(CR:CR,MIN(IF(ISNUMBER(CR34:CR230),ROW(CR34:CR230),"")))</f>
        <v>11.5</v>
      </c>
      <c r="CT34" s="13">
        <f>IF('Données projet'!$A$140&gt;35,CT33+CS34-DB33,IF(A34&lt;'Données projet'!$A$140,$CQ$205^A34,IF(A34='Données projet'!$A$140,'Données projet'!$B$140,CT33+CS34-DB33)))</f>
        <v>154.99999999999997</v>
      </c>
      <c r="CU34" s="18">
        <f>CT34*VLOOKUP('Données projet'!$B$13,Paramètres!$A$1:$I$89,3,0)*VLOOKUP('Données projet'!$B$13,Paramètres!$A$1:$I$89,5,0)</f>
        <v>120.89999999999998</v>
      </c>
      <c r="CV34" s="14">
        <f t="shared" si="41"/>
        <v>31.884818143351602</v>
      </c>
      <c r="CW34" s="22">
        <f t="shared" si="13"/>
        <v>266.10022493300397</v>
      </c>
      <c r="CX34" s="62">
        <f t="shared" si="14"/>
        <v>559.43355826633729</v>
      </c>
      <c r="CY34" s="62">
        <f ca="1">AVERAGE(OFFSET($CX$3,0,0,'Données projet'!$E$13+1,1))-AVERAGE(OFFSET($H$3,0,0,'Données projet'!$E$13+1,1))</f>
        <v>292.21364130214391</v>
      </c>
      <c r="CZ34" s="62">
        <f t="shared" si="42"/>
        <v>283.48738729114024</v>
      </c>
      <c r="DA34" s="16">
        <f>IF(ISNA(VLOOKUP(A34,'Données projet'!$A$139:$I$159,3,0)),0,VLOOKUP(A34,'Données projet'!$A$139:$I$159,3,0))</f>
        <v>3</v>
      </c>
      <c r="DB34" s="16">
        <f>IF(ISNA(VLOOKUP(A34,'Données projet'!$A$139:$I$159,4,0)),0,VLOOKUP(A34,'Données projet'!$A$139:$I$159,4,0))</f>
        <v>36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7.5641025641025639</v>
      </c>
      <c r="DO34" s="13">
        <f>IF('Données projet'!$A$166&gt;35,DO33+DN34-DW33,IF(A34&lt;'Données projet'!$A$166,$DL$205^A34,IF(A34='Données projet'!$A$166,'Données projet'!$B$166,DO33+DN34-DW33)))</f>
        <v>124.23076923076925</v>
      </c>
      <c r="DP34" s="18">
        <f>DO34*VLOOKUP('Données projet'!$B$14,Paramètres!$A$1:$I$89,3,0)*VLOOKUP('Données projet'!$B$14,Paramètres!$A$1:$I$89,5,0)</f>
        <v>118.21800000000002</v>
      </c>
      <c r="DQ34" s="14">
        <f t="shared" si="43"/>
        <v>31.259015847254158</v>
      </c>
      <c r="DR34" s="22">
        <f t="shared" si="16"/>
        <v>260.33913593396761</v>
      </c>
      <c r="DS34" s="62">
        <f t="shared" si="17"/>
        <v>553.67246926730093</v>
      </c>
      <c r="DT34" s="62">
        <f ca="1">AVERAGE(OFFSET($DS$3,0,0,'Données projet'!$E$14+1,1))-AVERAGE(OFFSET($H$3,0,0,'Données projet'!$E$14+1,1))</f>
        <v>427.47603885390191</v>
      </c>
      <c r="DU34" s="62">
        <f t="shared" si="44"/>
        <v>350.88664394632116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8</v>
      </c>
      <c r="EJ34" s="13">
        <f>IF('Données projet'!$A$192&gt;35,EJ33+EI34-ER33,IF(A34&lt;'Données projet'!$A$192,$EG$205^A34,IF(A34='Données projet'!$A$192,'Données projet'!$B$192,EJ33+EI34-ER33)))</f>
        <v>84</v>
      </c>
      <c r="EK34" s="18">
        <f>EJ34*VLOOKUP('Données projet'!$B$15,Paramètres!$A$1:$I$89,3,0)*VLOOKUP('Données projet'!$B$15,Paramètres!$A$1:$I$89,5,0)</f>
        <v>81.244799999999998</v>
      </c>
      <c r="EL34" s="14">
        <f t="shared" si="45"/>
        <v>22.441270156928962</v>
      </c>
      <c r="EM34" s="22">
        <f t="shared" si="19"/>
        <v>180.58657218998462</v>
      </c>
      <c r="EN34" s="62">
        <f t="shared" si="20"/>
        <v>473.91990552331794</v>
      </c>
      <c r="EO34" s="62">
        <f ca="1">AVERAGE(OFFSET($EN$3,0,0,'Données projet'!$E$15+1,1))-AVERAGE(OFFSET($H$3,0,0,'Données projet'!$E$15+1,1))</f>
        <v>455.50822833641354</v>
      </c>
      <c r="EP34" s="62">
        <f t="shared" si="46"/>
        <v>261.14722581688039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9.1999999999999993</v>
      </c>
      <c r="FE34" s="13">
        <f>IF('Données projet'!$A$218&gt;35,FE33+FD34-FM33,IF(A34&lt;'Données projet'!$A$218,$FB$205^A34,IF(A34='Données projet'!$A$218,'Données projet'!$B$218,FE33+FD34-FM33)))</f>
        <v>131.20000000000005</v>
      </c>
      <c r="FF34" s="18">
        <f>FE34*VLOOKUP('Données projet'!$B$16,Paramètres!$A$1:$I$89,3,0)*VLOOKUP('Données projet'!$B$16,Paramètres!$A$1:$I$89,5,0)</f>
        <v>114.61632000000006</v>
      </c>
      <c r="FG34" s="14">
        <f t="shared" si="47"/>
        <v>30.416009647934438</v>
      </c>
      <c r="FH34" s="22">
        <f t="shared" si="22"/>
        <v>252.5979741368192</v>
      </c>
      <c r="FI34" s="62">
        <f t="shared" si="23"/>
        <v>545.93130747015255</v>
      </c>
      <c r="FJ34" s="62">
        <f ca="1">AVERAGE(OFFSET($FI$3,0,0,'Données projet'!$E$16+1,1))-AVERAGE(OFFSET($H$3,0,0,'Données projet'!$E$16+1,1))</f>
        <v>369.34989412920129</v>
      </c>
      <c r="FK34" s="62">
        <f t="shared" si="48"/>
        <v>371.26234252426553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5.6</v>
      </c>
      <c r="FZ34" s="13">
        <f>IF('Données projet'!$A$244&gt;35,FZ33+FY34-GH33,IF(A34&lt;'Données projet'!$A$244,$FW$205^A34,IF(A34='Données projet'!$A$244,'Données projet'!$B$244,FZ33+FY34-GH33)))</f>
        <v>193.60000000000002</v>
      </c>
      <c r="GA34" s="18">
        <f>FZ34*VLOOKUP('Données projet'!$B$17,Paramètres!$A$1:$I$89,3,0)*VLOOKUP('Données projet'!$B$17,Paramètres!$A$1:$I$89,5,0)</f>
        <v>175.16928000000001</v>
      </c>
      <c r="GB34" s="14">
        <f t="shared" si="49"/>
        <v>44.245744278741803</v>
      </c>
      <c r="GC34" s="22">
        <f t="shared" si="25"/>
        <v>382.14783395214198</v>
      </c>
      <c r="GD34" s="62">
        <f t="shared" si="26"/>
        <v>675.48116728547529</v>
      </c>
      <c r="GE34" s="62">
        <f ca="1">AVERAGE(OFFSET($GD$3,0,0,'Données projet'!$E$17+1,1))-AVERAGE(OFFSET($H$3,0,0,'Données projet'!$E$17+1,1))</f>
        <v>324.4489531703187</v>
      </c>
      <c r="GF34" s="62">
        <f t="shared" si="50"/>
        <v>446.55019360848706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projet'!$B$17,Paramètres!$A$1:$I$89,3,0)*0.475*44/12</f>
        <v>0</v>
      </c>
      <c r="GM34" s="23">
        <f>EXP(-LN(2)/25)*GM33+(1-EXP(-LN(2)/25))/(LN(2)/25)*Calculateur!GH34*Calculateur!GJ34*VLOOKUP('Données projet'!$B$17,Paramètres!$A$1:$I$89,3,0)*0.475*44/12</f>
        <v>0</v>
      </c>
      <c r="GN34" s="23">
        <f>EXP(-LN(2)/2)*GN33+(1-EXP(-LN(2)/2))/(LN(2)/2)*GH34*GK34*VLOOKUP('Données projet'!$B$17,Paramètres!$A$1:$I$89,3,0)*0.475*44/12</f>
        <v>0</v>
      </c>
      <c r="GO34" s="23">
        <f t="shared" si="27"/>
        <v>0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7.6923076923076881</v>
      </c>
      <c r="GU34" s="13">
        <f>IF('Données projet'!$A$270&gt;35,GU33+GT34-HC33,IF(A34&lt;'Données projet'!$A$270,$GR$205^A34,IF(A34='Données projet'!$A$270,'Données projet'!$B$270,GU33+GT34-HC33)))</f>
        <v>124.35897435897441</v>
      </c>
      <c r="GV34" s="18">
        <f>GU34*VLOOKUP('Données projet'!$B$18,Paramètres!$A$1:$I$89,3,0)*VLOOKUP('Données projet'!$B$18,Paramètres!$A$1:$I$89,5,0)</f>
        <v>83.42000000000003</v>
      </c>
      <c r="GW34" s="14">
        <f t="shared" si="51"/>
        <v>22.971343750654679</v>
      </c>
      <c r="GX34" s="22">
        <f t="shared" si="28"/>
        <v>185.2982570323903</v>
      </c>
      <c r="GY34" s="62">
        <f t="shared" si="29"/>
        <v>478.63159036572358</v>
      </c>
      <c r="GZ34" s="62">
        <f ca="1">AVERAGE(OFFSET($GY$3,0,0,'Données projet'!$E$18+1,1))-AVERAGE(OFFSET($H$3,0,0,'Données projet'!$E$18+1,1))</f>
        <v>312.06797204903796</v>
      </c>
      <c r="HA34" s="62">
        <f t="shared" si="52"/>
        <v>258.20189001775151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>
        <f>EXP(-LN(2)/35)*HG33+(1-EXP(-LN(2)/35))/(LN(2)/35)*HC34*HD34*VLOOKUP('Données projet'!$B$18,Paramètres!$A$1:$I$89,3,0)*0.475*44/12</f>
        <v>0</v>
      </c>
      <c r="HH34" s="23">
        <f>EXP(-LN(2)/25)*HH33+(1-EXP(-LN(2)/25))/(LN(2)/25)*Calculateur!HC34*Calculateur!HE34*VLOOKUP('Données projet'!$B$18,Paramètres!$A$1:$I$89,3,0)*0.475*44/12</f>
        <v>0</v>
      </c>
      <c r="HI34" s="23">
        <f>EXP(-LN(2)/2)*HI33+(1-EXP(-LN(2)/2))/(LN(2)/2)*HC34*HF34*VLOOKUP('Données projet'!$B$18,Paramètres!$A$1:$I$89,3,0)*0.475*44/12</f>
        <v>0</v>
      </c>
      <c r="HJ34" s="24">
        <f t="shared" si="30"/>
        <v>0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10.8</v>
      </c>
      <c r="N35" s="14">
        <f>IF('Données projet'!$A$36&gt;35,N34+M35-V34,IF(A35&lt;'Données projet'!$A$36,$K$205^A35,IF(A35='Données projet'!$A$36,'Données projet'!$B$36,N34+M35-V34)))</f>
        <v>114.60000000000001</v>
      </c>
      <c r="O35" s="14">
        <f>N35*VLOOKUP('Données projet'!$B$9,Paramètres!$A$1:$I$89,3,0)*VLOOKUP('Données projet'!$B$9,Paramètres!$A$1:$I$89,5,0)</f>
        <v>103.69008000000001</v>
      </c>
      <c r="P35" s="14">
        <f t="shared" si="33"/>
        <v>27.83924565319537</v>
      </c>
      <c r="Q35" s="22">
        <f t="shared" ref="Q35:Q66" si="53">(O35+P35)*0.475*44/12</f>
        <v>229.08024217931526</v>
      </c>
      <c r="R35" s="62">
        <f t="shared" si="0"/>
        <v>522.41357551264855</v>
      </c>
      <c r="S35" s="62">
        <f ca="1">AVERAGE(OFFSET($R$3,0,0,'Données projet'!$E$9+1,1))-AVERAGE(OFFSET($H$3,0,0,'Données projet'!$E$9+1,1))</f>
        <v>512.84819850818667</v>
      </c>
      <c r="T35" s="62">
        <f t="shared" si="34"/>
        <v>332.61387922152159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12.919999999999998</v>
      </c>
      <c r="AI35" s="14">
        <f>IF('Données projet'!$A$62&gt;35,AI34+AH35-AQ34,IF(A35&lt;'Données projet'!$A$62,$AF$205^A35,IF(A35='Données projet'!$A$62,'Données projet'!$B$62,AI34+AH35-AQ34)))</f>
        <v>167.63999999999993</v>
      </c>
      <c r="AJ35" s="14">
        <f>AI35*VLOOKUP('Données projet'!$B$10,Paramètres!$A$1:$I$89,3,0)*VLOOKUP('Données projet'!$B$10,Paramètres!$A$1:$I$89,5,0)</f>
        <v>122.91364799999994</v>
      </c>
      <c r="AK35" s="14">
        <f t="shared" si="35"/>
        <v>32.353608109504151</v>
      </c>
      <c r="AL35" s="22">
        <f t="shared" si="4"/>
        <v>270.42380439071962</v>
      </c>
      <c r="AM35" s="62">
        <f t="shared" si="5"/>
        <v>563.75713772405288</v>
      </c>
      <c r="AN35" s="62">
        <f ca="1">AVERAGE(OFFSET($AM$3,0,0,'Données projet'!$E$10+1,1))-AVERAGE(OFFSET($H$3,0,0,'Données projet'!$E$10+1,1))</f>
        <v>344.45199703750711</v>
      </c>
      <c r="AO35" s="62">
        <f t="shared" si="36"/>
        <v>376.41441893222185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10.8</v>
      </c>
      <c r="BD35" s="13">
        <f>IF('Données projet'!$A$88&gt;35,BD34+BC35-BL34,IF(A35&lt;'Données projet'!$A$88,$BA$205^A35,IF(A35='Données projet'!$A$88,'Données projet'!$B$88,BD34+BC35-BL34)))</f>
        <v>114.60000000000001</v>
      </c>
      <c r="BE35" s="14">
        <f>BD35*VLOOKUP('Données projet'!$B$11,Paramètres!$A$1:$I$89,3,0)*VLOOKUP('Données projet'!$B$11,Paramètres!$A$1:$I$89,5,0)</f>
        <v>116.20440000000002</v>
      </c>
      <c r="BF35" s="14">
        <f t="shared" si="37"/>
        <v>30.788088768016376</v>
      </c>
      <c r="BG35" s="22">
        <f t="shared" si="7"/>
        <v>256.01191793762854</v>
      </c>
      <c r="BH35" s="62">
        <f t="shared" si="8"/>
        <v>549.34525127096185</v>
      </c>
      <c r="BI35" s="62">
        <f ca="1">AVERAGE(OFFSET($BH$3,0,0,'Données projet'!$E$11+1,1))-AVERAGE(OFFSET($H$3,0,0,'Données projet'!$E$11+1,1))</f>
        <v>569.39473185784823</v>
      </c>
      <c r="BJ35" s="62">
        <f t="shared" si="38"/>
        <v>367.42881145517066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10.199999999999999</v>
      </c>
      <c r="BY35" s="13">
        <f>IF('Données projet'!$A$114&gt;35,BY34+BX35-CG34,IF(A35&lt;'Données projet'!$A$114,$BV$205^A35,IF(A35='Données projet'!$A$114,'Données projet'!$B$114,BY34+BX35-CG34)))</f>
        <v>108.40000000000002</v>
      </c>
      <c r="BZ35" s="14">
        <f>BY35*VLOOKUP('Données projet'!$B$12,Paramètres!$A$1:$I$89,3,0)*VLOOKUP('Données projet'!$B$12,Paramètres!$A$1:$I$89,5,0)</f>
        <v>93.007200000000026</v>
      </c>
      <c r="CA35" s="14">
        <f t="shared" si="39"/>
        <v>25.289096064617418</v>
      </c>
      <c r="CB35" s="22">
        <f t="shared" si="10"/>
        <v>206.03271564587536</v>
      </c>
      <c r="CC35" s="62">
        <f t="shared" si="11"/>
        <v>499.3660489792087</v>
      </c>
      <c r="CD35" s="62">
        <f ca="1">AVERAGE(OFFSET($CC$3,0,0,'Données projet'!$E$12+1,1))-AVERAGE(OFFSET($H$3,0,0,'Données projet'!$E$12+1,1))</f>
        <v>554.06253050955502</v>
      </c>
      <c r="CE35" s="62">
        <f t="shared" si="40"/>
        <v>269.71949336355789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11.5</v>
      </c>
      <c r="CT35" s="13">
        <f>IF('Données projet'!$A$140&gt;35,CT34+CS35-DB34,IF(A35&lt;'Données projet'!$A$140,$CQ$205^A35,IF(A35='Données projet'!$A$140,'Données projet'!$B$140,CT34+CS35-DB34)))</f>
        <v>130.49999999999997</v>
      </c>
      <c r="CU35" s="18">
        <f>CT35*VLOOKUP('Données projet'!$B$13,Paramètres!$A$1:$I$89,3,0)*VLOOKUP('Données projet'!$B$13,Paramètres!$A$1:$I$89,5,0)</f>
        <v>101.78999999999998</v>
      </c>
      <c r="CV35" s="14">
        <f t="shared" si="41"/>
        <v>27.38799903683508</v>
      </c>
      <c r="CW35" s="22">
        <f t="shared" si="13"/>
        <v>224.98501498915437</v>
      </c>
      <c r="CX35" s="62">
        <f t="shared" si="14"/>
        <v>518.31834832248774</v>
      </c>
      <c r="CY35" s="62">
        <f ca="1">AVERAGE(OFFSET($CX$3,0,0,'Données projet'!$E$13+1,1))-AVERAGE(OFFSET($H$3,0,0,'Données projet'!$E$13+1,1))</f>
        <v>292.21364130214391</v>
      </c>
      <c r="CZ35" s="62">
        <f t="shared" si="42"/>
        <v>283.48738729114024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7.5641025641025639</v>
      </c>
      <c r="DO35" s="13">
        <f>IF('Données projet'!$A$166&gt;35,DO34+DN35-DW34,IF(A35&lt;'Données projet'!$A$166,$DL$205^A35,IF(A35='Données projet'!$A$166,'Données projet'!$B$166,DO34+DN35-DW34)))</f>
        <v>131.79487179487182</v>
      </c>
      <c r="DP35" s="18">
        <f>DO35*VLOOKUP('Données projet'!$B$14,Paramètres!$A$1:$I$89,3,0)*VLOOKUP('Données projet'!$B$14,Paramètres!$A$1:$I$89,5,0)</f>
        <v>125.41600000000003</v>
      </c>
      <c r="DQ35" s="14">
        <f t="shared" si="43"/>
        <v>32.93492868341815</v>
      </c>
      <c r="DR35" s="22">
        <f t="shared" si="16"/>
        <v>275.79453412362</v>
      </c>
      <c r="DS35" s="62">
        <f t="shared" si="17"/>
        <v>569.12786745695325</v>
      </c>
      <c r="DT35" s="62">
        <f ca="1">AVERAGE(OFFSET($DS$3,0,0,'Données projet'!$E$14+1,1))-AVERAGE(OFFSET($H$3,0,0,'Données projet'!$E$14+1,1))</f>
        <v>427.47603885390191</v>
      </c>
      <c r="DU35" s="62">
        <f t="shared" si="44"/>
        <v>350.88664394632116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8</v>
      </c>
      <c r="EJ35" s="13">
        <f>IF('Données projet'!$A$192&gt;35,EJ34+EI35-ER34,IF(A35&lt;'Données projet'!$A$192,$EG$205^A35,IF(A35='Données projet'!$A$192,'Données projet'!$B$192,EJ34+EI35-ER34)))</f>
        <v>92</v>
      </c>
      <c r="EK35" s="18">
        <f>EJ35*VLOOKUP('Données projet'!$B$15,Paramètres!$A$1:$I$89,3,0)*VLOOKUP('Données projet'!$B$15,Paramètres!$A$1:$I$89,5,0)</f>
        <v>88.982399999999998</v>
      </c>
      <c r="EL35" s="14">
        <f t="shared" si="45"/>
        <v>24.31964219550628</v>
      </c>
      <c r="EM35" s="22">
        <f t="shared" si="19"/>
        <v>197.3343901571734</v>
      </c>
      <c r="EN35" s="62">
        <f t="shared" si="20"/>
        <v>490.66772349050672</v>
      </c>
      <c r="EO35" s="62">
        <f ca="1">AVERAGE(OFFSET($EN$3,0,0,'Données projet'!$E$15+1,1))-AVERAGE(OFFSET($H$3,0,0,'Données projet'!$E$15+1,1))</f>
        <v>455.50822833641354</v>
      </c>
      <c r="EP35" s="62">
        <f t="shared" si="46"/>
        <v>261.14722581688039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9.1999999999999993</v>
      </c>
      <c r="FE35" s="13">
        <f>IF('Données projet'!$A$218&gt;35,FE34+FD35-FM34,IF(A35&lt;'Données projet'!$A$218,$FB$205^A35,IF(A35='Données projet'!$A$218,'Données projet'!$B$218,FE34+FD35-FM34)))</f>
        <v>140.40000000000003</v>
      </c>
      <c r="FF35" s="18">
        <f>FE35*VLOOKUP('Données projet'!$B$16,Paramètres!$A$1:$I$89,3,0)*VLOOKUP('Données projet'!$B$16,Paramètres!$A$1:$I$89,5,0)</f>
        <v>122.65344000000005</v>
      </c>
      <c r="FG35" s="14">
        <f t="shared" si="47"/>
        <v>32.293080640759037</v>
      </c>
      <c r="FH35" s="22">
        <f t="shared" si="22"/>
        <v>269.8651901159887</v>
      </c>
      <c r="FI35" s="62">
        <f t="shared" si="23"/>
        <v>563.19852344932201</v>
      </c>
      <c r="FJ35" s="62">
        <f ca="1">AVERAGE(OFFSET($FI$3,0,0,'Données projet'!$E$16+1,1))-AVERAGE(OFFSET($H$3,0,0,'Données projet'!$E$16+1,1))</f>
        <v>369.34989412920129</v>
      </c>
      <c r="FK35" s="62">
        <f t="shared" si="48"/>
        <v>371.26234252426553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5.6</v>
      </c>
      <c r="FZ35" s="13">
        <f>IF('Données projet'!$A$244&gt;35,FZ34+FY35-GH34,IF(A35&lt;'Données projet'!$A$244,$FW$205^A35,IF(A35='Données projet'!$A$244,'Données projet'!$B$244,FZ34+FY35-GH34)))</f>
        <v>199.20000000000002</v>
      </c>
      <c r="GA35" s="18">
        <f>FZ35*VLOOKUP('Données projet'!$B$17,Paramètres!$A$1:$I$89,3,0)*VLOOKUP('Données projet'!$B$17,Paramètres!$A$1:$I$89,5,0)</f>
        <v>180.23616000000001</v>
      </c>
      <c r="GB35" s="14">
        <f t="shared" si="49"/>
        <v>45.374723405565916</v>
      </c>
      <c r="GC35" s="22">
        <f t="shared" si="25"/>
        <v>392.93895526469396</v>
      </c>
      <c r="GD35" s="62">
        <f t="shared" si="26"/>
        <v>686.27228859802722</v>
      </c>
      <c r="GE35" s="62">
        <f ca="1">AVERAGE(OFFSET($GD$3,0,0,'Données projet'!$E$17+1,1))-AVERAGE(OFFSET($H$3,0,0,'Données projet'!$E$17+1,1))</f>
        <v>324.4489531703187</v>
      </c>
      <c r="GF35" s="62">
        <f t="shared" si="50"/>
        <v>446.55019360848706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projet'!$B$17,Paramètres!$A$1:$I$89,3,0)*0.475*44/12</f>
        <v>0</v>
      </c>
      <c r="GM35" s="23">
        <f>EXP(-LN(2)/25)*GM34+(1-EXP(-LN(2)/25))/(LN(2)/25)*Calculateur!GH35*Calculateur!GJ35*VLOOKUP('Données projet'!$B$17,Paramètres!$A$1:$I$89,3,0)*0.475*44/12</f>
        <v>0</v>
      </c>
      <c r="GN35" s="23">
        <f>EXP(-LN(2)/2)*GN34+(1-EXP(-LN(2)/2))/(LN(2)/2)*GH35*GK35*VLOOKUP('Données projet'!$B$17,Paramètres!$A$1:$I$89,3,0)*0.475*44/12</f>
        <v>0</v>
      </c>
      <c r="GO35" s="23">
        <f t="shared" si="27"/>
        <v>0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7.6923076923076881</v>
      </c>
      <c r="GU35" s="13">
        <f>IF('Données projet'!$A$270&gt;35,GU34+GT35-HC34,IF(A35&lt;'Données projet'!$A$270,$GR$205^A35,IF(A35='Données projet'!$A$270,'Données projet'!$B$270,GU34+GT35-HC34)))</f>
        <v>132.0512820512821</v>
      </c>
      <c r="GV35" s="18">
        <f>GU35*VLOOKUP('Données projet'!$B$18,Paramètres!$A$1:$I$89,3,0)*VLOOKUP('Données projet'!$B$18,Paramètres!$A$1:$I$89,5,0)</f>
        <v>88.580000000000041</v>
      </c>
      <c r="GW35" s="14">
        <f t="shared" si="51"/>
        <v>24.222438846820232</v>
      </c>
      <c r="GX35" s="22">
        <f t="shared" si="28"/>
        <v>196.46424765821197</v>
      </c>
      <c r="GY35" s="62">
        <f t="shared" si="29"/>
        <v>489.79758099154526</v>
      </c>
      <c r="GZ35" s="62">
        <f ca="1">AVERAGE(OFFSET($GY$3,0,0,'Données projet'!$E$18+1,1))-AVERAGE(OFFSET($H$3,0,0,'Données projet'!$E$18+1,1))</f>
        <v>312.06797204903796</v>
      </c>
      <c r="HA35" s="62">
        <f t="shared" si="52"/>
        <v>258.20189001775151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>
        <f>EXP(-LN(2)/35)*HG34+(1-EXP(-LN(2)/35))/(LN(2)/35)*HC35*HD35*VLOOKUP('Données projet'!$B$18,Paramètres!$A$1:$I$89,3,0)*0.475*44/12</f>
        <v>0</v>
      </c>
      <c r="HH35" s="23">
        <f>EXP(-LN(2)/25)*HH34+(1-EXP(-LN(2)/25))/(LN(2)/25)*Calculateur!HC35*Calculateur!HE35*VLOOKUP('Données projet'!$B$18,Paramètres!$A$1:$I$89,3,0)*0.475*44/12</f>
        <v>0</v>
      </c>
      <c r="HI35" s="23">
        <f>EXP(-LN(2)/2)*HI34+(1-EXP(-LN(2)/2))/(LN(2)/2)*HC35*HF35*VLOOKUP('Données projet'!$B$18,Paramètres!$A$1:$I$89,3,0)*0.475*44/12</f>
        <v>0</v>
      </c>
      <c r="HJ35" s="24">
        <f t="shared" si="30"/>
        <v>0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10.8</v>
      </c>
      <c r="N36" s="14">
        <f>IF('Données projet'!$A$36&gt;35,N35+M36-V35,IF(A36&lt;'Données projet'!$A$36,$K$205^A36,IF(A36='Données projet'!$A$36,'Données projet'!$B$36,N35+M36-V35)))</f>
        <v>125.4</v>
      </c>
      <c r="O36" s="14">
        <f>N36*VLOOKUP('Données projet'!$B$9,Paramètres!$A$1:$I$89,3,0)*VLOOKUP('Données projet'!$B$9,Paramètres!$A$1:$I$89,5,0)</f>
        <v>113.46192000000001</v>
      </c>
      <c r="P36" s="14">
        <f t="shared" si="33"/>
        <v>30.145163126535493</v>
      </c>
      <c r="Q36" s="22">
        <f t="shared" si="53"/>
        <v>250.11566977871595</v>
      </c>
      <c r="R36" s="62">
        <f t="shared" si="0"/>
        <v>543.44900311204924</v>
      </c>
      <c r="S36" s="62">
        <f ca="1">AVERAGE(OFFSET($R$3,0,0,'Données projet'!$E$9+1,1))-AVERAGE(OFFSET($H$3,0,0,'Données projet'!$E$9+1,1))</f>
        <v>512.84819850818667</v>
      </c>
      <c r="T36" s="62">
        <f t="shared" si="34"/>
        <v>332.61387922152159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12.919999999999998</v>
      </c>
      <c r="AI36" s="14">
        <f>IF('Données projet'!$A$62&gt;35,AI35+AH36-AQ35,IF(A36&lt;'Données projet'!$A$62,$AF$205^A36,IF(A36='Données projet'!$A$62,'Données projet'!$B$62,AI35+AH36-AQ35)))</f>
        <v>180.55999999999992</v>
      </c>
      <c r="AJ36" s="14">
        <f>AI36*VLOOKUP('Données projet'!$B$10,Paramètres!$A$1:$I$89,3,0)*VLOOKUP('Données projet'!$B$10,Paramètres!$A$1:$I$89,5,0)</f>
        <v>132.38659199999992</v>
      </c>
      <c r="AK36" s="14">
        <f t="shared" si="35"/>
        <v>34.547245433823143</v>
      </c>
      <c r="AL36" s="22">
        <f t="shared" si="4"/>
        <v>290.74310019724186</v>
      </c>
      <c r="AM36" s="62">
        <f t="shared" si="5"/>
        <v>584.07643353057517</v>
      </c>
      <c r="AN36" s="62">
        <f ca="1">AVERAGE(OFFSET($AM$3,0,0,'Données projet'!$E$10+1,1))-AVERAGE(OFFSET($H$3,0,0,'Données projet'!$E$10+1,1))</f>
        <v>344.45199703750711</v>
      </c>
      <c r="AO36" s="62">
        <f t="shared" si="36"/>
        <v>376.41441893222185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10.8</v>
      </c>
      <c r="BD36" s="13">
        <f>IF('Données projet'!$A$88&gt;35,BD35+BC36-BL35,IF(A36&lt;'Données projet'!$A$88,$BA$205^A36,IF(A36='Données projet'!$A$88,'Données projet'!$B$88,BD35+BC36-BL35)))</f>
        <v>125.4</v>
      </c>
      <c r="BE36" s="14">
        <f>BD36*VLOOKUP('Données projet'!$B$11,Paramètres!$A$1:$I$89,3,0)*VLOOKUP('Données projet'!$B$11,Paramètres!$A$1:$I$89,5,0)</f>
        <v>127.15560000000001</v>
      </c>
      <c r="BF36" s="14">
        <f t="shared" si="37"/>
        <v>33.338258149231912</v>
      </c>
      <c r="BG36" s="22">
        <f t="shared" si="7"/>
        <v>279.52680294324563</v>
      </c>
      <c r="BH36" s="62">
        <f t="shared" si="8"/>
        <v>572.86013627657894</v>
      </c>
      <c r="BI36" s="62">
        <f ca="1">AVERAGE(OFFSET($BH$3,0,0,'Données projet'!$E$11+1,1))-AVERAGE(OFFSET($H$3,0,0,'Données projet'!$E$11+1,1))</f>
        <v>569.39473185784823</v>
      </c>
      <c r="BJ36" s="62">
        <f t="shared" si="38"/>
        <v>367.42881145517066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10.199999999999999</v>
      </c>
      <c r="BY36" s="13">
        <f>IF('Données projet'!$A$114&gt;35,BY35+BX36-CG35,IF(A36&lt;'Données projet'!$A$114,$BV$205^A36,IF(A36='Données projet'!$A$114,'Données projet'!$B$114,BY35+BX36-CG35)))</f>
        <v>118.60000000000002</v>
      </c>
      <c r="BZ36" s="14">
        <f>BY36*VLOOKUP('Données projet'!$B$12,Paramètres!$A$1:$I$89,3,0)*VLOOKUP('Données projet'!$B$12,Paramètres!$A$1:$I$89,5,0)</f>
        <v>101.75880000000004</v>
      </c>
      <c r="CA36" s="14">
        <f t="shared" si="39"/>
        <v>27.380581268956313</v>
      </c>
      <c r="CB36" s="22">
        <f t="shared" si="10"/>
        <v>224.91775571009896</v>
      </c>
      <c r="CC36" s="62">
        <f t="shared" si="11"/>
        <v>518.25108904343233</v>
      </c>
      <c r="CD36" s="62">
        <f ca="1">AVERAGE(OFFSET($CC$3,0,0,'Données projet'!$E$12+1,1))-AVERAGE(OFFSET($H$3,0,0,'Données projet'!$E$12+1,1))</f>
        <v>554.06253050955502</v>
      </c>
      <c r="CE36" s="62">
        <f t="shared" si="40"/>
        <v>269.71949336355789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11.5</v>
      </c>
      <c r="CT36" s="13">
        <f>IF('Données projet'!$A$140&gt;35,CT35+CS36-DB35,IF(A36&lt;'Données projet'!$A$140,$CQ$205^A36,IF(A36='Données projet'!$A$140,'Données projet'!$B$140,CT35+CS36-DB35)))</f>
        <v>141.99999999999997</v>
      </c>
      <c r="CU36" s="18">
        <f>CT36*VLOOKUP('Données projet'!$B$13,Paramètres!$A$1:$I$89,3,0)*VLOOKUP('Données projet'!$B$13,Paramètres!$A$1:$I$89,5,0)</f>
        <v>110.75999999999998</v>
      </c>
      <c r="CV36" s="14">
        <f t="shared" si="41"/>
        <v>29.509974682362923</v>
      </c>
      <c r="CW36" s="22">
        <f t="shared" si="13"/>
        <v>244.30353923844871</v>
      </c>
      <c r="CX36" s="62">
        <f t="shared" si="14"/>
        <v>537.63687257178208</v>
      </c>
      <c r="CY36" s="62">
        <f ca="1">AVERAGE(OFFSET($CX$3,0,0,'Données projet'!$E$13+1,1))-AVERAGE(OFFSET($H$3,0,0,'Données projet'!$E$13+1,1))</f>
        <v>292.21364130214391</v>
      </c>
      <c r="CZ36" s="62">
        <f t="shared" si="42"/>
        <v>283.48738729114024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7.5641025641025639</v>
      </c>
      <c r="DO36" s="13">
        <f>IF('Données projet'!$A$166&gt;35,DO35+DN36-DW35,IF(A36&lt;'Données projet'!$A$166,$DL$205^A36,IF(A36='Données projet'!$A$166,'Données projet'!$B$166,DO35+DN36-DW35)))</f>
        <v>139.35897435897439</v>
      </c>
      <c r="DP36" s="18">
        <f>DO36*VLOOKUP('Données projet'!$B$14,Paramètres!$A$1:$I$89,3,0)*VLOOKUP('Données projet'!$B$14,Paramètres!$A$1:$I$89,5,0)</f>
        <v>132.61400000000003</v>
      </c>
      <c r="DQ36" s="14">
        <f t="shared" si="43"/>
        <v>34.599676353608892</v>
      </c>
      <c r="DR36" s="22">
        <f t="shared" si="16"/>
        <v>291.23048631586886</v>
      </c>
      <c r="DS36" s="62">
        <f t="shared" si="17"/>
        <v>584.56381964920217</v>
      </c>
      <c r="DT36" s="62">
        <f ca="1">AVERAGE(OFFSET($DS$3,0,0,'Données projet'!$E$14+1,1))-AVERAGE(OFFSET($H$3,0,0,'Données projet'!$E$14+1,1))</f>
        <v>427.47603885390191</v>
      </c>
      <c r="DU36" s="62">
        <f t="shared" si="44"/>
        <v>350.88664394632116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8</v>
      </c>
      <c r="EJ36" s="13">
        <f>IF('Données projet'!$A$192&gt;35,EJ35+EI36-ER35,IF(A36&lt;'Données projet'!$A$192,$EG$205^A36,IF(A36='Données projet'!$A$192,'Données projet'!$B$192,EJ35+EI36-ER35)))</f>
        <v>100</v>
      </c>
      <c r="EK36" s="18">
        <f>EJ36*VLOOKUP('Données projet'!$B$15,Paramètres!$A$1:$I$89,3,0)*VLOOKUP('Données projet'!$B$15,Paramètres!$A$1:$I$89,5,0)</f>
        <v>96.72</v>
      </c>
      <c r="EL36" s="14">
        <f t="shared" si="45"/>
        <v>26.179072558792139</v>
      </c>
      <c r="EM36" s="22">
        <f t="shared" si="19"/>
        <v>214.04921803989632</v>
      </c>
      <c r="EN36" s="62">
        <f t="shared" si="20"/>
        <v>507.3825513732296</v>
      </c>
      <c r="EO36" s="62">
        <f ca="1">AVERAGE(OFFSET($EN$3,0,0,'Données projet'!$E$15+1,1))-AVERAGE(OFFSET($H$3,0,0,'Données projet'!$E$15+1,1))</f>
        <v>455.50822833641354</v>
      </c>
      <c r="EP36" s="62">
        <f t="shared" si="46"/>
        <v>261.14722581688039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9.1999999999999993</v>
      </c>
      <c r="FE36" s="13">
        <f>IF('Données projet'!$A$218&gt;35,FE35+FD36-FM35,IF(A36&lt;'Données projet'!$A$218,$FB$205^A36,IF(A36='Données projet'!$A$218,'Données projet'!$B$218,FE35+FD36-FM35)))</f>
        <v>149.60000000000002</v>
      </c>
      <c r="FF36" s="18">
        <f>FE36*VLOOKUP('Données projet'!$B$16,Paramètres!$A$1:$I$89,3,0)*VLOOKUP('Données projet'!$B$16,Paramètres!$A$1:$I$89,5,0)</f>
        <v>130.69056000000003</v>
      </c>
      <c r="FG36" s="14">
        <f t="shared" si="47"/>
        <v>34.155878238422723</v>
      </c>
      <c r="FH36" s="22">
        <f t="shared" si="22"/>
        <v>287.10754659858628</v>
      </c>
      <c r="FI36" s="62">
        <f t="shared" si="23"/>
        <v>580.44087993191965</v>
      </c>
      <c r="FJ36" s="62">
        <f ca="1">AVERAGE(OFFSET($FI$3,0,0,'Données projet'!$E$16+1,1))-AVERAGE(OFFSET($H$3,0,0,'Données projet'!$E$16+1,1))</f>
        <v>369.34989412920129</v>
      </c>
      <c r="FK36" s="62">
        <f t="shared" si="48"/>
        <v>371.26234252426553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5.6</v>
      </c>
      <c r="FZ36" s="13">
        <f>IF('Données projet'!$A$244&gt;35,FZ35+FY36-GH35,IF(A36&lt;'Données projet'!$A$244,$FW$205^A36,IF(A36='Données projet'!$A$244,'Données projet'!$B$244,FZ35+FY36-GH35)))</f>
        <v>204.8</v>
      </c>
      <c r="GA36" s="18">
        <f>FZ36*VLOOKUP('Données projet'!$B$17,Paramètres!$A$1:$I$89,3,0)*VLOOKUP('Données projet'!$B$17,Paramètres!$A$1:$I$89,5,0)</f>
        <v>185.30303999999998</v>
      </c>
      <c r="GB36" s="14">
        <f t="shared" si="49"/>
        <v>46.500013710710547</v>
      </c>
      <c r="GC36" s="22">
        <f t="shared" si="25"/>
        <v>403.72365187948748</v>
      </c>
      <c r="GD36" s="62">
        <f t="shared" si="26"/>
        <v>697.05698521282079</v>
      </c>
      <c r="GE36" s="62">
        <f ca="1">AVERAGE(OFFSET($GD$3,0,0,'Données projet'!$E$17+1,1))-AVERAGE(OFFSET($H$3,0,0,'Données projet'!$E$17+1,1))</f>
        <v>324.4489531703187</v>
      </c>
      <c r="GF36" s="62">
        <f t="shared" si="50"/>
        <v>446.55019360848706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projet'!$B$17,Paramètres!$A$1:$I$89,3,0)*0.475*44/12</f>
        <v>0</v>
      </c>
      <c r="GM36" s="23">
        <f>EXP(-LN(2)/25)*GM35+(1-EXP(-LN(2)/25))/(LN(2)/25)*Calculateur!GH36*Calculateur!GJ36*VLOOKUP('Données projet'!$B$17,Paramètres!$A$1:$I$89,3,0)*0.475*44/12</f>
        <v>0</v>
      </c>
      <c r="GN36" s="23">
        <f>EXP(-LN(2)/2)*GN35+(1-EXP(-LN(2)/2))/(LN(2)/2)*GH36*GK36*VLOOKUP('Données projet'!$B$17,Paramètres!$A$1:$I$89,3,0)*0.475*44/12</f>
        <v>0</v>
      </c>
      <c r="GO36" s="23">
        <f t="shared" si="27"/>
        <v>0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7.6923076923076881</v>
      </c>
      <c r="GU36" s="13">
        <f>IF('Données projet'!$A$270&gt;35,GU35+GT36-HC35,IF(A36&lt;'Données projet'!$A$270,$GR$205^A36,IF(A36='Données projet'!$A$270,'Données projet'!$B$270,GU35+GT36-HC35)))</f>
        <v>139.74358974358978</v>
      </c>
      <c r="GV36" s="18">
        <f>GU36*VLOOKUP('Données projet'!$B$18,Paramètres!$A$1:$I$89,3,0)*VLOOKUP('Données projet'!$B$18,Paramètres!$A$1:$I$89,5,0)</f>
        <v>93.740000000000023</v>
      </c>
      <c r="GW36" s="14">
        <f t="shared" si="51"/>
        <v>25.465074435109123</v>
      </c>
      <c r="GX36" s="22">
        <f t="shared" si="28"/>
        <v>207.61550464114839</v>
      </c>
      <c r="GY36" s="62">
        <f t="shared" si="29"/>
        <v>500.94883797448171</v>
      </c>
      <c r="GZ36" s="62">
        <f ca="1">AVERAGE(OFFSET($GY$3,0,0,'Données projet'!$E$18+1,1))-AVERAGE(OFFSET($H$3,0,0,'Données projet'!$E$18+1,1))</f>
        <v>312.06797204903796</v>
      </c>
      <c r="HA36" s="62">
        <f t="shared" si="52"/>
        <v>258.20189001775151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>
        <f>EXP(-LN(2)/35)*HG35+(1-EXP(-LN(2)/35))/(LN(2)/35)*HC36*HD36*VLOOKUP('Données projet'!$B$18,Paramètres!$A$1:$I$89,3,0)*0.475*44/12</f>
        <v>0</v>
      </c>
      <c r="HH36" s="23">
        <f>EXP(-LN(2)/25)*HH35+(1-EXP(-LN(2)/25))/(LN(2)/25)*Calculateur!HC36*Calculateur!HE36*VLOOKUP('Données projet'!$B$18,Paramètres!$A$1:$I$89,3,0)*0.475*44/12</f>
        <v>0</v>
      </c>
      <c r="HI36" s="23">
        <f>EXP(-LN(2)/2)*HI35+(1-EXP(-LN(2)/2))/(LN(2)/2)*HC36*HF36*VLOOKUP('Données projet'!$B$18,Paramètres!$A$1:$I$89,3,0)*0.475*44/12</f>
        <v>0</v>
      </c>
      <c r="HJ36" s="24">
        <f t="shared" si="30"/>
        <v>0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10.8</v>
      </c>
      <c r="N37" s="14">
        <f>IF('Données projet'!$A$36&gt;35,N36+M37-V36,IF(A37&lt;'Données projet'!$A$36,$K$205^A37,IF(A37='Données projet'!$A$36,'Données projet'!$B$36,N36+M37-V36)))</f>
        <v>136.20000000000002</v>
      </c>
      <c r="O37" s="14">
        <f>N37*VLOOKUP('Données projet'!$B$9,Paramètres!$A$1:$I$89,3,0)*VLOOKUP('Données projet'!$B$9,Paramètres!$A$1:$I$89,5,0)</f>
        <v>123.23376000000002</v>
      </c>
      <c r="P37" s="14">
        <f t="shared" si="33"/>
        <v>32.428049504876491</v>
      </c>
      <c r="Q37" s="22">
        <f t="shared" si="53"/>
        <v>271.11098488765992</v>
      </c>
      <c r="R37" s="62">
        <f t="shared" si="0"/>
        <v>564.44431822099318</v>
      </c>
      <c r="S37" s="62">
        <f ca="1">AVERAGE(OFFSET($R$3,0,0,'Données projet'!$E$9+1,1))-AVERAGE(OFFSET($H$3,0,0,'Données projet'!$E$9+1,1))</f>
        <v>512.84819850818667</v>
      </c>
      <c r="T37" s="62">
        <f t="shared" si="34"/>
        <v>332.61387922152159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12.919999999999998</v>
      </c>
      <c r="AI37" s="14">
        <f>IF('Données projet'!$A$62&gt;35,AI36+AH37-AQ36,IF(A37&lt;'Données projet'!$A$62,$AF$205^A37,IF(A37='Données projet'!$A$62,'Données projet'!$B$62,AI36+AH37-AQ36)))</f>
        <v>193.4799999999999</v>
      </c>
      <c r="AJ37" s="14">
        <f>AI37*VLOOKUP('Données projet'!$B$10,Paramètres!$A$1:$I$89,3,0)*VLOOKUP('Données projet'!$B$10,Paramètres!$A$1:$I$89,5,0)</f>
        <v>141.85953599999993</v>
      </c>
      <c r="AK37" s="14">
        <f t="shared" si="35"/>
        <v>36.722671388271863</v>
      </c>
      <c r="AL37" s="22">
        <f t="shared" si="4"/>
        <v>311.03067786790672</v>
      </c>
      <c r="AM37" s="62">
        <f t="shared" si="5"/>
        <v>604.36401120124003</v>
      </c>
      <c r="AN37" s="62">
        <f ca="1">AVERAGE(OFFSET($AM$3,0,0,'Données projet'!$E$10+1,1))-AVERAGE(OFFSET($H$3,0,0,'Données projet'!$E$10+1,1))</f>
        <v>344.45199703750711</v>
      </c>
      <c r="AO37" s="62">
        <f t="shared" si="36"/>
        <v>376.41441893222185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10.8</v>
      </c>
      <c r="BD37" s="13">
        <f>IF('Données projet'!$A$88&gt;35,BD36+BC37-BL36,IF(A37&lt;'Données projet'!$A$88,$BA$205^A37,IF(A37='Données projet'!$A$88,'Données projet'!$B$88,BD36+BC37-BL36)))</f>
        <v>136.20000000000002</v>
      </c>
      <c r="BE37" s="14">
        <f>BD37*VLOOKUP('Données projet'!$B$11,Paramètres!$A$1:$I$89,3,0)*VLOOKUP('Données projet'!$B$11,Paramètres!$A$1:$I$89,5,0)</f>
        <v>138.10680000000002</v>
      </c>
      <c r="BF37" s="14">
        <f t="shared" si="37"/>
        <v>35.862956890686135</v>
      </c>
      <c r="BG37" s="22">
        <f t="shared" si="7"/>
        <v>302.9973265846117</v>
      </c>
      <c r="BH37" s="62">
        <f t="shared" si="8"/>
        <v>596.33065991794501</v>
      </c>
      <c r="BI37" s="62">
        <f ca="1">AVERAGE(OFFSET($BH$3,0,0,'Données projet'!$E$11+1,1))-AVERAGE(OFFSET($H$3,0,0,'Données projet'!$E$11+1,1))</f>
        <v>569.39473185784823</v>
      </c>
      <c r="BJ37" s="62">
        <f t="shared" si="38"/>
        <v>367.42881145517066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10.199999999999999</v>
      </c>
      <c r="BY37" s="13">
        <f>IF('Données projet'!$A$114&gt;35,BY36+BX37-CG36,IF(A37&lt;'Données projet'!$A$114,$BV$205^A37,IF(A37='Données projet'!$A$114,'Données projet'!$B$114,BY36+BX37-CG36)))</f>
        <v>128.80000000000001</v>
      </c>
      <c r="BZ37" s="14">
        <f>BY37*VLOOKUP('Données projet'!$B$12,Paramètres!$A$1:$I$89,3,0)*VLOOKUP('Données projet'!$B$12,Paramètres!$A$1:$I$89,5,0)</f>
        <v>110.51040000000003</v>
      </c>
      <c r="CA37" s="14">
        <f t="shared" si="39"/>
        <v>29.451206375056412</v>
      </c>
      <c r="CB37" s="22">
        <f t="shared" si="10"/>
        <v>243.76646443655662</v>
      </c>
      <c r="CC37" s="62">
        <f t="shared" si="11"/>
        <v>537.09979776988996</v>
      </c>
      <c r="CD37" s="62">
        <f ca="1">AVERAGE(OFFSET($CC$3,0,0,'Données projet'!$E$12+1,1))-AVERAGE(OFFSET($H$3,0,0,'Données projet'!$E$12+1,1))</f>
        <v>554.06253050955502</v>
      </c>
      <c r="CE37" s="62">
        <f t="shared" si="40"/>
        <v>269.71949336355789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11.5</v>
      </c>
      <c r="CT37" s="13">
        <f>IF('Données projet'!$A$140&gt;35,CT36+CS37-DB36,IF(A37&lt;'Données projet'!$A$140,$CQ$205^A37,IF(A37='Données projet'!$A$140,'Données projet'!$B$140,CT36+CS37-DB36)))</f>
        <v>153.49999999999997</v>
      </c>
      <c r="CU37" s="18">
        <f>CT37*VLOOKUP('Données projet'!$B$13,Paramètres!$A$1:$I$89,3,0)*VLOOKUP('Données projet'!$B$13,Paramètres!$A$1:$I$89,5,0)</f>
        <v>119.72999999999998</v>
      </c>
      <c r="CV37" s="14">
        <f t="shared" si="41"/>
        <v>31.612017974790529</v>
      </c>
      <c r="CW37" s="22">
        <f t="shared" si="13"/>
        <v>263.58734797276014</v>
      </c>
      <c r="CX37" s="62">
        <f t="shared" si="14"/>
        <v>556.92068130609346</v>
      </c>
      <c r="CY37" s="62">
        <f ca="1">AVERAGE(OFFSET($CX$3,0,0,'Données projet'!$E$13+1,1))-AVERAGE(OFFSET($H$3,0,0,'Données projet'!$E$13+1,1))</f>
        <v>292.21364130214391</v>
      </c>
      <c r="CZ37" s="62">
        <f t="shared" si="42"/>
        <v>283.48738729114024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7.5641025641025639</v>
      </c>
      <c r="DO37" s="13">
        <f>IF('Données projet'!$A$166&gt;35,DO36+DN37-DW36,IF(A37&lt;'Données projet'!$A$166,$DL$205^A37,IF(A37='Données projet'!$A$166,'Données projet'!$B$166,DO36+DN37-DW36)))</f>
        <v>146.92307692307696</v>
      </c>
      <c r="DP37" s="18">
        <f>DO37*VLOOKUP('Données projet'!$B$14,Paramètres!$A$1:$I$89,3,0)*VLOOKUP('Données projet'!$B$14,Paramètres!$A$1:$I$89,5,0)</f>
        <v>139.81200000000004</v>
      </c>
      <c r="DQ37" s="14">
        <f t="shared" si="43"/>
        <v>36.253933967346235</v>
      </c>
      <c r="DR37" s="22">
        <f t="shared" si="16"/>
        <v>306.64816832646142</v>
      </c>
      <c r="DS37" s="62">
        <f t="shared" si="17"/>
        <v>599.98150165979473</v>
      </c>
      <c r="DT37" s="62">
        <f ca="1">AVERAGE(OFFSET($DS$3,0,0,'Données projet'!$E$14+1,1))-AVERAGE(OFFSET($H$3,0,0,'Données projet'!$E$14+1,1))</f>
        <v>427.47603885390191</v>
      </c>
      <c r="DU37" s="62">
        <f t="shared" si="44"/>
        <v>350.88664394632116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8</v>
      </c>
      <c r="EJ37" s="13">
        <f>IF('Données projet'!$A$192&gt;35,EJ36+EI37-ER36,IF(A37&lt;'Données projet'!$A$192,$EG$205^A37,IF(A37='Données projet'!$A$192,'Données projet'!$B$192,EJ36+EI37-ER36)))</f>
        <v>108</v>
      </c>
      <c r="EK37" s="18">
        <f>EJ37*VLOOKUP('Données projet'!$B$15,Paramètres!$A$1:$I$89,3,0)*VLOOKUP('Données projet'!$B$15,Paramètres!$A$1:$I$89,5,0)</f>
        <v>104.4576</v>
      </c>
      <c r="EL37" s="14">
        <f t="shared" si="45"/>
        <v>28.021248860498272</v>
      </c>
      <c r="EM37" s="22">
        <f t="shared" si="19"/>
        <v>230.73399509870114</v>
      </c>
      <c r="EN37" s="62">
        <f t="shared" si="20"/>
        <v>524.0673284320344</v>
      </c>
      <c r="EO37" s="62">
        <f ca="1">AVERAGE(OFFSET($EN$3,0,0,'Données projet'!$E$15+1,1))-AVERAGE(OFFSET($H$3,0,0,'Données projet'!$E$15+1,1))</f>
        <v>455.50822833641354</v>
      </c>
      <c r="EP37" s="62">
        <f t="shared" si="46"/>
        <v>261.14722581688039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9.1999999999999993</v>
      </c>
      <c r="FE37" s="13">
        <f>IF('Données projet'!$A$218&gt;35,FE36+FD37-FM36,IF(A37&lt;'Données projet'!$A$218,$FB$205^A37,IF(A37='Données projet'!$A$218,'Données projet'!$B$218,FE36+FD37-FM36)))</f>
        <v>158.80000000000001</v>
      </c>
      <c r="FF37" s="18">
        <f>FE37*VLOOKUP('Données projet'!$B$16,Paramètres!$A$1:$I$89,3,0)*VLOOKUP('Données projet'!$B$16,Paramètres!$A$1:$I$89,5,0)</f>
        <v>138.72768000000002</v>
      </c>
      <c r="FG37" s="14">
        <f t="shared" si="47"/>
        <v>36.005380160492741</v>
      </c>
      <c r="FH37" s="22">
        <f t="shared" si="22"/>
        <v>304.32674644619152</v>
      </c>
      <c r="FI37" s="62">
        <f t="shared" si="23"/>
        <v>597.66007977952484</v>
      </c>
      <c r="FJ37" s="62">
        <f ca="1">AVERAGE(OFFSET($FI$3,0,0,'Données projet'!$E$16+1,1))-AVERAGE(OFFSET($H$3,0,0,'Données projet'!$E$16+1,1))</f>
        <v>369.34989412920129</v>
      </c>
      <c r="FK37" s="62">
        <f t="shared" si="48"/>
        <v>371.26234252426553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5.6</v>
      </c>
      <c r="FZ37" s="13">
        <f>IF('Données projet'!$A$244&gt;35,FZ36+FY37-GH36,IF(A37&lt;'Données projet'!$A$244,$FW$205^A37,IF(A37='Données projet'!$A$244,'Données projet'!$B$244,FZ36+FY37-GH36)))</f>
        <v>210.4</v>
      </c>
      <c r="GA37" s="18">
        <f>FZ37*VLOOKUP('Données projet'!$B$17,Paramètres!$A$1:$I$89,3,0)*VLOOKUP('Données projet'!$B$17,Paramètres!$A$1:$I$89,5,0)</f>
        <v>190.36992000000001</v>
      </c>
      <c r="GB37" s="14">
        <f t="shared" si="49"/>
        <v>47.621727650589136</v>
      </c>
      <c r="GC37" s="22">
        <f t="shared" si="25"/>
        <v>414.50211965810939</v>
      </c>
      <c r="GD37" s="62">
        <f t="shared" si="26"/>
        <v>707.83545299144271</v>
      </c>
      <c r="GE37" s="62">
        <f ca="1">AVERAGE(OFFSET($GD$3,0,0,'Données projet'!$E$17+1,1))-AVERAGE(OFFSET($H$3,0,0,'Données projet'!$E$17+1,1))</f>
        <v>324.4489531703187</v>
      </c>
      <c r="GF37" s="62">
        <f t="shared" si="50"/>
        <v>446.55019360848706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projet'!$B$17,Paramètres!$A$1:$I$89,3,0)*0.475*44/12</f>
        <v>0</v>
      </c>
      <c r="GM37" s="23">
        <f>EXP(-LN(2)/25)*GM36+(1-EXP(-LN(2)/25))/(LN(2)/25)*Calculateur!GH37*Calculateur!GJ37*VLOOKUP('Données projet'!$B$17,Paramètres!$A$1:$I$89,3,0)*0.475*44/12</f>
        <v>0</v>
      </c>
      <c r="GN37" s="23">
        <f>EXP(-LN(2)/2)*GN36+(1-EXP(-LN(2)/2))/(LN(2)/2)*GH37*GK37*VLOOKUP('Données projet'!$B$17,Paramètres!$A$1:$I$89,3,0)*0.475*44/12</f>
        <v>0</v>
      </c>
      <c r="GO37" s="23">
        <f t="shared" si="27"/>
        <v>0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7.6923076923076881</v>
      </c>
      <c r="GU37" s="13">
        <f>IF('Données projet'!$A$270&gt;35,GU36+GT37-HC36,IF(A37&lt;'Données projet'!$A$270,$GR$205^A37,IF(A37='Données projet'!$A$270,'Données projet'!$B$270,GU36+GT37-HC36)))</f>
        <v>147.43589743589746</v>
      </c>
      <c r="GV37" s="18">
        <f>GU37*VLOOKUP('Données projet'!$B$18,Paramètres!$A$1:$I$89,3,0)*VLOOKUP('Données projet'!$B$18,Paramètres!$A$1:$I$89,5,0)</f>
        <v>98.90000000000002</v>
      </c>
      <c r="GW37" s="14">
        <f t="shared" si="51"/>
        <v>26.699769255487553</v>
      </c>
      <c r="GX37" s="22">
        <f t="shared" si="28"/>
        <v>218.7529314533075</v>
      </c>
      <c r="GY37" s="62">
        <f t="shared" si="29"/>
        <v>512.08626478664087</v>
      </c>
      <c r="GZ37" s="62">
        <f ca="1">AVERAGE(OFFSET($GY$3,0,0,'Données projet'!$E$18+1,1))-AVERAGE(OFFSET($H$3,0,0,'Données projet'!$E$18+1,1))</f>
        <v>312.06797204903796</v>
      </c>
      <c r="HA37" s="62">
        <f t="shared" si="52"/>
        <v>258.20189001775151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>
        <f>EXP(-LN(2)/35)*HG36+(1-EXP(-LN(2)/35))/(LN(2)/35)*HC37*HD37*VLOOKUP('Données projet'!$B$18,Paramètres!$A$1:$I$89,3,0)*0.475*44/12</f>
        <v>0</v>
      </c>
      <c r="HH37" s="23">
        <f>EXP(-LN(2)/25)*HH36+(1-EXP(-LN(2)/25))/(LN(2)/25)*Calculateur!HC37*Calculateur!HE37*VLOOKUP('Données projet'!$B$18,Paramètres!$A$1:$I$89,3,0)*0.475*44/12</f>
        <v>0</v>
      </c>
      <c r="HI37" s="23">
        <f>EXP(-LN(2)/2)*HI36+(1-EXP(-LN(2)/2))/(LN(2)/2)*HC37*HF37*VLOOKUP('Données projet'!$B$18,Paramètres!$A$1:$I$89,3,0)*0.475*44/12</f>
        <v>0</v>
      </c>
      <c r="HJ37" s="24">
        <f t="shared" si="30"/>
        <v>0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147</v>
      </c>
      <c r="L38" s="13">
        <f>VLOOKUP(A38,'Données projet'!$A$35:$I$55,9,0)</f>
        <v>10.8</v>
      </c>
      <c r="M38" s="13">
        <f t="array" ref="M38">INDEX(L:L,MIN(IF(ISNUMBER(L38:L234),ROW(L38:L234),"")))</f>
        <v>10.8</v>
      </c>
      <c r="N38" s="14">
        <f>IF('Données projet'!$A$36&gt;35,N37+M38-V37,IF(A38&lt;'Données projet'!$A$36,$K$205^A38,IF(A38='Données projet'!$A$36,'Données projet'!$B$36,N37+M38-V37)))</f>
        <v>147.00000000000003</v>
      </c>
      <c r="O38" s="14">
        <f>N38*VLOOKUP('Données projet'!$B$9,Paramètres!$A$1:$I$89,3,0)*VLOOKUP('Données projet'!$B$9,Paramètres!$A$1:$I$89,5,0)</f>
        <v>133.00560000000002</v>
      </c>
      <c r="P38" s="14">
        <f t="shared" si="33"/>
        <v>34.689938673073549</v>
      </c>
      <c r="Q38" s="22">
        <f t="shared" si="53"/>
        <v>292.06972985560316</v>
      </c>
      <c r="R38" s="62">
        <f t="shared" si="0"/>
        <v>585.40306318893647</v>
      </c>
      <c r="S38" s="62">
        <f ca="1">AVERAGE(OFFSET($R$3,0,0,'Données projet'!$E$9+1,1))-AVERAGE(OFFSET($H$3,0,0,'Données projet'!$E$9+1,1))</f>
        <v>512.84819850818667</v>
      </c>
      <c r="T38" s="62">
        <f t="shared" si="34"/>
        <v>332.61387922152159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206.4</v>
      </c>
      <c r="AG38" s="13">
        <f>VLOOKUP(A38,'Données projet'!$A$61:$I$81,9,0)</f>
        <v>12.919999999999998</v>
      </c>
      <c r="AH38" s="13">
        <f t="array" ref="AH38">INDEX(AG:AG,MIN(IF(ISNUMBER(AG38:AG234),ROW(AG38:AG234),"")))</f>
        <v>12.919999999999998</v>
      </c>
      <c r="AI38" s="14">
        <f>IF('Données projet'!$A$62&gt;35,AI37+AH38-AQ37,IF(A38&lt;'Données projet'!$A$62,$AF$205^A38,IF(A38='Données projet'!$A$62,'Données projet'!$B$62,AI37+AH38-AQ37)))</f>
        <v>206.39999999999989</v>
      </c>
      <c r="AJ38" s="14">
        <f>AI38*VLOOKUP('Données projet'!$B$10,Paramètres!$A$1:$I$89,3,0)*VLOOKUP('Données projet'!$B$10,Paramètres!$A$1:$I$89,5,0)</f>
        <v>151.33247999999992</v>
      </c>
      <c r="AK38" s="14">
        <f t="shared" si="35"/>
        <v>38.881240443489794</v>
      </c>
      <c r="AL38" s="22">
        <f t="shared" si="4"/>
        <v>331.28889643907786</v>
      </c>
      <c r="AM38" s="62">
        <f t="shared" si="5"/>
        <v>624.62222977241117</v>
      </c>
      <c r="AN38" s="62">
        <f ca="1">AVERAGE(OFFSET($AM$3,0,0,'Données projet'!$E$10+1,1))-AVERAGE(OFFSET($H$3,0,0,'Données projet'!$E$10+1,1))</f>
        <v>344.45199703750711</v>
      </c>
      <c r="AO38" s="62">
        <f t="shared" si="36"/>
        <v>376.41441893222185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147</v>
      </c>
      <c r="BB38" s="13">
        <f>VLOOKUP(A38,'Données projet'!$A$87:$I$107,9,0)</f>
        <v>10.8</v>
      </c>
      <c r="BC38" s="13">
        <f t="array" ref="BC38">INDEX(BB:BB,MIN(IF(ISNUMBER(BB38:BB234),ROW(BB38:BB234),"")))</f>
        <v>10.8</v>
      </c>
      <c r="BD38" s="13">
        <f>IF('Données projet'!$A$88&gt;35,BD37+BC38-BL37,IF(A38&lt;'Données projet'!$A$88,$BA$205^A38,IF(A38='Données projet'!$A$88,'Données projet'!$B$88,BD37+BC38-BL37)))</f>
        <v>147.00000000000003</v>
      </c>
      <c r="BE38" s="14">
        <f>BD38*VLOOKUP('Données projet'!$B$11,Paramètres!$A$1:$I$89,3,0)*VLOOKUP('Données projet'!$B$11,Paramètres!$A$1:$I$89,5,0)</f>
        <v>149.05800000000005</v>
      </c>
      <c r="BF38" s="14">
        <f t="shared" si="37"/>
        <v>38.364434314370335</v>
      </c>
      <c r="BG38" s="22">
        <f t="shared" si="7"/>
        <v>326.42740643086177</v>
      </c>
      <c r="BH38" s="62">
        <f t="shared" si="8"/>
        <v>619.76073976419502</v>
      </c>
      <c r="BI38" s="62">
        <f ca="1">AVERAGE(OFFSET($BH$3,0,0,'Données projet'!$E$11+1,1))-AVERAGE(OFFSET($H$3,0,0,'Données projet'!$E$11+1,1))</f>
        <v>569.39473185784823</v>
      </c>
      <c r="BJ38" s="62">
        <f t="shared" si="38"/>
        <v>367.42881145517066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139</v>
      </c>
      <c r="BW38" s="13">
        <f>VLOOKUP(A38,'Données projet'!$A$113:$I$133,9,0)</f>
        <v>10.199999999999999</v>
      </c>
      <c r="BX38" s="13">
        <f t="array" ref="BX38">INDEX(BW:BW,MIN(IF(ISNUMBER(BW38:BW234),ROW(BW38:BW234),"")))</f>
        <v>10.199999999999999</v>
      </c>
      <c r="BY38" s="13">
        <f>IF('Données projet'!$A$114&gt;35,BY37+BX38-CG37,IF(A38&lt;'Données projet'!$A$114,$BV$205^A38,IF(A38='Données projet'!$A$114,'Données projet'!$B$114,BY37+BX38-CG37)))</f>
        <v>139</v>
      </c>
      <c r="BZ38" s="14">
        <f>BY38*VLOOKUP('Données projet'!$B$12,Paramètres!$A$1:$I$89,3,0)*VLOOKUP('Données projet'!$B$12,Paramètres!$A$1:$I$89,5,0)</f>
        <v>119.26200000000001</v>
      </c>
      <c r="CA38" s="14">
        <f t="shared" si="39"/>
        <v>31.502811162802828</v>
      </c>
      <c r="CB38" s="22">
        <f t="shared" si="10"/>
        <v>262.58204610854824</v>
      </c>
      <c r="CC38" s="62">
        <f t="shared" si="11"/>
        <v>555.91537944188156</v>
      </c>
      <c r="CD38" s="62">
        <f ca="1">AVERAGE(OFFSET($CC$3,0,0,'Données projet'!$E$12+1,1))-AVERAGE(OFFSET($H$3,0,0,'Données projet'!$E$12+1,1))</f>
        <v>554.06253050955502</v>
      </c>
      <c r="CE38" s="62">
        <f t="shared" si="40"/>
        <v>269.71949336355789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11.5</v>
      </c>
      <c r="CT38" s="13">
        <f>IF('Données projet'!$A$140&gt;35,CT37+CS38-DB37,IF(A38&lt;'Données projet'!$A$140,$CQ$205^A38,IF(A38='Données projet'!$A$140,'Données projet'!$B$140,CT37+CS38-DB37)))</f>
        <v>164.99999999999997</v>
      </c>
      <c r="CU38" s="18">
        <f>CT38*VLOOKUP('Données projet'!$B$13,Paramètres!$A$1:$I$89,3,0)*VLOOKUP('Données projet'!$B$13,Paramètres!$A$1:$I$89,5,0)</f>
        <v>128.69999999999999</v>
      </c>
      <c r="CV38" s="14">
        <f t="shared" si="41"/>
        <v>33.695792019186115</v>
      </c>
      <c r="CW38" s="22">
        <f t="shared" si="13"/>
        <v>282.83933776674911</v>
      </c>
      <c r="CX38" s="62">
        <f t="shared" si="14"/>
        <v>576.17267110008243</v>
      </c>
      <c r="CY38" s="62">
        <f ca="1">AVERAGE(OFFSET($CX$3,0,0,'Données projet'!$E$13+1,1))-AVERAGE(OFFSET($H$3,0,0,'Données projet'!$E$13+1,1))</f>
        <v>292.21364130214391</v>
      </c>
      <c r="CZ38" s="62">
        <f t="shared" si="42"/>
        <v>283.48738729114024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154.48717948717947</v>
      </c>
      <c r="DM38" s="13">
        <f>VLOOKUP(A38,'Données projet'!$A$165:$I$185,9,0)</f>
        <v>7.5641025641025639</v>
      </c>
      <c r="DN38" s="13">
        <f t="array" ref="DN38">INDEX(DM:DM,MIN(IF(ISNUMBER(DM38:DM234),ROW(DM38:DM234),"")))</f>
        <v>7.5641025641025639</v>
      </c>
      <c r="DO38" s="13">
        <f>IF('Données projet'!$A$166&gt;35,DO37+DN38-DW37,IF(A38&lt;'Données projet'!$A$166,$DL$205^A38,IF(A38='Données projet'!$A$166,'Données projet'!$B$166,DO37+DN38-DW37)))</f>
        <v>154.48717948717953</v>
      </c>
      <c r="DP38" s="18">
        <f>DO38*VLOOKUP('Données projet'!$B$14,Paramètres!$A$1:$I$89,3,0)*VLOOKUP('Données projet'!$B$14,Paramètres!$A$1:$I$89,5,0)</f>
        <v>147.01000000000005</v>
      </c>
      <c r="DQ38" s="14">
        <f t="shared" si="43"/>
        <v>37.898303193905868</v>
      </c>
      <c r="DR38" s="22">
        <f t="shared" si="16"/>
        <v>322.04862806271944</v>
      </c>
      <c r="DS38" s="62">
        <f t="shared" si="17"/>
        <v>615.3819613960527</v>
      </c>
      <c r="DT38" s="62">
        <f ca="1">AVERAGE(OFFSET($DS$3,0,0,'Données projet'!$E$14+1,1))-AVERAGE(OFFSET($H$3,0,0,'Données projet'!$E$14+1,1))</f>
        <v>427.47603885390191</v>
      </c>
      <c r="DU38" s="62">
        <f t="shared" si="44"/>
        <v>350.88664394632116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116</v>
      </c>
      <c r="EH38" s="13">
        <f>VLOOKUP(A38,'Données projet'!$A$191:$I$211,9,0)</f>
        <v>8</v>
      </c>
      <c r="EI38" s="13">
        <f t="array" ref="EI38">INDEX(EH:EH,MIN(IF(ISNUMBER(EH38:EH234),ROW(EH38:EH234),"")))</f>
        <v>8</v>
      </c>
      <c r="EJ38" s="13">
        <f>IF('Données projet'!$A$192&gt;35,EJ37+EI38-ER37,IF(A38&lt;'Données projet'!$A$192,$EG$205^A38,IF(A38='Données projet'!$A$192,'Données projet'!$B$192,EJ37+EI38-ER37)))</f>
        <v>116</v>
      </c>
      <c r="EK38" s="18">
        <f>EJ38*VLOOKUP('Données projet'!$B$15,Paramètres!$A$1:$I$89,3,0)*VLOOKUP('Données projet'!$B$15,Paramètres!$A$1:$I$89,5,0)</f>
        <v>112.1952</v>
      </c>
      <c r="EL38" s="14">
        <f t="shared" si="45"/>
        <v>29.847594514573263</v>
      </c>
      <c r="EM38" s="22">
        <f t="shared" si="19"/>
        <v>247.39120044621509</v>
      </c>
      <c r="EN38" s="62">
        <f t="shared" si="20"/>
        <v>540.72453377954844</v>
      </c>
      <c r="EO38" s="62">
        <f ca="1">AVERAGE(OFFSET($EN$3,0,0,'Données projet'!$E$15+1,1))-AVERAGE(OFFSET($H$3,0,0,'Données projet'!$E$15+1,1))</f>
        <v>455.50822833641354</v>
      </c>
      <c r="EP38" s="62">
        <f t="shared" si="46"/>
        <v>261.14722581688039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>
        <f>VLOOKUP(A38,'Données projet'!$A$217:$I$237,2,0)</f>
        <v>168</v>
      </c>
      <c r="FC38" s="13">
        <f>VLOOKUP(A38,'Données projet'!$A$217:$I$237,9,0)</f>
        <v>9.1999999999999993</v>
      </c>
      <c r="FD38" s="13">
        <f t="array" ref="FD38">INDEX(FC:FC,MIN(IF(ISNUMBER(FC38:FC234),ROW(FC38:FC234),"")))</f>
        <v>9.1999999999999993</v>
      </c>
      <c r="FE38" s="13">
        <f>IF('Données projet'!$A$218&gt;35,FE37+FD38-FM37,IF(A38&lt;'Données projet'!$A$218,$FB$205^A38,IF(A38='Données projet'!$A$218,'Données projet'!$B$218,FE37+FD38-FM37)))</f>
        <v>168</v>
      </c>
      <c r="FF38" s="18">
        <f>FE38*VLOOKUP('Données projet'!$B$16,Paramètres!$A$1:$I$89,3,0)*VLOOKUP('Données projet'!$B$16,Paramètres!$A$1:$I$89,5,0)</f>
        <v>146.76480000000004</v>
      </c>
      <c r="FG38" s="14">
        <f t="shared" si="47"/>
        <v>37.842444439956665</v>
      </c>
      <c r="FH38" s="22">
        <f t="shared" si="22"/>
        <v>321.52428406625791</v>
      </c>
      <c r="FI38" s="62">
        <f t="shared" si="23"/>
        <v>614.85761739959116</v>
      </c>
      <c r="FJ38" s="62">
        <f ca="1">AVERAGE(OFFSET($FI$3,0,0,'Données projet'!$E$16+1,1))-AVERAGE(OFFSET($H$3,0,0,'Données projet'!$E$16+1,1))</f>
        <v>369.34989412920129</v>
      </c>
      <c r="FK38" s="62">
        <f t="shared" si="48"/>
        <v>371.26234252426553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>
        <f>VLOOKUP(A38,'Données projet'!$A$243:$I$263,2,0)</f>
        <v>216</v>
      </c>
      <c r="FX38" s="13">
        <f>VLOOKUP(A38,'Données projet'!$A$243:$I$263,9,0)</f>
        <v>5.6</v>
      </c>
      <c r="FY38" s="13">
        <f t="array" ref="FY38">INDEX(FX:FX,MIN(IF(ISNUMBER(FX38:FX234),ROW(FX38:FX234),"")))</f>
        <v>5.6</v>
      </c>
      <c r="FZ38" s="13">
        <f>IF('Données projet'!$A$244&gt;35,FZ37+FY38-GH37,IF(A38&lt;'Données projet'!$A$244,$FW$205^A38,IF(A38='Données projet'!$A$244,'Données projet'!$B$244,FZ37+FY38-GH37)))</f>
        <v>216</v>
      </c>
      <c r="GA38" s="18">
        <f>FZ38*VLOOKUP('Données projet'!$B$17,Paramètres!$A$1:$I$89,3,0)*VLOOKUP('Données projet'!$B$17,Paramètres!$A$1:$I$89,5,0)</f>
        <v>195.43679999999998</v>
      </c>
      <c r="GB38" s="14">
        <f t="shared" si="49"/>
        <v>48.739971354487849</v>
      </c>
      <c r="GC38" s="22">
        <f t="shared" si="25"/>
        <v>425.27454344239959</v>
      </c>
      <c r="GD38" s="62">
        <f t="shared" si="26"/>
        <v>718.60787677573285</v>
      </c>
      <c r="GE38" s="62">
        <f ca="1">AVERAGE(OFFSET($GD$3,0,0,'Données projet'!$E$17+1,1))-AVERAGE(OFFSET($H$3,0,0,'Données projet'!$E$17+1,1))</f>
        <v>324.4489531703187</v>
      </c>
      <c r="GF38" s="62">
        <f t="shared" si="50"/>
        <v>446.55019360848706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projet'!$B$17,Paramètres!$A$1:$I$89,3,0)*0.475*44/12</f>
        <v>0</v>
      </c>
      <c r="GM38" s="23">
        <f>EXP(-LN(2)/25)*GM37+(1-EXP(-LN(2)/25))/(LN(2)/25)*Calculateur!GH38*Calculateur!GJ38*VLOOKUP('Données projet'!$B$17,Paramètres!$A$1:$I$89,3,0)*0.475*44/12</f>
        <v>0</v>
      </c>
      <c r="GN38" s="23">
        <f>EXP(-LN(2)/2)*GN37+(1-EXP(-LN(2)/2))/(LN(2)/2)*GH38*GK38*VLOOKUP('Données projet'!$B$17,Paramètres!$A$1:$I$89,3,0)*0.475*44/12</f>
        <v>0</v>
      </c>
      <c r="GO38" s="23">
        <f t="shared" si="27"/>
        <v>0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>
        <f>VLOOKUP(A38,'Données projet'!$A$269:$I$289,2,0)</f>
        <v>155.12820512820511</v>
      </c>
      <c r="GS38" s="13">
        <f>VLOOKUP(A38,'Données projet'!$A$269:$I$289,9,0)</f>
        <v>7.6923076923076881</v>
      </c>
      <c r="GT38" s="13">
        <f t="array" ref="GT38">INDEX(GS:GS,MIN(IF(ISNUMBER(GS38:GS234),ROW(GS38:GS234),"")))</f>
        <v>7.6923076923076881</v>
      </c>
      <c r="GU38" s="13">
        <f>IF('Données projet'!$A$270&gt;35,GU37+GT38-HC37,IF(A38&lt;'Données projet'!$A$270,$GR$205^A38,IF(A38='Données projet'!$A$270,'Données projet'!$B$270,GU37+GT38-HC37)))</f>
        <v>155.12820512820514</v>
      </c>
      <c r="GV38" s="18">
        <f>GU38*VLOOKUP('Données projet'!$B$18,Paramètres!$A$1:$I$89,3,0)*VLOOKUP('Données projet'!$B$18,Paramètres!$A$1:$I$89,5,0)</f>
        <v>104.06</v>
      </c>
      <c r="GW38" s="14">
        <f t="shared" si="51"/>
        <v>27.926984861261673</v>
      </c>
      <c r="GX38" s="22">
        <f t="shared" si="28"/>
        <v>229.8773319666974</v>
      </c>
      <c r="GY38" s="62">
        <f t="shared" si="29"/>
        <v>523.21066530003077</v>
      </c>
      <c r="GZ38" s="62">
        <f ca="1">AVERAGE(OFFSET($GY$3,0,0,'Données projet'!$E$18+1,1))-AVERAGE(OFFSET($H$3,0,0,'Données projet'!$E$18+1,1))</f>
        <v>312.06797204903796</v>
      </c>
      <c r="HA38" s="62">
        <f t="shared" si="52"/>
        <v>258.20189001775151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>
        <f>EXP(-LN(2)/35)*HG37+(1-EXP(-LN(2)/35))/(LN(2)/35)*HC38*HD38*VLOOKUP('Données projet'!$B$18,Paramètres!$A$1:$I$89,3,0)*0.475*44/12</f>
        <v>0</v>
      </c>
      <c r="HH38" s="23">
        <f>EXP(-LN(2)/25)*HH37+(1-EXP(-LN(2)/25))/(LN(2)/25)*Calculateur!HC38*Calculateur!HE38*VLOOKUP('Données projet'!$B$18,Paramètres!$A$1:$I$89,3,0)*0.475*44/12</f>
        <v>0</v>
      </c>
      <c r="HI38" s="23">
        <f>EXP(-LN(2)/2)*HI37+(1-EXP(-LN(2)/2))/(LN(2)/2)*HC38*HF38*VLOOKUP('Données projet'!$B$18,Paramètres!$A$1:$I$89,3,0)*0.475*44/12</f>
        <v>0</v>
      </c>
      <c r="HJ38" s="24">
        <f t="shared" si="30"/>
        <v>0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11.2</v>
      </c>
      <c r="N39" s="14">
        <f>IF('Données projet'!$A$36&gt;35,N38+M39-V38,IF(A39&lt;'Données projet'!$A$36,$K$205^A39,IF(A39='Données projet'!$A$36,'Données projet'!$B$36,N38+M39-V38)))</f>
        <v>158.20000000000002</v>
      </c>
      <c r="O39" s="14">
        <f>N39*VLOOKUP('Données projet'!$B$9,Paramètres!$A$1:$I$89,3,0)*VLOOKUP('Données projet'!$B$9,Paramètres!$A$1:$I$89,5,0)</f>
        <v>143.13936000000001</v>
      </c>
      <c r="P39" s="14">
        <f t="shared" si="33"/>
        <v>37.015257937854066</v>
      </c>
      <c r="Q39" s="22">
        <f t="shared" si="53"/>
        <v>313.76929290842918</v>
      </c>
      <c r="R39" s="62">
        <f t="shared" si="0"/>
        <v>607.10262624176244</v>
      </c>
      <c r="S39" s="62">
        <f ca="1">AVERAGE(OFFSET($R$3,0,0,'Données projet'!$E$9+1,1))-AVERAGE(OFFSET($H$3,0,0,'Données projet'!$E$9+1,1))</f>
        <v>512.84819850818667</v>
      </c>
      <c r="T39" s="62">
        <f t="shared" si="34"/>
        <v>332.61387922152159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11.340000000000003</v>
      </c>
      <c r="AI39" s="14">
        <f>IF('Données projet'!$A$62&gt;35,AI38+AH39-AQ38,IF(A39&lt;'Données projet'!$A$62,$AF$205^A39,IF(A39='Données projet'!$A$62,'Données projet'!$B$62,AI38+AH39-AQ38)))</f>
        <v>217.7399999999999</v>
      </c>
      <c r="AJ39" s="14">
        <f>AI39*VLOOKUP('Données projet'!$B$10,Paramètres!$A$1:$I$89,3,0)*VLOOKUP('Données projet'!$B$10,Paramètres!$A$1:$I$89,5,0)</f>
        <v>159.64696799999993</v>
      </c>
      <c r="AK39" s="14">
        <f t="shared" si="35"/>
        <v>40.762877819882384</v>
      </c>
      <c r="AL39" s="22">
        <f t="shared" si="4"/>
        <v>349.04714813629499</v>
      </c>
      <c r="AM39" s="62">
        <f t="shared" si="5"/>
        <v>642.38048146962831</v>
      </c>
      <c r="AN39" s="62">
        <f ca="1">AVERAGE(OFFSET($AM$3,0,0,'Données projet'!$E$10+1,1))-AVERAGE(OFFSET($H$3,0,0,'Données projet'!$E$10+1,1))</f>
        <v>344.45199703750711</v>
      </c>
      <c r="AO39" s="62">
        <f t="shared" si="36"/>
        <v>376.41441893222185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11.2</v>
      </c>
      <c r="BD39" s="13">
        <f>IF('Données projet'!$A$88&gt;35,BD38+BC39-BL38,IF(A39&lt;'Données projet'!$A$88,$BA$205^A39,IF(A39='Données projet'!$A$88,'Données projet'!$B$88,BD38+BC39-BL38)))</f>
        <v>158.20000000000002</v>
      </c>
      <c r="BE39" s="14">
        <f>BD39*VLOOKUP('Données projet'!$B$11,Paramètres!$A$1:$I$89,3,0)*VLOOKUP('Données projet'!$B$11,Paramètres!$A$1:$I$89,5,0)</f>
        <v>160.41480000000001</v>
      </c>
      <c r="BF39" s="14">
        <f t="shared" si="37"/>
        <v>40.936060601587023</v>
      </c>
      <c r="BG39" s="22">
        <f t="shared" si="7"/>
        <v>350.68608221443077</v>
      </c>
      <c r="BH39" s="62">
        <f t="shared" si="8"/>
        <v>644.01941554776408</v>
      </c>
      <c r="BI39" s="62">
        <f ca="1">AVERAGE(OFFSET($BH$3,0,0,'Données projet'!$E$11+1,1))-AVERAGE(OFFSET($H$3,0,0,'Données projet'!$E$11+1,1))</f>
        <v>569.39473185784823</v>
      </c>
      <c r="BJ39" s="62">
        <f t="shared" si="38"/>
        <v>367.42881145517066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10.6</v>
      </c>
      <c r="BY39" s="13">
        <f>IF('Données projet'!$A$114&gt;35,BY38+BX39-CG38,IF(A39&lt;'Données projet'!$A$114,$BV$205^A39,IF(A39='Données projet'!$A$114,'Données projet'!$B$114,BY38+BX39-CG38)))</f>
        <v>149.6</v>
      </c>
      <c r="BZ39" s="14">
        <f>BY39*VLOOKUP('Données projet'!$B$12,Paramètres!$A$1:$I$89,3,0)*VLOOKUP('Données projet'!$B$12,Paramètres!$A$1:$I$89,5,0)</f>
        <v>128.35679999999999</v>
      </c>
      <c r="CA39" s="14">
        <f t="shared" si="39"/>
        <v>33.616383413097623</v>
      </c>
      <c r="CB39" s="22">
        <f t="shared" si="10"/>
        <v>282.10329444447831</v>
      </c>
      <c r="CC39" s="62">
        <f t="shared" si="11"/>
        <v>575.43662777781162</v>
      </c>
      <c r="CD39" s="62">
        <f ca="1">AVERAGE(OFFSET($CC$3,0,0,'Données projet'!$E$12+1,1))-AVERAGE(OFFSET($H$3,0,0,'Données projet'!$E$12+1,1))</f>
        <v>554.06253050955502</v>
      </c>
      <c r="CE39" s="62">
        <f t="shared" si="40"/>
        <v>269.71949336355789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11.5</v>
      </c>
      <c r="CT39" s="13">
        <f>IF('Données projet'!$A$140&gt;35,CT38+CS39-DB38,IF(A39&lt;'Données projet'!$A$140,$CQ$205^A39,IF(A39='Données projet'!$A$140,'Données projet'!$B$140,CT38+CS39-DB38)))</f>
        <v>176.49999999999997</v>
      </c>
      <c r="CU39" s="18">
        <f>CT39*VLOOKUP('Données projet'!$B$13,Paramètres!$A$1:$I$89,3,0)*VLOOKUP('Données projet'!$B$13,Paramètres!$A$1:$I$89,5,0)</f>
        <v>137.66999999999999</v>
      </c>
      <c r="CV39" s="14">
        <f t="shared" si="41"/>
        <v>35.762714965854656</v>
      </c>
      <c r="CW39" s="22">
        <f t="shared" si="13"/>
        <v>302.06197856553018</v>
      </c>
      <c r="CX39" s="62">
        <f t="shared" si="14"/>
        <v>595.3953118988635</v>
      </c>
      <c r="CY39" s="62">
        <f ca="1">AVERAGE(OFFSET($CX$3,0,0,'Données projet'!$E$13+1,1))-AVERAGE(OFFSET($H$3,0,0,'Données projet'!$E$13+1,1))</f>
        <v>292.21364130214391</v>
      </c>
      <c r="CZ39" s="62">
        <f t="shared" si="42"/>
        <v>283.48738729114024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7.1794871794871824</v>
      </c>
      <c r="DO39" s="13">
        <f>IF('Données projet'!$A$166&gt;35,DO38+DN39-DW38,IF(A39&lt;'Données projet'!$A$166,$DL$205^A39,IF(A39='Données projet'!$A$166,'Données projet'!$B$166,DO38+DN39-DW38)))</f>
        <v>161.66666666666671</v>
      </c>
      <c r="DP39" s="18">
        <f>DO39*VLOOKUP('Données projet'!$B$14,Paramètres!$A$1:$I$89,3,0)*VLOOKUP('Données projet'!$B$14,Paramètres!$A$1:$I$89,5,0)</f>
        <v>153.84200000000004</v>
      </c>
      <c r="DQ39" s="14">
        <f t="shared" si="43"/>
        <v>39.450404608549789</v>
      </c>
      <c r="DR39" s="22">
        <f t="shared" si="16"/>
        <v>336.65093802655764</v>
      </c>
      <c r="DS39" s="62">
        <f t="shared" si="17"/>
        <v>629.98427135989095</v>
      </c>
      <c r="DT39" s="62">
        <f ca="1">AVERAGE(OFFSET($DS$3,0,0,'Données projet'!$E$14+1,1))-AVERAGE(OFFSET($H$3,0,0,'Données projet'!$E$14+1,1))</f>
        <v>427.47603885390191</v>
      </c>
      <c r="DU39" s="62">
        <f t="shared" si="44"/>
        <v>350.88664394632116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8.4</v>
      </c>
      <c r="EJ39" s="13">
        <f>IF('Données projet'!$A$192&gt;35,EJ38+EI39-ER38,IF(A39&lt;'Données projet'!$A$192,$EG$205^A39,IF(A39='Données projet'!$A$192,'Données projet'!$B$192,EJ38+EI39-ER38)))</f>
        <v>124.4</v>
      </c>
      <c r="EK39" s="18">
        <f>EJ39*VLOOKUP('Données projet'!$B$15,Paramètres!$A$1:$I$89,3,0)*VLOOKUP('Données projet'!$B$15,Paramètres!$A$1:$I$89,5,0)</f>
        <v>120.31968000000001</v>
      </c>
      <c r="EL39" s="14">
        <f t="shared" si="45"/>
        <v>31.74954785566829</v>
      </c>
      <c r="EM39" s="22">
        <f t="shared" si="19"/>
        <v>264.85390518195555</v>
      </c>
      <c r="EN39" s="62">
        <f t="shared" si="20"/>
        <v>558.18723851528887</v>
      </c>
      <c r="EO39" s="62">
        <f ca="1">AVERAGE(OFFSET($EN$3,0,0,'Données projet'!$E$15+1,1))-AVERAGE(OFFSET($H$3,0,0,'Données projet'!$E$15+1,1))</f>
        <v>455.50822833641354</v>
      </c>
      <c r="EP39" s="62">
        <f t="shared" si="46"/>
        <v>261.14722581688039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8.8000000000000007</v>
      </c>
      <c r="FE39" s="13">
        <f>IF('Données projet'!$A$218&gt;35,FE38+FD39-FM38,IF(A39&lt;'Données projet'!$A$218,$FB$205^A39,IF(A39='Données projet'!$A$218,'Données projet'!$B$218,FE38+FD39-FM38)))</f>
        <v>176.8</v>
      </c>
      <c r="FF39" s="18">
        <f>FE39*VLOOKUP('Données projet'!$B$16,Paramètres!$A$1:$I$89,3,0)*VLOOKUP('Données projet'!$B$16,Paramètres!$A$1:$I$89,5,0)</f>
        <v>154.45248000000001</v>
      </c>
      <c r="FG39" s="14">
        <f t="shared" si="47"/>
        <v>39.588698668907178</v>
      </c>
      <c r="FH39" s="22">
        <f t="shared" si="22"/>
        <v>337.95505284834667</v>
      </c>
      <c r="FI39" s="62">
        <f t="shared" si="23"/>
        <v>631.28838618167993</v>
      </c>
      <c r="FJ39" s="62">
        <f ca="1">AVERAGE(OFFSET($FI$3,0,0,'Données projet'!$E$16+1,1))-AVERAGE(OFFSET($H$3,0,0,'Données projet'!$E$16+1,1))</f>
        <v>369.34989412920129</v>
      </c>
      <c r="FK39" s="62">
        <f t="shared" si="48"/>
        <v>371.26234252426553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5</v>
      </c>
      <c r="FZ39" s="13">
        <f>IF('Données projet'!$A$244&gt;35,FZ38+FY39-GH38,IF(A39&lt;'Données projet'!$A$244,$FW$205^A39,IF(A39='Données projet'!$A$244,'Données projet'!$B$244,FZ38+FY39-GH38)))</f>
        <v>221</v>
      </c>
      <c r="GA39" s="18">
        <f>FZ39*VLOOKUP('Données projet'!$B$17,Paramètres!$A$1:$I$89,3,0)*VLOOKUP('Données projet'!$B$17,Paramètres!$A$1:$I$89,5,0)</f>
        <v>199.96079999999998</v>
      </c>
      <c r="GB39" s="14">
        <f t="shared" si="49"/>
        <v>49.735552653569222</v>
      </c>
      <c r="GC39" s="22">
        <f t="shared" si="25"/>
        <v>434.88781420496633</v>
      </c>
      <c r="GD39" s="62">
        <f t="shared" si="26"/>
        <v>728.22114753829965</v>
      </c>
      <c r="GE39" s="62">
        <f ca="1">AVERAGE(OFFSET($GD$3,0,0,'Données projet'!$E$17+1,1))-AVERAGE(OFFSET($H$3,0,0,'Données projet'!$E$17+1,1))</f>
        <v>324.4489531703187</v>
      </c>
      <c r="GF39" s="62">
        <f t="shared" si="50"/>
        <v>446.55019360848706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projet'!$B$17,Paramètres!$A$1:$I$89,3,0)*0.475*44/12</f>
        <v>0</v>
      </c>
      <c r="GM39" s="23">
        <f>EXP(-LN(2)/25)*GM38+(1-EXP(-LN(2)/25))/(LN(2)/25)*Calculateur!GH39*Calculateur!GJ39*VLOOKUP('Données projet'!$B$17,Paramètres!$A$1:$I$89,3,0)*0.475*44/12</f>
        <v>0</v>
      </c>
      <c r="GN39" s="23">
        <f>EXP(-LN(2)/2)*GN38+(1-EXP(-LN(2)/2))/(LN(2)/2)*GH39*GK39*VLOOKUP('Données projet'!$B$17,Paramètres!$A$1:$I$89,3,0)*0.475*44/12</f>
        <v>0</v>
      </c>
      <c r="GO39" s="23">
        <f t="shared" si="27"/>
        <v>0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7.1794871794871824</v>
      </c>
      <c r="GU39" s="13">
        <f>IF('Données projet'!$A$270&gt;35,GU38+GT39-HC38,IF(A39&lt;'Données projet'!$A$270,$GR$205^A39,IF(A39='Données projet'!$A$270,'Données projet'!$B$270,GU38+GT39-HC38)))</f>
        <v>162.30769230769232</v>
      </c>
      <c r="GV39" s="18">
        <f>GU39*VLOOKUP('Données projet'!$B$18,Paramètres!$A$1:$I$89,3,0)*VLOOKUP('Données projet'!$B$18,Paramètres!$A$1:$I$89,5,0)</f>
        <v>108.87600000000002</v>
      </c>
      <c r="GW39" s="14">
        <f t="shared" si="51"/>
        <v>29.066003313709242</v>
      </c>
      <c r="GX39" s="22">
        <f t="shared" si="28"/>
        <v>240.24898910471029</v>
      </c>
      <c r="GY39" s="62">
        <f t="shared" si="29"/>
        <v>533.58232243804355</v>
      </c>
      <c r="GZ39" s="62">
        <f ca="1">AVERAGE(OFFSET($GY$3,0,0,'Données projet'!$E$18+1,1))-AVERAGE(OFFSET($H$3,0,0,'Données projet'!$E$18+1,1))</f>
        <v>312.06797204903796</v>
      </c>
      <c r="HA39" s="62">
        <f t="shared" si="52"/>
        <v>258.20189001775151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>
        <f>EXP(-LN(2)/35)*HG38+(1-EXP(-LN(2)/35))/(LN(2)/35)*HC39*HD39*VLOOKUP('Données projet'!$B$18,Paramètres!$A$1:$I$89,3,0)*0.475*44/12</f>
        <v>0</v>
      </c>
      <c r="HH39" s="23">
        <f>EXP(-LN(2)/25)*HH38+(1-EXP(-LN(2)/25))/(LN(2)/25)*Calculateur!HC39*Calculateur!HE39*VLOOKUP('Données projet'!$B$18,Paramètres!$A$1:$I$89,3,0)*0.475*44/12</f>
        <v>0</v>
      </c>
      <c r="HI39" s="23">
        <f>EXP(-LN(2)/2)*HI38+(1-EXP(-LN(2)/2))/(LN(2)/2)*HC39*HF39*VLOOKUP('Données projet'!$B$18,Paramètres!$A$1:$I$89,3,0)*0.475*44/12</f>
        <v>0</v>
      </c>
      <c r="HJ39" s="24">
        <f t="shared" si="30"/>
        <v>0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11.2</v>
      </c>
      <c r="N40" s="14">
        <f>IF('Données projet'!$A$36&gt;35,N39+M40-V39,IF(A40&lt;'Données projet'!$A$36,$K$205^A40,IF(A40='Données projet'!$A$36,'Données projet'!$B$36,N39+M40-V39)))</f>
        <v>169.4</v>
      </c>
      <c r="O40" s="14">
        <f>N40*VLOOKUP('Données projet'!$B$9,Paramètres!$A$1:$I$89,3,0)*VLOOKUP('Données projet'!$B$9,Paramètres!$A$1:$I$89,5,0)</f>
        <v>153.27312000000001</v>
      </c>
      <c r="P40" s="14">
        <f t="shared" si="33"/>
        <v>39.321476829336504</v>
      </c>
      <c r="Q40" s="22">
        <f t="shared" si="53"/>
        <v>335.43558947776108</v>
      </c>
      <c r="R40" s="62">
        <f t="shared" si="0"/>
        <v>628.7689228110944</v>
      </c>
      <c r="S40" s="62">
        <f ca="1">AVERAGE(OFFSET($R$3,0,0,'Données projet'!$E$9+1,1))-AVERAGE(OFFSET($H$3,0,0,'Données projet'!$E$9+1,1))</f>
        <v>512.84819850818667</v>
      </c>
      <c r="T40" s="62">
        <f t="shared" si="34"/>
        <v>332.61387922152159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11.340000000000003</v>
      </c>
      <c r="AI40" s="14">
        <f>IF('Données projet'!$A$62&gt;35,AI39+AH40-AQ39,IF(A40&lt;'Données projet'!$A$62,$AF$205^A40,IF(A40='Données projet'!$A$62,'Données projet'!$B$62,AI39+AH40-AQ39)))</f>
        <v>229.0799999999999</v>
      </c>
      <c r="AJ40" s="14">
        <f>AI40*VLOOKUP('Données projet'!$B$10,Paramètres!$A$1:$I$89,3,0)*VLOOKUP('Données projet'!$B$10,Paramètres!$A$1:$I$89,5,0)</f>
        <v>167.96145599999994</v>
      </c>
      <c r="AK40" s="14">
        <f t="shared" si="35"/>
        <v>42.633137473671702</v>
      </c>
      <c r="AL40" s="22">
        <f t="shared" si="4"/>
        <v>366.78558363331143</v>
      </c>
      <c r="AM40" s="62">
        <f t="shared" si="5"/>
        <v>660.11891696664475</v>
      </c>
      <c r="AN40" s="62">
        <f ca="1">AVERAGE(OFFSET($AM$3,0,0,'Données projet'!$E$10+1,1))-AVERAGE(OFFSET($H$3,0,0,'Données projet'!$E$10+1,1))</f>
        <v>344.45199703750711</v>
      </c>
      <c r="AO40" s="62">
        <f t="shared" si="36"/>
        <v>376.41441893222185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11.2</v>
      </c>
      <c r="BD40" s="13">
        <f>IF('Données projet'!$A$88&gt;35,BD39+BC40-BL39,IF(A40&lt;'Données projet'!$A$88,$BA$205^A40,IF(A40='Données projet'!$A$88,'Données projet'!$B$88,BD39+BC40-BL39)))</f>
        <v>169.4</v>
      </c>
      <c r="BE40" s="14">
        <f>BD40*VLOOKUP('Données projet'!$B$11,Paramètres!$A$1:$I$89,3,0)*VLOOKUP('Données projet'!$B$11,Paramètres!$A$1:$I$89,5,0)</f>
        <v>171.77160000000003</v>
      </c>
      <c r="BF40" s="14">
        <f t="shared" si="37"/>
        <v>43.486563328347792</v>
      </c>
      <c r="BG40" s="22">
        <f t="shared" si="7"/>
        <v>374.90796779687247</v>
      </c>
      <c r="BH40" s="62">
        <f t="shared" si="8"/>
        <v>668.24130113020578</v>
      </c>
      <c r="BI40" s="62">
        <f ca="1">AVERAGE(OFFSET($BH$3,0,0,'Données projet'!$E$11+1,1))-AVERAGE(OFFSET($H$3,0,0,'Données projet'!$E$11+1,1))</f>
        <v>569.39473185784823</v>
      </c>
      <c r="BJ40" s="62">
        <f t="shared" si="38"/>
        <v>367.42881145517066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10.6</v>
      </c>
      <c r="BY40" s="13">
        <f>IF('Données projet'!$A$114&gt;35,BY39+BX40-CG39,IF(A40&lt;'Données projet'!$A$114,$BV$205^A40,IF(A40='Données projet'!$A$114,'Données projet'!$B$114,BY39+BX40-CG39)))</f>
        <v>160.19999999999999</v>
      </c>
      <c r="BZ40" s="14">
        <f>BY40*VLOOKUP('Données projet'!$B$12,Paramètres!$A$1:$I$89,3,0)*VLOOKUP('Données projet'!$B$12,Paramètres!$A$1:$I$89,5,0)</f>
        <v>137.45160000000001</v>
      </c>
      <c r="CA40" s="14">
        <f t="shared" si="39"/>
        <v>35.712580126257919</v>
      </c>
      <c r="CB40" s="22">
        <f t="shared" si="10"/>
        <v>301.5942803865658</v>
      </c>
      <c r="CC40" s="62">
        <f t="shared" si="11"/>
        <v>594.92761371989911</v>
      </c>
      <c r="CD40" s="62">
        <f ca="1">AVERAGE(OFFSET($CC$3,0,0,'Données projet'!$E$12+1,1))-AVERAGE(OFFSET($H$3,0,0,'Données projet'!$E$12+1,1))</f>
        <v>554.06253050955502</v>
      </c>
      <c r="CE40" s="62">
        <f t="shared" si="40"/>
        <v>269.71949336355789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>
        <f>VLOOKUP(A40,'Données projet'!$A$139:$I$159,2,0)</f>
        <v>188</v>
      </c>
      <c r="CR40" s="13">
        <f>VLOOKUP(A40,'Données projet'!$A$139:$I$159,9,0)</f>
        <v>11.5</v>
      </c>
      <c r="CS40" s="13">
        <f t="array" ref="CS40">INDEX(CR:CR,MIN(IF(ISNUMBER(CR40:CR236),ROW(CR40:CR236),"")))</f>
        <v>11.5</v>
      </c>
      <c r="CT40" s="13">
        <f>IF('Données projet'!$A$140&gt;35,CT39+CS40-DB39,IF(A40&lt;'Données projet'!$A$140,$CQ$205^A40,IF(A40='Données projet'!$A$140,'Données projet'!$B$140,CT39+CS40-DB39)))</f>
        <v>187.99999999999997</v>
      </c>
      <c r="CU40" s="18">
        <f>CT40*VLOOKUP('Données projet'!$B$13,Paramètres!$A$1:$I$89,3,0)*VLOOKUP('Données projet'!$B$13,Paramètres!$A$1:$I$89,5,0)</f>
        <v>146.63999999999999</v>
      </c>
      <c r="CV40" s="14">
        <f t="shared" si="41"/>
        <v>37.814009712703026</v>
      </c>
      <c r="CW40" s="22">
        <f t="shared" si="13"/>
        <v>321.25740024962437</v>
      </c>
      <c r="CX40" s="62">
        <f t="shared" si="14"/>
        <v>614.59073358295768</v>
      </c>
      <c r="CY40" s="62">
        <f ca="1">AVERAGE(OFFSET($CX$3,0,0,'Données projet'!$E$13+1,1))-AVERAGE(OFFSET($H$3,0,0,'Données projet'!$E$13+1,1))</f>
        <v>292.21364130214391</v>
      </c>
      <c r="CZ40" s="62">
        <f t="shared" si="42"/>
        <v>283.48738729114024</v>
      </c>
      <c r="DA40" s="16">
        <f>IF(ISNA(VLOOKUP(A40,'Données projet'!$A$139:$I$159,3,0)),0,VLOOKUP(A40,'Données projet'!$A$139:$I$159,3,0))</f>
        <v>4</v>
      </c>
      <c r="DB40" s="16">
        <f>IF(ISNA(VLOOKUP(A40,'Données projet'!$A$139:$I$159,4,0)),0,VLOOKUP(A40,'Données projet'!$A$139:$I$159,4,0))</f>
        <v>36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7.1794871794871824</v>
      </c>
      <c r="DO40" s="13">
        <f>IF('Données projet'!$A$166&gt;35,DO39+DN40-DW39,IF(A40&lt;'Données projet'!$A$166,$DL$205^A40,IF(A40='Données projet'!$A$166,'Données projet'!$B$166,DO39+DN40-DW39)))</f>
        <v>168.8461538461539</v>
      </c>
      <c r="DP40" s="18">
        <f>DO40*VLOOKUP('Données projet'!$B$14,Paramètres!$A$1:$I$89,3,0)*VLOOKUP('Données projet'!$B$14,Paramètres!$A$1:$I$89,5,0)</f>
        <v>160.67400000000004</v>
      </c>
      <c r="DQ40" s="14">
        <f t="shared" si="43"/>
        <v>40.994500775354958</v>
      </c>
      <c r="DR40" s="22">
        <f t="shared" si="16"/>
        <v>351.23930551707662</v>
      </c>
      <c r="DS40" s="62">
        <f t="shared" si="17"/>
        <v>644.57263885040993</v>
      </c>
      <c r="DT40" s="62">
        <f ca="1">AVERAGE(OFFSET($DS$3,0,0,'Données projet'!$E$14+1,1))-AVERAGE(OFFSET($H$3,0,0,'Données projet'!$E$14+1,1))</f>
        <v>427.47603885390191</v>
      </c>
      <c r="DU40" s="62">
        <f t="shared" si="44"/>
        <v>350.88664394632116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8.4</v>
      </c>
      <c r="EJ40" s="13">
        <f>IF('Données projet'!$A$192&gt;35,EJ39+EI40-ER39,IF(A40&lt;'Données projet'!$A$192,$EG$205^A40,IF(A40='Données projet'!$A$192,'Données projet'!$B$192,EJ39+EI40-ER39)))</f>
        <v>132.80000000000001</v>
      </c>
      <c r="EK40" s="18">
        <f>EJ40*VLOOKUP('Données projet'!$B$15,Paramètres!$A$1:$I$89,3,0)*VLOOKUP('Données projet'!$B$15,Paramètres!$A$1:$I$89,5,0)</f>
        <v>128.44416000000001</v>
      </c>
      <c r="EL40" s="14">
        <f t="shared" si="45"/>
        <v>33.636598855068925</v>
      </c>
      <c r="EM40" s="22">
        <f t="shared" si="19"/>
        <v>282.29065500591173</v>
      </c>
      <c r="EN40" s="62">
        <f t="shared" si="20"/>
        <v>575.62398833924499</v>
      </c>
      <c r="EO40" s="62">
        <f ca="1">AVERAGE(OFFSET($EN$3,0,0,'Données projet'!$E$15+1,1))-AVERAGE(OFFSET($H$3,0,0,'Données projet'!$E$15+1,1))</f>
        <v>455.50822833641354</v>
      </c>
      <c r="EP40" s="62">
        <f t="shared" si="46"/>
        <v>261.14722581688039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8.8000000000000007</v>
      </c>
      <c r="FE40" s="13">
        <f>IF('Données projet'!$A$218&gt;35,FE39+FD40-FM39,IF(A40&lt;'Données projet'!$A$218,$FB$205^A40,IF(A40='Données projet'!$A$218,'Données projet'!$B$218,FE39+FD40-FM39)))</f>
        <v>185.60000000000002</v>
      </c>
      <c r="FF40" s="18">
        <f>FE40*VLOOKUP('Données projet'!$B$16,Paramètres!$A$1:$I$89,3,0)*VLOOKUP('Données projet'!$B$16,Paramètres!$A$1:$I$89,5,0)</f>
        <v>162.14016000000004</v>
      </c>
      <c r="FG40" s="14">
        <f t="shared" si="47"/>
        <v>41.324860537333713</v>
      </c>
      <c r="FH40" s="22">
        <f t="shared" si="22"/>
        <v>354.36824410252297</v>
      </c>
      <c r="FI40" s="62">
        <f t="shared" si="23"/>
        <v>647.70157743585628</v>
      </c>
      <c r="FJ40" s="62">
        <f ca="1">AVERAGE(OFFSET($FI$3,0,0,'Données projet'!$E$16+1,1))-AVERAGE(OFFSET($H$3,0,0,'Données projet'!$E$16+1,1))</f>
        <v>369.34989412920129</v>
      </c>
      <c r="FK40" s="62">
        <f t="shared" si="48"/>
        <v>371.26234252426553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5</v>
      </c>
      <c r="FZ40" s="13">
        <f>IF('Données projet'!$A$244&gt;35,FZ39+FY40-GH39,IF(A40&lt;'Données projet'!$A$244,$FW$205^A40,IF(A40='Données projet'!$A$244,'Données projet'!$B$244,FZ39+FY40-GH39)))</f>
        <v>226</v>
      </c>
      <c r="GA40" s="18">
        <f>FZ40*VLOOKUP('Données projet'!$B$17,Paramètres!$A$1:$I$89,3,0)*VLOOKUP('Données projet'!$B$17,Paramètres!$A$1:$I$89,5,0)</f>
        <v>204.48479999999998</v>
      </c>
      <c r="GB40" s="14">
        <f t="shared" si="49"/>
        <v>50.728515318217369</v>
      </c>
      <c r="GC40" s="22">
        <f t="shared" si="25"/>
        <v>444.49652417922852</v>
      </c>
      <c r="GD40" s="62">
        <f t="shared" si="26"/>
        <v>737.82985751256183</v>
      </c>
      <c r="GE40" s="62">
        <f ca="1">AVERAGE(OFFSET($GD$3,0,0,'Données projet'!$E$17+1,1))-AVERAGE(OFFSET($H$3,0,0,'Données projet'!$E$17+1,1))</f>
        <v>324.4489531703187</v>
      </c>
      <c r="GF40" s="62">
        <f t="shared" si="50"/>
        <v>446.55019360848706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projet'!$B$17,Paramètres!$A$1:$I$89,3,0)*0.475*44/12</f>
        <v>0</v>
      </c>
      <c r="GM40" s="23">
        <f>EXP(-LN(2)/25)*GM39+(1-EXP(-LN(2)/25))/(LN(2)/25)*Calculateur!GH40*Calculateur!GJ40*VLOOKUP('Données projet'!$B$17,Paramètres!$A$1:$I$89,3,0)*0.475*44/12</f>
        <v>0</v>
      </c>
      <c r="GN40" s="23">
        <f>EXP(-LN(2)/2)*GN39+(1-EXP(-LN(2)/2))/(LN(2)/2)*GH40*GK40*VLOOKUP('Données projet'!$B$17,Paramètres!$A$1:$I$89,3,0)*0.475*44/12</f>
        <v>0</v>
      </c>
      <c r="GO40" s="23">
        <f t="shared" si="27"/>
        <v>0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7.1794871794871824</v>
      </c>
      <c r="GU40" s="13">
        <f>IF('Données projet'!$A$270&gt;35,GU39+GT40-HC39,IF(A40&lt;'Données projet'!$A$270,$GR$205^A40,IF(A40='Données projet'!$A$270,'Données projet'!$B$270,GU39+GT40-HC39)))</f>
        <v>169.4871794871795</v>
      </c>
      <c r="GV40" s="18">
        <f>GU40*VLOOKUP('Données projet'!$B$18,Paramètres!$A$1:$I$89,3,0)*VLOOKUP('Données projet'!$B$18,Paramètres!$A$1:$I$89,5,0)</f>
        <v>113.69200000000001</v>
      </c>
      <c r="GW40" s="14">
        <f t="shared" si="51"/>
        <v>30.199170227619074</v>
      </c>
      <c r="GX40" s="22">
        <f t="shared" si="28"/>
        <v>250.61045481310325</v>
      </c>
      <c r="GY40" s="62">
        <f t="shared" si="29"/>
        <v>543.94378814643653</v>
      </c>
      <c r="GZ40" s="62">
        <f ca="1">AVERAGE(OFFSET($GY$3,0,0,'Données projet'!$E$18+1,1))-AVERAGE(OFFSET($H$3,0,0,'Données projet'!$E$18+1,1))</f>
        <v>312.06797204903796</v>
      </c>
      <c r="HA40" s="62">
        <f t="shared" si="52"/>
        <v>258.20189001775151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>
        <f>EXP(-LN(2)/35)*HG39+(1-EXP(-LN(2)/35))/(LN(2)/35)*HC40*HD40*VLOOKUP('Données projet'!$B$18,Paramètres!$A$1:$I$89,3,0)*0.475*44/12</f>
        <v>0</v>
      </c>
      <c r="HH40" s="23">
        <f>EXP(-LN(2)/25)*HH39+(1-EXP(-LN(2)/25))/(LN(2)/25)*Calculateur!HC40*Calculateur!HE40*VLOOKUP('Données projet'!$B$18,Paramètres!$A$1:$I$89,3,0)*0.475*44/12</f>
        <v>0</v>
      </c>
      <c r="HI40" s="23">
        <f>EXP(-LN(2)/2)*HI39+(1-EXP(-LN(2)/2))/(LN(2)/2)*HC40*HF40*VLOOKUP('Données projet'!$B$18,Paramètres!$A$1:$I$89,3,0)*0.475*44/12</f>
        <v>0</v>
      </c>
      <c r="HJ40" s="24">
        <f t="shared" si="30"/>
        <v>0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11.2</v>
      </c>
      <c r="N41" s="14">
        <f>IF('Données projet'!$A$36&gt;35,N40+M41-V40,IF(A41&lt;'Données projet'!$A$36,$K$205^A41,IF(A41='Données projet'!$A$36,'Données projet'!$B$36,N40+M41-V40)))</f>
        <v>180.6</v>
      </c>
      <c r="O41" s="14">
        <f>N41*VLOOKUP('Données projet'!$B$9,Paramètres!$A$1:$I$89,3,0)*VLOOKUP('Données projet'!$B$9,Paramètres!$A$1:$I$89,5,0)</f>
        <v>163.40688</v>
      </c>
      <c r="P41" s="14">
        <f t="shared" si="33"/>
        <v>41.610001881769797</v>
      </c>
      <c r="Q41" s="22">
        <f t="shared" si="53"/>
        <v>357.07106927741569</v>
      </c>
      <c r="R41" s="62">
        <f t="shared" si="0"/>
        <v>650.404402610749</v>
      </c>
      <c r="S41" s="62">
        <f ca="1">AVERAGE(OFFSET($R$3,0,0,'Données projet'!$E$9+1,1))-AVERAGE(OFFSET($H$3,0,0,'Données projet'!$E$9+1,1))</f>
        <v>512.84819850818667</v>
      </c>
      <c r="T41" s="62">
        <f t="shared" si="34"/>
        <v>332.61387922152159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11.340000000000003</v>
      </c>
      <c r="AI41" s="14">
        <f>IF('Données projet'!$A$62&gt;35,AI40+AH41-AQ40,IF(A41&lt;'Données projet'!$A$62,$AF$205^A41,IF(A41='Données projet'!$A$62,'Données projet'!$B$62,AI40+AH41-AQ40)))</f>
        <v>240.4199999999999</v>
      </c>
      <c r="AJ41" s="14">
        <f>AI41*VLOOKUP('Données projet'!$B$10,Paramètres!$A$1:$I$89,3,0)*VLOOKUP('Données projet'!$B$10,Paramètres!$A$1:$I$89,5,0)</f>
        <v>176.27594399999992</v>
      </c>
      <c r="AK41" s="14">
        <f t="shared" si="35"/>
        <v>44.492646904932492</v>
      </c>
      <c r="AL41" s="22">
        <f t="shared" si="4"/>
        <v>384.50529582609062</v>
      </c>
      <c r="AM41" s="62">
        <f t="shared" si="5"/>
        <v>677.83862915942393</v>
      </c>
      <c r="AN41" s="62">
        <f ca="1">AVERAGE(OFFSET($AM$3,0,0,'Données projet'!$E$10+1,1))-AVERAGE(OFFSET($H$3,0,0,'Données projet'!$E$10+1,1))</f>
        <v>344.45199703750711</v>
      </c>
      <c r="AO41" s="62">
        <f t="shared" si="36"/>
        <v>376.41441893222185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11.2</v>
      </c>
      <c r="BD41" s="13">
        <f>IF('Données projet'!$A$88&gt;35,BD40+BC41-BL40,IF(A41&lt;'Données projet'!$A$88,$BA$205^A41,IF(A41='Données projet'!$A$88,'Données projet'!$B$88,BD40+BC41-BL40)))</f>
        <v>180.6</v>
      </c>
      <c r="BE41" s="14">
        <f>BD41*VLOOKUP('Données projet'!$B$11,Paramètres!$A$1:$I$89,3,0)*VLOOKUP('Données projet'!$B$11,Paramètres!$A$1:$I$89,5,0)</f>
        <v>183.1284</v>
      </c>
      <c r="BF41" s="14">
        <f t="shared" si="37"/>
        <v>46.017498014577676</v>
      </c>
      <c r="BG41" s="22">
        <f t="shared" si="7"/>
        <v>399.09577237538946</v>
      </c>
      <c r="BH41" s="62">
        <f t="shared" si="8"/>
        <v>692.42910570872277</v>
      </c>
      <c r="BI41" s="62">
        <f ca="1">AVERAGE(OFFSET($BH$3,0,0,'Données projet'!$E$11+1,1))-AVERAGE(OFFSET($H$3,0,0,'Données projet'!$E$11+1,1))</f>
        <v>569.39473185784823</v>
      </c>
      <c r="BJ41" s="62">
        <f t="shared" si="38"/>
        <v>367.42881145517066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10.6</v>
      </c>
      <c r="BY41" s="13">
        <f>IF('Données projet'!$A$114&gt;35,BY40+BX41-CG40,IF(A41&lt;'Données projet'!$A$114,$BV$205^A41,IF(A41='Données projet'!$A$114,'Données projet'!$B$114,BY40+BX41-CG40)))</f>
        <v>170.79999999999998</v>
      </c>
      <c r="BZ41" s="14">
        <f>BY41*VLOOKUP('Données projet'!$B$12,Paramètres!$A$1:$I$89,3,0)*VLOOKUP('Données projet'!$B$12,Paramètres!$A$1:$I$89,5,0)</f>
        <v>146.54640000000001</v>
      </c>
      <c r="CA41" s="14">
        <f t="shared" si="39"/>
        <v>37.7926818187577</v>
      </c>
      <c r="CB41" s="22">
        <f t="shared" si="10"/>
        <v>321.05723416766966</v>
      </c>
      <c r="CC41" s="62">
        <f t="shared" si="11"/>
        <v>614.39056750100303</v>
      </c>
      <c r="CD41" s="62">
        <f ca="1">AVERAGE(OFFSET($CC$3,0,0,'Données projet'!$E$12+1,1))-AVERAGE(OFFSET($H$3,0,0,'Données projet'!$E$12+1,1))</f>
        <v>554.06253050955502</v>
      </c>
      <c r="CE41" s="62">
        <f t="shared" si="40"/>
        <v>269.71949336355789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11.142857142857142</v>
      </c>
      <c r="CT41" s="13">
        <f>IF('Données projet'!$A$140&gt;35,CT40+CS41-DB40,IF(A41&lt;'Données projet'!$A$140,$CQ$205^A41,IF(A41='Données projet'!$A$140,'Données projet'!$B$140,CT40+CS41-DB40)))</f>
        <v>163.14285714285711</v>
      </c>
      <c r="CU41" s="18">
        <f>CT41*VLOOKUP('Données projet'!$B$13,Paramètres!$A$1:$I$89,3,0)*VLOOKUP('Données projet'!$B$13,Paramètres!$A$1:$I$89,5,0)</f>
        <v>127.25142857142855</v>
      </c>
      <c r="CV41" s="14">
        <f t="shared" si="41"/>
        <v>33.360457439554281</v>
      </c>
      <c r="CW41" s="22">
        <f t="shared" si="13"/>
        <v>279.73236813579507</v>
      </c>
      <c r="CX41" s="62">
        <f t="shared" si="14"/>
        <v>573.06570146912838</v>
      </c>
      <c r="CY41" s="62">
        <f ca="1">AVERAGE(OFFSET($CX$3,0,0,'Données projet'!$E$13+1,1))-AVERAGE(OFFSET($H$3,0,0,'Données projet'!$E$13+1,1))</f>
        <v>292.21364130214391</v>
      </c>
      <c r="CZ41" s="62">
        <f t="shared" si="42"/>
        <v>283.48738729114024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7.1794871794871824</v>
      </c>
      <c r="DO41" s="13">
        <f>IF('Données projet'!$A$166&gt;35,DO40+DN41-DW40,IF(A41&lt;'Données projet'!$A$166,$DL$205^A41,IF(A41='Données projet'!$A$166,'Données projet'!$B$166,DO40+DN41-DW40)))</f>
        <v>176.02564102564108</v>
      </c>
      <c r="DP41" s="18">
        <f>DO41*VLOOKUP('Données projet'!$B$14,Paramètres!$A$1:$I$89,3,0)*VLOOKUP('Données projet'!$B$14,Paramètres!$A$1:$I$89,5,0)</f>
        <v>167.50600000000006</v>
      </c>
      <c r="DQ41" s="14">
        <f t="shared" si="43"/>
        <v>42.530971000275791</v>
      </c>
      <c r="DR41" s="22">
        <f t="shared" si="16"/>
        <v>365.81439115881381</v>
      </c>
      <c r="DS41" s="62">
        <f t="shared" si="17"/>
        <v>659.14772449214706</v>
      </c>
      <c r="DT41" s="62">
        <f ca="1">AVERAGE(OFFSET($DS$3,0,0,'Données projet'!$E$14+1,1))-AVERAGE(OFFSET($H$3,0,0,'Données projet'!$E$14+1,1))</f>
        <v>427.47603885390191</v>
      </c>
      <c r="DU41" s="62">
        <f t="shared" si="44"/>
        <v>350.88664394632116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8.4</v>
      </c>
      <c r="EJ41" s="13">
        <f>IF('Données projet'!$A$192&gt;35,EJ40+EI41-ER40,IF(A41&lt;'Données projet'!$A$192,$EG$205^A41,IF(A41='Données projet'!$A$192,'Données projet'!$B$192,EJ40+EI41-ER40)))</f>
        <v>141.20000000000002</v>
      </c>
      <c r="EK41" s="18">
        <f>EJ41*VLOOKUP('Données projet'!$B$15,Paramètres!$A$1:$I$89,3,0)*VLOOKUP('Données projet'!$B$15,Paramètres!$A$1:$I$89,5,0)</f>
        <v>136.56864000000002</v>
      </c>
      <c r="EL41" s="14">
        <f t="shared" si="45"/>
        <v>35.509797430964703</v>
      </c>
      <c r="EM41" s="22">
        <f t="shared" si="19"/>
        <v>299.70327852559689</v>
      </c>
      <c r="EN41" s="62">
        <f t="shared" si="20"/>
        <v>593.0366118589302</v>
      </c>
      <c r="EO41" s="62">
        <f ca="1">AVERAGE(OFFSET($EN$3,0,0,'Données projet'!$E$15+1,1))-AVERAGE(OFFSET($H$3,0,0,'Données projet'!$E$15+1,1))</f>
        <v>455.50822833641354</v>
      </c>
      <c r="EP41" s="62">
        <f t="shared" si="46"/>
        <v>261.14722581688039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8.8000000000000007</v>
      </c>
      <c r="FE41" s="13">
        <f>IF('Données projet'!$A$218&gt;35,FE40+FD41-FM40,IF(A41&lt;'Données projet'!$A$218,$FB$205^A41,IF(A41='Données projet'!$A$218,'Données projet'!$B$218,FE40+FD41-FM40)))</f>
        <v>194.40000000000003</v>
      </c>
      <c r="FF41" s="18">
        <f>FE41*VLOOKUP('Données projet'!$B$16,Paramètres!$A$1:$I$89,3,0)*VLOOKUP('Données projet'!$B$16,Paramètres!$A$1:$I$89,5,0)</f>
        <v>169.82784000000007</v>
      </c>
      <c r="FG41" s="14">
        <f t="shared" si="47"/>
        <v>43.051463198873812</v>
      </c>
      <c r="FH41" s="22">
        <f t="shared" si="22"/>
        <v>370.76478640470532</v>
      </c>
      <c r="FI41" s="62">
        <f t="shared" si="23"/>
        <v>664.09811973803858</v>
      </c>
      <c r="FJ41" s="62">
        <f ca="1">AVERAGE(OFFSET($FI$3,0,0,'Données projet'!$E$16+1,1))-AVERAGE(OFFSET($H$3,0,0,'Données projet'!$E$16+1,1))</f>
        <v>369.34989412920129</v>
      </c>
      <c r="FK41" s="62">
        <f t="shared" si="48"/>
        <v>371.26234252426553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5</v>
      </c>
      <c r="FZ41" s="13">
        <f>IF('Données projet'!$A$244&gt;35,FZ40+FY41-GH40,IF(A41&lt;'Données projet'!$A$244,$FW$205^A41,IF(A41='Données projet'!$A$244,'Données projet'!$B$244,FZ40+FY41-GH40)))</f>
        <v>231</v>
      </c>
      <c r="GA41" s="18">
        <f>FZ41*VLOOKUP('Données projet'!$B$17,Paramètres!$A$1:$I$89,3,0)*VLOOKUP('Données projet'!$B$17,Paramètres!$A$1:$I$89,5,0)</f>
        <v>209.00879999999998</v>
      </c>
      <c r="GB41" s="14">
        <f t="shared" si="49"/>
        <v>51.718923953824202</v>
      </c>
      <c r="GC41" s="22">
        <f t="shared" si="25"/>
        <v>454.10078588624373</v>
      </c>
      <c r="GD41" s="62">
        <f t="shared" si="26"/>
        <v>747.43411921957704</v>
      </c>
      <c r="GE41" s="62">
        <f ca="1">AVERAGE(OFFSET($GD$3,0,0,'Données projet'!$E$17+1,1))-AVERAGE(OFFSET($H$3,0,0,'Données projet'!$E$17+1,1))</f>
        <v>324.4489531703187</v>
      </c>
      <c r="GF41" s="62">
        <f t="shared" si="50"/>
        <v>446.55019360848706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projet'!$B$17,Paramètres!$A$1:$I$89,3,0)*0.475*44/12</f>
        <v>0</v>
      </c>
      <c r="GM41" s="23">
        <f>EXP(-LN(2)/25)*GM40+(1-EXP(-LN(2)/25))/(LN(2)/25)*Calculateur!GH41*Calculateur!GJ41*VLOOKUP('Données projet'!$B$17,Paramètres!$A$1:$I$89,3,0)*0.475*44/12</f>
        <v>0</v>
      </c>
      <c r="GN41" s="23">
        <f>EXP(-LN(2)/2)*GN40+(1-EXP(-LN(2)/2))/(LN(2)/2)*GH41*GK41*VLOOKUP('Données projet'!$B$17,Paramètres!$A$1:$I$89,3,0)*0.475*44/12</f>
        <v>0</v>
      </c>
      <c r="GO41" s="23">
        <f t="shared" si="27"/>
        <v>0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7.1794871794871824</v>
      </c>
      <c r="GU41" s="13">
        <f>IF('Données projet'!$A$270&gt;35,GU40+GT41-HC40,IF(A41&lt;'Données projet'!$A$270,$GR$205^A41,IF(A41='Données projet'!$A$270,'Données projet'!$B$270,GU40+GT41-HC40)))</f>
        <v>176.66666666666669</v>
      </c>
      <c r="GV41" s="18">
        <f>GU41*VLOOKUP('Données projet'!$B$18,Paramètres!$A$1:$I$89,3,0)*VLOOKUP('Données projet'!$B$18,Paramètres!$A$1:$I$89,5,0)</f>
        <v>118.50800000000001</v>
      </c>
      <c r="GW41" s="14">
        <f t="shared" si="51"/>
        <v>31.326761814194999</v>
      </c>
      <c r="GX41" s="22">
        <f t="shared" si="28"/>
        <v>260.96221015972299</v>
      </c>
      <c r="GY41" s="62">
        <f t="shared" si="29"/>
        <v>554.29554349305636</v>
      </c>
      <c r="GZ41" s="62">
        <f ca="1">AVERAGE(OFFSET($GY$3,0,0,'Données projet'!$E$18+1,1))-AVERAGE(OFFSET($H$3,0,0,'Données projet'!$E$18+1,1))</f>
        <v>312.06797204903796</v>
      </c>
      <c r="HA41" s="62">
        <f t="shared" si="52"/>
        <v>258.20189001775151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>
        <f>EXP(-LN(2)/35)*HG40+(1-EXP(-LN(2)/35))/(LN(2)/35)*HC41*HD41*VLOOKUP('Données projet'!$B$18,Paramètres!$A$1:$I$89,3,0)*0.475*44/12</f>
        <v>0</v>
      </c>
      <c r="HH41" s="23">
        <f>EXP(-LN(2)/25)*HH40+(1-EXP(-LN(2)/25))/(LN(2)/25)*Calculateur!HC41*Calculateur!HE41*VLOOKUP('Données projet'!$B$18,Paramètres!$A$1:$I$89,3,0)*0.475*44/12</f>
        <v>0</v>
      </c>
      <c r="HI41" s="23">
        <f>EXP(-LN(2)/2)*HI40+(1-EXP(-LN(2)/2))/(LN(2)/2)*HC41*HF41*VLOOKUP('Données projet'!$B$18,Paramètres!$A$1:$I$89,3,0)*0.475*44/12</f>
        <v>0</v>
      </c>
      <c r="HJ41" s="24">
        <f t="shared" si="30"/>
        <v>0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11.2</v>
      </c>
      <c r="N42" s="14">
        <f>IF('Données projet'!$A$36&gt;35,N41+M42-V41,IF(A42&lt;'Données projet'!$A$36,$K$205^A42,IF(A42='Données projet'!$A$36,'Données projet'!$B$36,N41+M42-V41)))</f>
        <v>191.79999999999998</v>
      </c>
      <c r="O42" s="14">
        <f>N42*VLOOKUP('Données projet'!$B$9,Paramètres!$A$1:$I$89,3,0)*VLOOKUP('Données projet'!$B$9,Paramètres!$A$1:$I$89,5,0)</f>
        <v>173.54064</v>
      </c>
      <c r="P42" s="14">
        <f t="shared" si="33"/>
        <v>43.882055316228445</v>
      </c>
      <c r="Q42" s="22">
        <f t="shared" si="53"/>
        <v>378.67786100909785</v>
      </c>
      <c r="R42" s="62">
        <f t="shared" si="0"/>
        <v>672.01119434243117</v>
      </c>
      <c r="S42" s="62">
        <f ca="1">AVERAGE(OFFSET($R$3,0,0,'Données projet'!$E$9+1,1))-AVERAGE(OFFSET($H$3,0,0,'Données projet'!$E$9+1,1))</f>
        <v>512.84819850818667</v>
      </c>
      <c r="T42" s="62">
        <f t="shared" si="34"/>
        <v>332.61387922152159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11.340000000000003</v>
      </c>
      <c r="AI42" s="14">
        <f>IF('Données projet'!$A$62&gt;35,AI41+AH42-AQ41,IF(A42&lt;'Données projet'!$A$62,$AF$205^A42,IF(A42='Données projet'!$A$62,'Données projet'!$B$62,AI41+AH42-AQ41)))</f>
        <v>251.75999999999991</v>
      </c>
      <c r="AJ42" s="14">
        <f>AI42*VLOOKUP('Données projet'!$B$10,Paramètres!$A$1:$I$89,3,0)*VLOOKUP('Données projet'!$B$10,Paramètres!$A$1:$I$89,5,0)</f>
        <v>184.59043199999994</v>
      </c>
      <c r="AK42" s="14">
        <f t="shared" si="35"/>
        <v>46.341971073486597</v>
      </c>
      <c r="AL42" s="22">
        <f t="shared" si="4"/>
        <v>402.20726868632238</v>
      </c>
      <c r="AM42" s="62">
        <f t="shared" si="5"/>
        <v>695.54060201965569</v>
      </c>
      <c r="AN42" s="62">
        <f ca="1">AVERAGE(OFFSET($AM$3,0,0,'Données projet'!$E$10+1,1))-AVERAGE(OFFSET($H$3,0,0,'Données projet'!$E$10+1,1))</f>
        <v>344.45199703750711</v>
      </c>
      <c r="AO42" s="62">
        <f t="shared" si="36"/>
        <v>376.41441893222185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11.2</v>
      </c>
      <c r="BD42" s="13">
        <f>IF('Données projet'!$A$88&gt;35,BD41+BC42-BL41,IF(A42&lt;'Données projet'!$A$88,$BA$205^A42,IF(A42='Données projet'!$A$88,'Données projet'!$B$88,BD41+BC42-BL41)))</f>
        <v>191.79999999999998</v>
      </c>
      <c r="BE42" s="14">
        <f>BD42*VLOOKUP('Données projet'!$B$11,Paramètres!$A$1:$I$89,3,0)*VLOOKUP('Données projet'!$B$11,Paramètres!$A$1:$I$89,5,0)</f>
        <v>194.48519999999999</v>
      </c>
      <c r="BF42" s="14">
        <f t="shared" si="37"/>
        <v>48.530216343846028</v>
      </c>
      <c r="BG42" s="22">
        <f t="shared" si="7"/>
        <v>423.25185013219851</v>
      </c>
      <c r="BH42" s="62">
        <f t="shared" si="8"/>
        <v>716.58518346553183</v>
      </c>
      <c r="BI42" s="62">
        <f ca="1">AVERAGE(OFFSET($BH$3,0,0,'Données projet'!$E$11+1,1))-AVERAGE(OFFSET($H$3,0,0,'Données projet'!$E$11+1,1))</f>
        <v>569.39473185784823</v>
      </c>
      <c r="BJ42" s="62">
        <f t="shared" si="38"/>
        <v>367.42881145517066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10.6</v>
      </c>
      <c r="BY42" s="13">
        <f>IF('Données projet'!$A$114&gt;35,BY41+BX42-CG41,IF(A42&lt;'Données projet'!$A$114,$BV$205^A42,IF(A42='Données projet'!$A$114,'Données projet'!$B$114,BY41+BX42-CG41)))</f>
        <v>181.39999999999998</v>
      </c>
      <c r="BZ42" s="14">
        <f>BY42*VLOOKUP('Données projet'!$B$12,Paramètres!$A$1:$I$89,3,0)*VLOOKUP('Données projet'!$B$12,Paramètres!$A$1:$I$89,5,0)</f>
        <v>155.6412</v>
      </c>
      <c r="CA42" s="14">
        <f t="shared" si="39"/>
        <v>39.857801084474076</v>
      </c>
      <c r="CB42" s="22">
        <f t="shared" si="10"/>
        <v>340.49409355545896</v>
      </c>
      <c r="CC42" s="62">
        <f t="shared" si="11"/>
        <v>633.82742688879227</v>
      </c>
      <c r="CD42" s="62">
        <f ca="1">AVERAGE(OFFSET($CC$3,0,0,'Données projet'!$E$12+1,1))-AVERAGE(OFFSET($H$3,0,0,'Données projet'!$E$12+1,1))</f>
        <v>554.06253050955502</v>
      </c>
      <c r="CE42" s="62">
        <f t="shared" si="40"/>
        <v>269.71949336355789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11.142857142857142</v>
      </c>
      <c r="CT42" s="13">
        <f>IF('Données projet'!$A$140&gt;35,CT41+CS42-DB41,IF(A42&lt;'Données projet'!$A$140,$CQ$205^A42,IF(A42='Données projet'!$A$140,'Données projet'!$B$140,CT41+CS42-DB41)))</f>
        <v>174.28571428571425</v>
      </c>
      <c r="CU42" s="18">
        <f>CT42*VLOOKUP('Données projet'!$B$13,Paramètres!$A$1:$I$89,3,0)*VLOOKUP('Données projet'!$B$13,Paramètres!$A$1:$I$89,5,0)</f>
        <v>135.94285714285712</v>
      </c>
      <c r="CV42" s="14">
        <f t="shared" si="41"/>
        <v>35.365986273808367</v>
      </c>
      <c r="CW42" s="22">
        <f t="shared" si="13"/>
        <v>298.36290228402572</v>
      </c>
      <c r="CX42" s="62">
        <f t="shared" si="14"/>
        <v>591.69623561735898</v>
      </c>
      <c r="CY42" s="62">
        <f ca="1">AVERAGE(OFFSET($CX$3,0,0,'Données projet'!$E$13+1,1))-AVERAGE(OFFSET($H$3,0,0,'Données projet'!$E$13+1,1))</f>
        <v>292.21364130214391</v>
      </c>
      <c r="CZ42" s="62">
        <f t="shared" si="42"/>
        <v>283.48738729114024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7.1794871794871824</v>
      </c>
      <c r="DO42" s="13">
        <f>IF('Données projet'!$A$166&gt;35,DO41+DN42-DW41,IF(A42&lt;'Données projet'!$A$166,$DL$205^A42,IF(A42='Données projet'!$A$166,'Données projet'!$B$166,DO41+DN42-DW41)))</f>
        <v>183.20512820512826</v>
      </c>
      <c r="DP42" s="18">
        <f>DO42*VLOOKUP('Données projet'!$B$14,Paramètres!$A$1:$I$89,3,0)*VLOOKUP('Données projet'!$B$14,Paramètres!$A$1:$I$89,5,0)</f>
        <v>174.33800000000005</v>
      </c>
      <c r="DQ42" s="14">
        <f t="shared" si="43"/>
        <v>44.060161897107399</v>
      </c>
      <c r="DR42" s="22">
        <f t="shared" si="16"/>
        <v>380.37679863746217</v>
      </c>
      <c r="DS42" s="62">
        <f t="shared" si="17"/>
        <v>673.71013197079549</v>
      </c>
      <c r="DT42" s="62">
        <f ca="1">AVERAGE(OFFSET($DS$3,0,0,'Données projet'!$E$14+1,1))-AVERAGE(OFFSET($H$3,0,0,'Données projet'!$E$14+1,1))</f>
        <v>427.47603885390191</v>
      </c>
      <c r="DU42" s="62">
        <f t="shared" si="44"/>
        <v>350.88664394632116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8.4</v>
      </c>
      <c r="EJ42" s="13">
        <f>IF('Données projet'!$A$192&gt;35,EJ41+EI42-ER41,IF(A42&lt;'Données projet'!$A$192,$EG$205^A42,IF(A42='Données projet'!$A$192,'Données projet'!$B$192,EJ41+EI42-ER41)))</f>
        <v>149.60000000000002</v>
      </c>
      <c r="EK42" s="18">
        <f>EJ42*VLOOKUP('Données projet'!$B$15,Paramètres!$A$1:$I$89,3,0)*VLOOKUP('Données projet'!$B$15,Paramètres!$A$1:$I$89,5,0)</f>
        <v>144.69312000000002</v>
      </c>
      <c r="EL42" s="14">
        <f t="shared" si="45"/>
        <v>37.370061524802772</v>
      </c>
      <c r="EM42" s="22">
        <f t="shared" si="19"/>
        <v>317.09337448903148</v>
      </c>
      <c r="EN42" s="62">
        <f t="shared" si="20"/>
        <v>610.42670782236473</v>
      </c>
      <c r="EO42" s="62">
        <f ca="1">AVERAGE(OFFSET($EN$3,0,0,'Données projet'!$E$15+1,1))-AVERAGE(OFFSET($H$3,0,0,'Données projet'!$E$15+1,1))</f>
        <v>455.50822833641354</v>
      </c>
      <c r="EP42" s="62">
        <f t="shared" si="46"/>
        <v>261.14722581688039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8.8000000000000007</v>
      </c>
      <c r="FE42" s="13">
        <f>IF('Données projet'!$A$218&gt;35,FE41+FD42-FM41,IF(A42&lt;'Données projet'!$A$218,$FB$205^A42,IF(A42='Données projet'!$A$218,'Données projet'!$B$218,FE41+FD42-FM41)))</f>
        <v>203.20000000000005</v>
      </c>
      <c r="FF42" s="18">
        <f>FE42*VLOOKUP('Données projet'!$B$16,Paramètres!$A$1:$I$89,3,0)*VLOOKUP('Données projet'!$B$16,Paramètres!$A$1:$I$89,5,0)</f>
        <v>177.51552000000007</v>
      </c>
      <c r="FG42" s="14">
        <f t="shared" si="47"/>
        <v>44.768988809542904</v>
      </c>
      <c r="FH42" s="22">
        <f t="shared" si="22"/>
        <v>387.145519509954</v>
      </c>
      <c r="FI42" s="62">
        <f t="shared" si="23"/>
        <v>680.47885284328731</v>
      </c>
      <c r="FJ42" s="62">
        <f ca="1">AVERAGE(OFFSET($FI$3,0,0,'Données projet'!$E$16+1,1))-AVERAGE(OFFSET($H$3,0,0,'Données projet'!$E$16+1,1))</f>
        <v>369.34989412920129</v>
      </c>
      <c r="FK42" s="62">
        <f t="shared" si="48"/>
        <v>371.26234252426553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5</v>
      </c>
      <c r="FZ42" s="13">
        <f>IF('Données projet'!$A$244&gt;35,FZ41+FY42-GH41,IF(A42&lt;'Données projet'!$A$244,$FW$205^A42,IF(A42='Données projet'!$A$244,'Données projet'!$B$244,FZ41+FY42-GH41)))</f>
        <v>236</v>
      </c>
      <c r="GA42" s="18">
        <f>FZ42*VLOOKUP('Données projet'!$B$17,Paramètres!$A$1:$I$89,3,0)*VLOOKUP('Données projet'!$B$17,Paramètres!$A$1:$I$89,5,0)</f>
        <v>213.53280000000001</v>
      </c>
      <c r="GB42" s="14">
        <f t="shared" si="49"/>
        <v>52.706840209271235</v>
      </c>
      <c r="GC42" s="22">
        <f t="shared" si="25"/>
        <v>463.70070669781398</v>
      </c>
      <c r="GD42" s="62">
        <f t="shared" si="26"/>
        <v>757.03404003114724</v>
      </c>
      <c r="GE42" s="62">
        <f ca="1">AVERAGE(OFFSET($GD$3,0,0,'Données projet'!$E$17+1,1))-AVERAGE(OFFSET($H$3,0,0,'Données projet'!$E$17+1,1))</f>
        <v>324.4489531703187</v>
      </c>
      <c r="GF42" s="62">
        <f t="shared" si="50"/>
        <v>446.55019360848706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projet'!$B$17,Paramètres!$A$1:$I$89,3,0)*0.475*44/12</f>
        <v>0</v>
      </c>
      <c r="GM42" s="23">
        <f>EXP(-LN(2)/25)*GM41+(1-EXP(-LN(2)/25))/(LN(2)/25)*Calculateur!GH42*Calculateur!GJ42*VLOOKUP('Données projet'!$B$17,Paramètres!$A$1:$I$89,3,0)*0.475*44/12</f>
        <v>0</v>
      </c>
      <c r="GN42" s="23">
        <f>EXP(-LN(2)/2)*GN41+(1-EXP(-LN(2)/2))/(LN(2)/2)*GH42*GK42*VLOOKUP('Données projet'!$B$17,Paramètres!$A$1:$I$89,3,0)*0.475*44/12</f>
        <v>0</v>
      </c>
      <c r="GO42" s="23">
        <f t="shared" si="27"/>
        <v>0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7.1794871794871824</v>
      </c>
      <c r="GU42" s="13">
        <f>IF('Données projet'!$A$270&gt;35,GU41+GT42-HC41,IF(A42&lt;'Données projet'!$A$270,$GR$205^A42,IF(A42='Données projet'!$A$270,'Données projet'!$B$270,GU41+GT42-HC41)))</f>
        <v>183.84615384615387</v>
      </c>
      <c r="GV42" s="18">
        <f>GU42*VLOOKUP('Données projet'!$B$18,Paramètres!$A$1:$I$89,3,0)*VLOOKUP('Données projet'!$B$18,Paramètres!$A$1:$I$89,5,0)</f>
        <v>123.32400000000003</v>
      </c>
      <c r="GW42" s="14">
        <f t="shared" si="51"/>
        <v>32.449030564483728</v>
      </c>
      <c r="GX42" s="22">
        <f t="shared" si="28"/>
        <v>271.30469489980919</v>
      </c>
      <c r="GY42" s="62">
        <f t="shared" si="29"/>
        <v>564.63802823314245</v>
      </c>
      <c r="GZ42" s="62">
        <f ca="1">AVERAGE(OFFSET($GY$3,0,0,'Données projet'!$E$18+1,1))-AVERAGE(OFFSET($H$3,0,0,'Données projet'!$E$18+1,1))</f>
        <v>312.06797204903796</v>
      </c>
      <c r="HA42" s="62">
        <f t="shared" si="52"/>
        <v>258.20189001775151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>
        <f>EXP(-LN(2)/35)*HG41+(1-EXP(-LN(2)/35))/(LN(2)/35)*HC42*HD42*VLOOKUP('Données projet'!$B$18,Paramètres!$A$1:$I$89,3,0)*0.475*44/12</f>
        <v>0</v>
      </c>
      <c r="HH42" s="23">
        <f>EXP(-LN(2)/25)*HH41+(1-EXP(-LN(2)/25))/(LN(2)/25)*Calculateur!HC42*Calculateur!HE42*VLOOKUP('Données projet'!$B$18,Paramètres!$A$1:$I$89,3,0)*0.475*44/12</f>
        <v>0</v>
      </c>
      <c r="HI42" s="23">
        <f>EXP(-LN(2)/2)*HI41+(1-EXP(-LN(2)/2))/(LN(2)/2)*HC42*HF42*VLOOKUP('Données projet'!$B$18,Paramètres!$A$1:$I$89,3,0)*0.475*44/12</f>
        <v>0</v>
      </c>
      <c r="HJ42" s="24">
        <f t="shared" si="30"/>
        <v>0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203</v>
      </c>
      <c r="L43" s="13">
        <f>VLOOKUP(A43,'Données projet'!$A$35:$I$55,9,0)</f>
        <v>11.2</v>
      </c>
      <c r="M43" s="13">
        <f t="array" ref="M43">INDEX(L:L,MIN(IF(ISNUMBER(L43:L239),ROW(L43:L239),"")))</f>
        <v>11.2</v>
      </c>
      <c r="N43" s="14">
        <f>IF('Données projet'!$A$36&gt;35,N42+M43-V42,IF(A43&lt;'Données projet'!$A$36,$K$205^A43,IF(A43='Données projet'!$A$36,'Données projet'!$B$36,N42+M43-V42)))</f>
        <v>202.99999999999997</v>
      </c>
      <c r="O43" s="14">
        <f>N43*VLOOKUP('Données projet'!$B$9,Paramètres!$A$1:$I$89,3,0)*VLOOKUP('Données projet'!$B$9,Paramètres!$A$1:$I$89,5,0)</f>
        <v>183.67439999999996</v>
      </c>
      <c r="P43" s="14">
        <f t="shared" si="33"/>
        <v>46.138708549418673</v>
      </c>
      <c r="Q43" s="22">
        <f t="shared" si="53"/>
        <v>400.25783072357075</v>
      </c>
      <c r="R43" s="62">
        <f t="shared" si="0"/>
        <v>693.59116405690406</v>
      </c>
      <c r="S43" s="62">
        <f ca="1">AVERAGE(OFFSET($R$3,0,0,'Données projet'!$E$9+1,1))-AVERAGE(OFFSET($H$3,0,0,'Données projet'!$E$9+1,1))</f>
        <v>512.84819850818667</v>
      </c>
      <c r="T43" s="62">
        <f t="shared" si="34"/>
        <v>332.61387922152159</v>
      </c>
      <c r="U43" s="16">
        <f>IF(ISNA(VLOOKUP(A43,'Données projet'!$A$35:$I$55,3,0)),0,VLOOKUP(A43,'Données projet'!$A$35:$I$55,3,0))</f>
        <v>3</v>
      </c>
      <c r="V43" s="16">
        <f>IF(ISNA(VLOOKUP(A43,'Données projet'!$A$35:$I$55,4,0)),0,VLOOKUP(A43,'Données projet'!$A$35:$I$55,4,0))</f>
        <v>56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263.10000000000002</v>
      </c>
      <c r="AG43" s="13">
        <f>VLOOKUP(A43,'Données projet'!$A$61:$I$81,9,0)</f>
        <v>11.340000000000003</v>
      </c>
      <c r="AH43" s="13">
        <f t="array" ref="AH43">INDEX(AG:AG,MIN(IF(ISNUMBER(AG43:AG239),ROW(AG43:AG239),"")))</f>
        <v>11.340000000000003</v>
      </c>
      <c r="AI43" s="14">
        <f>IF('Données projet'!$A$62&gt;35,AI42+AH43-AQ42,IF(A43&lt;'Données projet'!$A$62,$AF$205^A43,IF(A43='Données projet'!$A$62,'Données projet'!$B$62,AI42+AH43-AQ42)))</f>
        <v>263.09999999999991</v>
      </c>
      <c r="AJ43" s="14">
        <f>AI43*VLOOKUP('Données projet'!$B$10,Paramètres!$A$1:$I$89,3,0)*VLOOKUP('Données projet'!$B$10,Paramètres!$A$1:$I$89,5,0)</f>
        <v>192.90491999999995</v>
      </c>
      <c r="AK43" s="14">
        <f t="shared" si="35"/>
        <v>48.181621167171684</v>
      </c>
      <c r="AL43" s="22">
        <f t="shared" si="4"/>
        <v>419.89239253282386</v>
      </c>
      <c r="AM43" s="62">
        <f t="shared" si="5"/>
        <v>713.22572586615718</v>
      </c>
      <c r="AN43" s="62">
        <f ca="1">AVERAGE(OFFSET($AM$3,0,0,'Données projet'!$E$10+1,1))-AVERAGE(OFFSET($H$3,0,0,'Données projet'!$E$10+1,1))</f>
        <v>344.45199703750711</v>
      </c>
      <c r="AO43" s="62">
        <f t="shared" si="36"/>
        <v>376.41441893222185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70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203</v>
      </c>
      <c r="BB43" s="13">
        <f>VLOOKUP(A43,'Données projet'!$A$87:$I$107,9,0)</f>
        <v>11.2</v>
      </c>
      <c r="BC43" s="13">
        <f t="array" ref="BC43">INDEX(BB:BB,MIN(IF(ISNUMBER(BB43:BB239),ROW(BB43:BB239),"")))</f>
        <v>11.2</v>
      </c>
      <c r="BD43" s="13">
        <f>IF('Données projet'!$A$88&gt;35,BD42+BC43-BL42,IF(A43&lt;'Données projet'!$A$88,$BA$205^A43,IF(A43='Données projet'!$A$88,'Données projet'!$B$88,BD42+BC43-BL42)))</f>
        <v>202.99999999999997</v>
      </c>
      <c r="BE43" s="14">
        <f>BD43*VLOOKUP('Données projet'!$B$11,Paramètres!$A$1:$I$89,3,0)*VLOOKUP('Données projet'!$B$11,Paramètres!$A$1:$I$89,5,0)</f>
        <v>205.84199999999998</v>
      </c>
      <c r="BF43" s="14">
        <f t="shared" si="37"/>
        <v>51.025903221558437</v>
      </c>
      <c r="BG43" s="22">
        <f t="shared" si="7"/>
        <v>447.3782647775476</v>
      </c>
      <c r="BH43" s="62">
        <f t="shared" si="8"/>
        <v>740.71159811088091</v>
      </c>
      <c r="BI43" s="62">
        <f ca="1">AVERAGE(OFFSET($BH$3,0,0,'Données projet'!$E$11+1,1))-AVERAGE(OFFSET($H$3,0,0,'Données projet'!$E$11+1,1))</f>
        <v>569.39473185784823</v>
      </c>
      <c r="BJ43" s="62">
        <f t="shared" si="38"/>
        <v>367.42881145517066</v>
      </c>
      <c r="BK43" s="16">
        <f>IF(ISNA(VLOOKUP(A43,'Données projet'!$A$87:$I$107,3,0)),0,VLOOKUP(A43,'Données projet'!$A$87:$I$107,3,0))</f>
        <v>3</v>
      </c>
      <c r="BL43" s="16">
        <f>IF(ISNA(VLOOKUP(A43,'Données projet'!$A$87:$I$107,4,0)),0,VLOOKUP(A43,'Données projet'!$A$87:$I$107,4,0))</f>
        <v>56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192</v>
      </c>
      <c r="BW43" s="13">
        <f>VLOOKUP(A43,'Données projet'!$A$113:$I$133,9,0)</f>
        <v>10.6</v>
      </c>
      <c r="BX43" s="13">
        <f t="array" ref="BX43">INDEX(BW:BW,MIN(IF(ISNUMBER(BW43:BW239),ROW(BW43:BW239),"")))</f>
        <v>10.6</v>
      </c>
      <c r="BY43" s="13">
        <f>IF('Données projet'!$A$114&gt;35,BY42+BX43-CG42,IF(A43&lt;'Données projet'!$A$114,$BV$205^A43,IF(A43='Données projet'!$A$114,'Données projet'!$B$114,BY42+BX43-CG42)))</f>
        <v>191.99999999999997</v>
      </c>
      <c r="BZ43" s="14">
        <f>BY43*VLOOKUP('Données projet'!$B$12,Paramètres!$A$1:$I$89,3,0)*VLOOKUP('Données projet'!$B$12,Paramètres!$A$1:$I$89,5,0)</f>
        <v>164.73599999999999</v>
      </c>
      <c r="CA43" s="14">
        <f t="shared" si="39"/>
        <v>41.908913144700328</v>
      </c>
      <c r="CB43" s="22">
        <f t="shared" si="10"/>
        <v>359.90655706035301</v>
      </c>
      <c r="CC43" s="62">
        <f t="shared" si="11"/>
        <v>653.23989039368632</v>
      </c>
      <c r="CD43" s="62">
        <f ca="1">AVERAGE(OFFSET($CC$3,0,0,'Données projet'!$E$12+1,1))-AVERAGE(OFFSET($H$3,0,0,'Données projet'!$E$12+1,1))</f>
        <v>554.06253050955502</v>
      </c>
      <c r="CE43" s="62">
        <f t="shared" si="40"/>
        <v>269.71949336355789</v>
      </c>
      <c r="CF43" s="16">
        <f>IF(ISNA(VLOOKUP(A43,'Données projet'!$A$113:$I$133,3,0)),0,VLOOKUP(A43,'Données projet'!$A$113:$I$133,3,0))</f>
        <v>2</v>
      </c>
      <c r="CG43" s="16">
        <f>IF(ISNA(VLOOKUP(A43,'Données projet'!$A$113:$I$133,4,0)),0,VLOOKUP(A43,'Données projet'!$A$113:$I$133,4,0))</f>
        <v>56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11.142857142857142</v>
      </c>
      <c r="CT43" s="13">
        <f>IF('Données projet'!$A$140&gt;35,CT42+CS43-DB42,IF(A43&lt;'Données projet'!$A$140,$CQ$205^A43,IF(A43='Données projet'!$A$140,'Données projet'!$B$140,CT42+CS43-DB42)))</f>
        <v>185.42857142857139</v>
      </c>
      <c r="CU43" s="18">
        <f>CT43*VLOOKUP('Données projet'!$B$13,Paramètres!$A$1:$I$89,3,0)*VLOOKUP('Données projet'!$B$13,Paramètres!$A$1:$I$89,5,0)</f>
        <v>144.63428571428568</v>
      </c>
      <c r="CV43" s="14">
        <f t="shared" si="41"/>
        <v>37.356634728420524</v>
      </c>
      <c r="CW43" s="22">
        <f t="shared" si="13"/>
        <v>316.96751977104663</v>
      </c>
      <c r="CX43" s="62">
        <f t="shared" si="14"/>
        <v>610.30085310437994</v>
      </c>
      <c r="CY43" s="62">
        <f ca="1">AVERAGE(OFFSET($CX$3,0,0,'Données projet'!$E$13+1,1))-AVERAGE(OFFSET($H$3,0,0,'Données projet'!$E$13+1,1))</f>
        <v>292.21364130214391</v>
      </c>
      <c r="CZ43" s="62">
        <f t="shared" si="42"/>
        <v>283.48738729114024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190.38461538461539</v>
      </c>
      <c r="DM43" s="13">
        <f>VLOOKUP(A43,'Données projet'!$A$165:$I$185,9,0)</f>
        <v>7.1794871794871824</v>
      </c>
      <c r="DN43" s="13">
        <f t="array" ref="DN43">INDEX(DM:DM,MIN(IF(ISNUMBER(DM43:DM239),ROW(DM43:DM239),"")))</f>
        <v>7.1794871794871824</v>
      </c>
      <c r="DO43" s="13">
        <f>IF('Données projet'!$A$166&gt;35,DO42+DN43-DW42,IF(A43&lt;'Données projet'!$A$166,$DL$205^A43,IF(A43='Données projet'!$A$166,'Données projet'!$B$166,DO42+DN43-DW42)))</f>
        <v>190.38461538461544</v>
      </c>
      <c r="DP43" s="18">
        <f>DO43*VLOOKUP('Données projet'!$B$14,Paramètres!$A$1:$I$89,3,0)*VLOOKUP('Données projet'!$B$14,Paramètres!$A$1:$I$89,5,0)</f>
        <v>181.17000000000004</v>
      </c>
      <c r="DQ43" s="14">
        <f t="shared" si="43"/>
        <v>45.58239137517684</v>
      </c>
      <c r="DR43" s="22">
        <f t="shared" si="16"/>
        <v>394.92708164509969</v>
      </c>
      <c r="DS43" s="62">
        <f t="shared" si="17"/>
        <v>688.260414978433</v>
      </c>
      <c r="DT43" s="62">
        <f ca="1">AVERAGE(OFFSET($DS$3,0,0,'Données projet'!$E$14+1,1))-AVERAGE(OFFSET($H$3,0,0,'Données projet'!$E$14+1,1))</f>
        <v>427.47603885390191</v>
      </c>
      <c r="DU43" s="62">
        <f t="shared" si="44"/>
        <v>350.88664394632116</v>
      </c>
      <c r="DV43" s="16">
        <f>IF(ISNA(VLOOKUP(A43,'Données projet'!$A$165:$I$185,3,0)),0,VLOOKUP(A43,'Données projet'!$A$165:$I$185,3,0))</f>
        <v>3</v>
      </c>
      <c r="DW43" s="16">
        <f>IF(ISNA(VLOOKUP(A43,'Données projet'!$A$165:$I$185,4,0)),0,VLOOKUP(A43,'Données projet'!$A$165:$I$185,4,0))</f>
        <v>37.179487179487175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158</v>
      </c>
      <c r="EH43" s="13">
        <f>VLOOKUP(A43,'Données projet'!$A$191:$I$211,9,0)</f>
        <v>8.4</v>
      </c>
      <c r="EI43" s="13">
        <f t="array" ref="EI43">INDEX(EH:EH,MIN(IF(ISNUMBER(EH43:EH239),ROW(EH43:EH239),"")))</f>
        <v>8.4</v>
      </c>
      <c r="EJ43" s="13">
        <f>IF('Données projet'!$A$192&gt;35,EJ42+EI43-ER42,IF(A43&lt;'Données projet'!$A$192,$EG$205^A43,IF(A43='Données projet'!$A$192,'Données projet'!$B$192,EJ42+EI43-ER42)))</f>
        <v>158.00000000000003</v>
      </c>
      <c r="EK43" s="18">
        <f>EJ43*VLOOKUP('Données projet'!$B$15,Paramètres!$A$1:$I$89,3,0)*VLOOKUP('Données projet'!$B$15,Paramètres!$A$1:$I$89,5,0)</f>
        <v>152.81760000000003</v>
      </c>
      <c r="EL43" s="14">
        <f t="shared" si="45"/>
        <v>39.218200171484227</v>
      </c>
      <c r="EM43" s="22">
        <f t="shared" si="19"/>
        <v>334.46235196533502</v>
      </c>
      <c r="EN43" s="62">
        <f t="shared" si="20"/>
        <v>627.79568529866833</v>
      </c>
      <c r="EO43" s="62">
        <f ca="1">AVERAGE(OFFSET($EN$3,0,0,'Données projet'!$E$15+1,1))-AVERAGE(OFFSET($H$3,0,0,'Données projet'!$E$15+1,1))</f>
        <v>455.50822833641354</v>
      </c>
      <c r="EP43" s="62">
        <f t="shared" si="46"/>
        <v>261.14722581688039</v>
      </c>
      <c r="EQ43" s="16">
        <f>IF(ISNA(VLOOKUP(A43,'Données projet'!$A$191:$I$211,3,0)),0,VLOOKUP(A43,'Données projet'!$A$191:$I$211,3,0))</f>
        <v>2</v>
      </c>
      <c r="ER43" s="16">
        <f>IF(ISNA(VLOOKUP(A43,'Données projet'!$A$191:$I$211,4,0)),0,VLOOKUP(A43,'Données projet'!$A$191:$I$211,4,0))</f>
        <v>42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212</v>
      </c>
      <c r="FC43" s="13">
        <f>VLOOKUP(A43,'Données projet'!$A$217:$I$237,9,0)</f>
        <v>8.8000000000000007</v>
      </c>
      <c r="FD43" s="13">
        <f t="array" ref="FD43">INDEX(FC:FC,MIN(IF(ISNUMBER(FC43:FC239),ROW(FC43:FC239),"")))</f>
        <v>8.8000000000000007</v>
      </c>
      <c r="FE43" s="13">
        <f>IF('Données projet'!$A$218&gt;35,FE42+FD43-FM42,IF(A43&lt;'Données projet'!$A$218,$FB$205^A43,IF(A43='Données projet'!$A$218,'Données projet'!$B$218,FE42+FD43-FM42)))</f>
        <v>212.00000000000006</v>
      </c>
      <c r="FF43" s="18">
        <f>FE43*VLOOKUP('Données projet'!$B$16,Paramètres!$A$1:$I$89,3,0)*VLOOKUP('Données projet'!$B$16,Paramètres!$A$1:$I$89,5,0)</f>
        <v>185.20320000000007</v>
      </c>
      <c r="FG43" s="14">
        <f t="shared" si="47"/>
        <v>46.477875402099386</v>
      </c>
      <c r="FH43" s="22">
        <f t="shared" si="22"/>
        <v>403.5112063253232</v>
      </c>
      <c r="FI43" s="62">
        <f t="shared" si="23"/>
        <v>696.84453965865646</v>
      </c>
      <c r="FJ43" s="62">
        <f ca="1">AVERAGE(OFFSET($FI$3,0,0,'Données projet'!$E$16+1,1))-AVERAGE(OFFSET($H$3,0,0,'Données projet'!$E$16+1,1))</f>
        <v>369.34989412920129</v>
      </c>
      <c r="FK43" s="62">
        <f t="shared" si="48"/>
        <v>371.26234252426553</v>
      </c>
      <c r="FL43" s="16">
        <f>IF(ISNA(VLOOKUP(A43,'Données projet'!$A$217:$I$237,3,0)),0,VLOOKUP(A43,'Données projet'!$A$217:$I$237,3,0))</f>
        <v>3</v>
      </c>
      <c r="FM43" s="16">
        <f>IF(ISNA(VLOOKUP(A43,'Données projet'!$A$217:$I$237,4,0)),0,VLOOKUP(A43,'Données projet'!$A$217:$I$237,4,0))</f>
        <v>54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>
        <f>VLOOKUP(A43,'Données projet'!$A$243:$I$263,2,0)</f>
        <v>241</v>
      </c>
      <c r="FX43" s="13">
        <f>VLOOKUP(A43,'Données projet'!$A$243:$I$263,9,0)</f>
        <v>5</v>
      </c>
      <c r="FY43" s="13">
        <f t="array" ref="FY43">INDEX(FX:FX,MIN(IF(ISNUMBER(FX43:FX239),ROW(FX43:FX239),"")))</f>
        <v>5</v>
      </c>
      <c r="FZ43" s="13">
        <f>IF('Données projet'!$A$244&gt;35,FZ42+FY43-GH42,IF(A43&lt;'Données projet'!$A$244,$FW$205^A43,IF(A43='Données projet'!$A$244,'Données projet'!$B$244,FZ42+FY43-GH42)))</f>
        <v>241</v>
      </c>
      <c r="GA43" s="18">
        <f>FZ43*VLOOKUP('Données projet'!$B$17,Paramètres!$A$1:$I$89,3,0)*VLOOKUP('Données projet'!$B$17,Paramètres!$A$1:$I$89,5,0)</f>
        <v>218.05680000000001</v>
      </c>
      <c r="GB43" s="14">
        <f t="shared" si="49"/>
        <v>53.69232297195181</v>
      </c>
      <c r="GC43" s="22">
        <f t="shared" si="25"/>
        <v>473.29638917614938</v>
      </c>
      <c r="GD43" s="62">
        <f t="shared" si="26"/>
        <v>766.62972250948269</v>
      </c>
      <c r="GE43" s="62">
        <f ca="1">AVERAGE(OFFSET($GD$3,0,0,'Données projet'!$E$17+1,1))-AVERAGE(OFFSET($H$3,0,0,'Données projet'!$E$17+1,1))</f>
        <v>324.4489531703187</v>
      </c>
      <c r="GF43" s="62">
        <f t="shared" si="50"/>
        <v>446.55019360848706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projet'!$B$17,Paramètres!$A$1:$I$89,3,0)*0.475*44/12</f>
        <v>0</v>
      </c>
      <c r="GM43" s="23">
        <f>EXP(-LN(2)/25)*GM42+(1-EXP(-LN(2)/25))/(LN(2)/25)*Calculateur!GH43*Calculateur!GJ43*VLOOKUP('Données projet'!$B$17,Paramètres!$A$1:$I$89,3,0)*0.475*44/12</f>
        <v>0</v>
      </c>
      <c r="GN43" s="23">
        <f>EXP(-LN(2)/2)*GN42+(1-EXP(-LN(2)/2))/(LN(2)/2)*GH43*GK43*VLOOKUP('Données projet'!$B$17,Paramètres!$A$1:$I$89,3,0)*0.475*44/12</f>
        <v>0</v>
      </c>
      <c r="GO43" s="23">
        <f t="shared" si="27"/>
        <v>0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>
        <f>VLOOKUP(A43,'Données projet'!$A$269:$I$289,2,0)</f>
        <v>191.02564102564102</v>
      </c>
      <c r="GS43" s="13">
        <f>VLOOKUP(A43,'Données projet'!$A$269:$I$289,9,0)</f>
        <v>7.1794871794871824</v>
      </c>
      <c r="GT43" s="13">
        <f t="array" ref="GT43">INDEX(GS:GS,MIN(IF(ISNUMBER(GS43:GS239),ROW(GS43:GS239),"")))</f>
        <v>7.1794871794871824</v>
      </c>
      <c r="GU43" s="13">
        <f>IF('Données projet'!$A$270&gt;35,GU42+GT43-HC42,IF(A43&lt;'Données projet'!$A$270,$GR$205^A43,IF(A43='Données projet'!$A$270,'Données projet'!$B$270,GU42+GT43-HC42)))</f>
        <v>191.02564102564105</v>
      </c>
      <c r="GV43" s="18">
        <f>GU43*VLOOKUP('Données projet'!$B$18,Paramètres!$A$1:$I$89,3,0)*VLOOKUP('Données projet'!$B$18,Paramètres!$A$1:$I$89,5,0)</f>
        <v>128.14000000000001</v>
      </c>
      <c r="GW43" s="14">
        <f t="shared" si="51"/>
        <v>33.566208132601098</v>
      </c>
      <c r="GX43" s="22">
        <f t="shared" si="28"/>
        <v>281.63831249761358</v>
      </c>
      <c r="GY43" s="62">
        <f t="shared" si="29"/>
        <v>574.97164583094695</v>
      </c>
      <c r="GZ43" s="62">
        <f ca="1">AVERAGE(OFFSET($GY$3,0,0,'Données projet'!$E$18+1,1))-AVERAGE(OFFSET($H$3,0,0,'Données projet'!$E$18+1,1))</f>
        <v>312.06797204903796</v>
      </c>
      <c r="HA43" s="62">
        <f t="shared" si="52"/>
        <v>258.20189001775151</v>
      </c>
      <c r="HB43" s="16">
        <f>IF(ISNA(VLOOKUP(A43,'Données projet'!$A$269:$I$289,3,0)),0,VLOOKUP(A43,'Données projet'!$A$269:$I$289,3,0))</f>
        <v>3</v>
      </c>
      <c r="HC43" s="16">
        <f>IF(ISNA(VLOOKUP(A43,'Données projet'!$A$269:$I$289,4,0)),0,VLOOKUP(A43,'Données projet'!$A$269:$I$289,4,0))</f>
        <v>34.615384615384613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>
        <f>EXP(-LN(2)/35)*HG42+(1-EXP(-LN(2)/35))/(LN(2)/35)*HC43*HD43*VLOOKUP('Données projet'!$B$18,Paramètres!$A$1:$I$89,3,0)*0.475*44/12</f>
        <v>0</v>
      </c>
      <c r="HH43" s="23">
        <f>EXP(-LN(2)/25)*HH42+(1-EXP(-LN(2)/25))/(LN(2)/25)*Calculateur!HC43*Calculateur!HE43*VLOOKUP('Données projet'!$B$18,Paramètres!$A$1:$I$89,3,0)*0.475*44/12</f>
        <v>0</v>
      </c>
      <c r="HI43" s="23">
        <f>EXP(-LN(2)/2)*HI42+(1-EXP(-LN(2)/2))/(LN(2)/2)*HC43*HF43*VLOOKUP('Données projet'!$B$18,Paramètres!$A$1:$I$89,3,0)*0.475*44/12</f>
        <v>0</v>
      </c>
      <c r="HJ43" s="24">
        <f t="shared" si="30"/>
        <v>0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11.4</v>
      </c>
      <c r="N44" s="14">
        <f>IF('Données projet'!$A$36&gt;35,N43+M44-V43,IF(A44&lt;'Données projet'!$A$36,$K$205^A44,IF(A44='Données projet'!$A$36,'Données projet'!$B$36,N43+M44-V43)))</f>
        <v>158.39999999999998</v>
      </c>
      <c r="O44" s="14">
        <f>N44*VLOOKUP('Données projet'!$B$9,Paramètres!$A$1:$I$89,3,0)*VLOOKUP('Données projet'!$B$9,Paramètres!$A$1:$I$89,5,0)</f>
        <v>143.32031999999998</v>
      </c>
      <c r="P44" s="14">
        <f t="shared" si="33"/>
        <v>37.056603420232349</v>
      </c>
      <c r="Q44" s="22">
        <f t="shared" si="53"/>
        <v>314.15647495690467</v>
      </c>
      <c r="R44" s="62">
        <f t="shared" si="0"/>
        <v>607.48980829023799</v>
      </c>
      <c r="S44" s="62">
        <f ca="1">AVERAGE(OFFSET($R$3,0,0,'Données projet'!$E$9+1,1))-AVERAGE(OFFSET($H$3,0,0,'Données projet'!$E$9+1,1))</f>
        <v>512.84819850818667</v>
      </c>
      <c r="T44" s="62">
        <f t="shared" si="34"/>
        <v>332.61387922152159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9.8199999999999932</v>
      </c>
      <c r="AI44" s="14">
        <f>IF('Données projet'!$A$62&gt;35,AI43+AH44-AQ43,IF(A44&lt;'Données projet'!$A$62,$AF$205^A44,IF(A44='Données projet'!$A$62,'Données projet'!$B$62,AI43+AH44-AQ43)))</f>
        <v>202.9199999999999</v>
      </c>
      <c r="AJ44" s="14">
        <f>AI44*VLOOKUP('Données projet'!$B$10,Paramètres!$A$1:$I$89,3,0)*VLOOKUP('Données projet'!$B$10,Paramètres!$A$1:$I$89,5,0)</f>
        <v>148.78094399999992</v>
      </c>
      <c r="AK44" s="14">
        <f t="shared" si="35"/>
        <v>38.301419336680702</v>
      </c>
      <c r="AL44" s="22">
        <f t="shared" si="4"/>
        <v>325.83511614471871</v>
      </c>
      <c r="AM44" s="62">
        <f t="shared" si="5"/>
        <v>619.16844947805203</v>
      </c>
      <c r="AN44" s="62">
        <f ca="1">AVERAGE(OFFSET($AM$3,0,0,'Données projet'!$E$10+1,1))-AVERAGE(OFFSET($H$3,0,0,'Données projet'!$E$10+1,1))</f>
        <v>344.45199703750711</v>
      </c>
      <c r="AO44" s="62">
        <f t="shared" si="36"/>
        <v>376.41441893222185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11.4</v>
      </c>
      <c r="BD44" s="13">
        <f>IF('Données projet'!$A$88&gt;35,BD43+BC44-BL43,IF(A44&lt;'Données projet'!$A$88,$BA$205^A44,IF(A44='Données projet'!$A$88,'Données projet'!$B$88,BD43+BC44-BL43)))</f>
        <v>158.39999999999998</v>
      </c>
      <c r="BE44" s="14">
        <f>BD44*VLOOKUP('Données projet'!$B$11,Paramètres!$A$1:$I$89,3,0)*VLOOKUP('Données projet'!$B$11,Paramètres!$A$1:$I$89,5,0)</f>
        <v>160.61759999999998</v>
      </c>
      <c r="BF44" s="14">
        <f t="shared" si="37"/>
        <v>40.981785561145074</v>
      </c>
      <c r="BG44" s="22">
        <f t="shared" si="7"/>
        <v>351.11892985232765</v>
      </c>
      <c r="BH44" s="62">
        <f t="shared" si="8"/>
        <v>644.45226318566097</v>
      </c>
      <c r="BI44" s="62">
        <f ca="1">AVERAGE(OFFSET($BH$3,0,0,'Données projet'!$E$11+1,1))-AVERAGE(OFFSET($H$3,0,0,'Données projet'!$E$11+1,1))</f>
        <v>569.39473185784823</v>
      </c>
      <c r="BJ44" s="62">
        <f t="shared" si="38"/>
        <v>367.42881145517066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10.8</v>
      </c>
      <c r="BY44" s="13">
        <f>IF('Données projet'!$A$114&gt;35,BY43+BX44-CG43,IF(A44&lt;'Données projet'!$A$114,$BV$205^A44,IF(A44='Données projet'!$A$114,'Données projet'!$B$114,BY43+BX44-CG43)))</f>
        <v>146.79999999999998</v>
      </c>
      <c r="BZ44" s="14">
        <f>BY44*VLOOKUP('Données projet'!$B$12,Paramètres!$A$1:$I$89,3,0)*VLOOKUP('Données projet'!$B$12,Paramètres!$A$1:$I$89,5,0)</f>
        <v>125.95439999999999</v>
      </c>
      <c r="CA44" s="14">
        <f t="shared" si="39"/>
        <v>33.059826887154777</v>
      </c>
      <c r="CB44" s="22">
        <f t="shared" si="10"/>
        <v>276.94977849512787</v>
      </c>
      <c r="CC44" s="62">
        <f t="shared" si="11"/>
        <v>570.28311182846119</v>
      </c>
      <c r="CD44" s="62">
        <f ca="1">AVERAGE(OFFSET($CC$3,0,0,'Données projet'!$E$12+1,1))-AVERAGE(OFFSET($H$3,0,0,'Données projet'!$E$12+1,1))</f>
        <v>554.06253050955502</v>
      </c>
      <c r="CE44" s="62">
        <f t="shared" si="40"/>
        <v>269.71949336355789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11.142857142857142</v>
      </c>
      <c r="CT44" s="13">
        <f>IF('Données projet'!$A$140&gt;35,CT43+CS44-DB43,IF(A44&lt;'Données projet'!$A$140,$CQ$205^A44,IF(A44='Données projet'!$A$140,'Données projet'!$B$140,CT43+CS44-DB43)))</f>
        <v>196.57142857142853</v>
      </c>
      <c r="CU44" s="18">
        <f>CT44*VLOOKUP('Données projet'!$B$13,Paramètres!$A$1:$I$89,3,0)*VLOOKUP('Données projet'!$B$13,Paramètres!$A$1:$I$89,5,0)</f>
        <v>153.32571428571427</v>
      </c>
      <c r="CV44" s="14">
        <f t="shared" si="41"/>
        <v>39.33339883761419</v>
      </c>
      <c r="CW44" s="22">
        <f t="shared" si="13"/>
        <v>335.54795535646372</v>
      </c>
      <c r="CX44" s="62">
        <f t="shared" si="14"/>
        <v>628.88128868979697</v>
      </c>
      <c r="CY44" s="62">
        <f ca="1">AVERAGE(OFFSET($CX$3,0,0,'Données projet'!$E$13+1,1))-AVERAGE(OFFSET($H$3,0,0,'Données projet'!$E$13+1,1))</f>
        <v>292.21364130214391</v>
      </c>
      <c r="CZ44" s="62">
        <f t="shared" si="42"/>
        <v>283.48738729114024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6.6666666666666625</v>
      </c>
      <c r="DO44" s="13">
        <f>IF('Données projet'!$A$166&gt;35,DO43+DN44-DW43,IF(A44&lt;'Données projet'!$A$166,$DL$205^A44,IF(A44='Données projet'!$A$166,'Données projet'!$B$166,DO43+DN44-DW43)))</f>
        <v>159.87179487179492</v>
      </c>
      <c r="DP44" s="18">
        <f>DO44*VLOOKUP('Données projet'!$B$14,Paramètres!$A$1:$I$89,3,0)*VLOOKUP('Données projet'!$B$14,Paramètres!$A$1:$I$89,5,0)</f>
        <v>152.13400000000004</v>
      </c>
      <c r="DQ44" s="14">
        <f t="shared" si="43"/>
        <v>39.063145346110069</v>
      </c>
      <c r="DR44" s="22">
        <f t="shared" si="16"/>
        <v>333.00169481114176</v>
      </c>
      <c r="DS44" s="62">
        <f t="shared" si="17"/>
        <v>626.33502814447502</v>
      </c>
      <c r="DT44" s="62">
        <f ca="1">AVERAGE(OFFSET($DS$3,0,0,'Données projet'!$E$14+1,1))-AVERAGE(OFFSET($H$3,0,0,'Données projet'!$E$14+1,1))</f>
        <v>427.47603885390191</v>
      </c>
      <c r="DU44" s="62">
        <f t="shared" si="44"/>
        <v>350.88664394632116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8.4</v>
      </c>
      <c r="EJ44" s="13">
        <f>IF('Données projet'!$A$192&gt;35,EJ43+EI44-ER43,IF(A44&lt;'Données projet'!$A$192,$EG$205^A44,IF(A44='Données projet'!$A$192,'Données projet'!$B$192,EJ43+EI44-ER43)))</f>
        <v>124.40000000000003</v>
      </c>
      <c r="EK44" s="18">
        <f>EJ44*VLOOKUP('Données projet'!$B$15,Paramètres!$A$1:$I$89,3,0)*VLOOKUP('Données projet'!$B$15,Paramètres!$A$1:$I$89,5,0)</f>
        <v>120.31968000000002</v>
      </c>
      <c r="EL44" s="14">
        <f t="shared" si="45"/>
        <v>31.74954785566829</v>
      </c>
      <c r="EM44" s="22">
        <f t="shared" si="19"/>
        <v>264.85390518195561</v>
      </c>
      <c r="EN44" s="62">
        <f t="shared" si="20"/>
        <v>558.18723851528898</v>
      </c>
      <c r="EO44" s="62">
        <f ca="1">AVERAGE(OFFSET($EN$3,0,0,'Données projet'!$E$15+1,1))-AVERAGE(OFFSET($H$3,0,0,'Données projet'!$E$15+1,1))</f>
        <v>455.50822833641354</v>
      </c>
      <c r="EP44" s="62">
        <f t="shared" si="46"/>
        <v>261.14722581688039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8</v>
      </c>
      <c r="FE44" s="13">
        <f>IF('Données projet'!$A$218&gt;35,FE43+FD44-FM43,IF(A44&lt;'Données projet'!$A$218,$FB$205^A44,IF(A44='Données projet'!$A$218,'Données projet'!$B$218,FE43+FD44-FM43)))</f>
        <v>166.00000000000006</v>
      </c>
      <c r="FF44" s="18">
        <f>FE44*VLOOKUP('Données projet'!$B$16,Paramètres!$A$1:$I$89,3,0)*VLOOKUP('Données projet'!$B$16,Paramètres!$A$1:$I$89,5,0)</f>
        <v>145.01760000000007</v>
      </c>
      <c r="FG44" s="14">
        <f t="shared" si="47"/>
        <v>37.444100932065268</v>
      </c>
      <c r="FH44" s="22">
        <f t="shared" si="22"/>
        <v>317.78746245668049</v>
      </c>
      <c r="FI44" s="62">
        <f t="shared" si="23"/>
        <v>611.12079579001374</v>
      </c>
      <c r="FJ44" s="62">
        <f ca="1">AVERAGE(OFFSET($FI$3,0,0,'Données projet'!$E$16+1,1))-AVERAGE(OFFSET($H$3,0,0,'Données projet'!$E$16+1,1))</f>
        <v>369.34989412920129</v>
      </c>
      <c r="FK44" s="62">
        <f t="shared" si="48"/>
        <v>371.26234252426553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5</v>
      </c>
      <c r="FZ44" s="13">
        <f>IF('Données projet'!$A$244&gt;35,FZ43+FY44-GH43,IF(A44&lt;'Données projet'!$A$244,$FW$205^A44,IF(A44='Données projet'!$A$244,'Données projet'!$B$244,FZ43+FY44-GH43)))</f>
        <v>246</v>
      </c>
      <c r="GA44" s="18">
        <f>FZ44*VLOOKUP('Données projet'!$B$17,Paramètres!$A$1:$I$89,3,0)*VLOOKUP('Données projet'!$B$17,Paramètres!$A$1:$I$89,5,0)</f>
        <v>222.58079999999998</v>
      </c>
      <c r="GB44" s="14">
        <f t="shared" si="49"/>
        <v>54.675428546153199</v>
      </c>
      <c r="GC44" s="22">
        <f t="shared" si="25"/>
        <v>482.88793138455003</v>
      </c>
      <c r="GD44" s="62">
        <f t="shared" si="26"/>
        <v>776.22126471788329</v>
      </c>
      <c r="GE44" s="62">
        <f ca="1">AVERAGE(OFFSET($GD$3,0,0,'Données projet'!$E$17+1,1))-AVERAGE(OFFSET($H$3,0,0,'Données projet'!$E$17+1,1))</f>
        <v>324.4489531703187</v>
      </c>
      <c r="GF44" s="62">
        <f t="shared" si="50"/>
        <v>446.55019360848706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projet'!$B$17,Paramètres!$A$1:$I$89,3,0)*0.475*44/12</f>
        <v>0</v>
      </c>
      <c r="GM44" s="23">
        <f>EXP(-LN(2)/25)*GM43+(1-EXP(-LN(2)/25))/(LN(2)/25)*Calculateur!GH44*Calculateur!GJ44*VLOOKUP('Données projet'!$B$17,Paramètres!$A$1:$I$89,3,0)*0.475*44/12</f>
        <v>0</v>
      </c>
      <c r="GN44" s="23">
        <f>EXP(-LN(2)/2)*GN43+(1-EXP(-LN(2)/2))/(LN(2)/2)*GH44*GK44*VLOOKUP('Données projet'!$B$17,Paramètres!$A$1:$I$89,3,0)*0.475*44/12</f>
        <v>0</v>
      </c>
      <c r="GO44" s="23">
        <f t="shared" si="27"/>
        <v>0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6.7948717948717956</v>
      </c>
      <c r="GU44" s="13">
        <f>IF('Données projet'!$A$270&gt;35,GU43+GT44-HC43,IF(A44&lt;'Données projet'!$A$270,$GR$205^A44,IF(A44='Données projet'!$A$270,'Données projet'!$B$270,GU43+GT44-HC43)))</f>
        <v>163.20512820512823</v>
      </c>
      <c r="GV44" s="18">
        <f>GU44*VLOOKUP('Données projet'!$B$18,Paramètres!$A$1:$I$89,3,0)*VLOOKUP('Données projet'!$B$18,Paramètres!$A$1:$I$89,5,0)</f>
        <v>109.47800000000001</v>
      </c>
      <c r="GW44" s="14">
        <f t="shared" si="51"/>
        <v>29.207963273678622</v>
      </c>
      <c r="GX44" s="22">
        <f t="shared" si="28"/>
        <v>241.5447193683236</v>
      </c>
      <c r="GY44" s="62">
        <f t="shared" si="29"/>
        <v>534.87805270165688</v>
      </c>
      <c r="GZ44" s="62">
        <f ca="1">AVERAGE(OFFSET($GY$3,0,0,'Données projet'!$E$18+1,1))-AVERAGE(OFFSET($H$3,0,0,'Données projet'!$E$18+1,1))</f>
        <v>312.06797204903796</v>
      </c>
      <c r="HA44" s="62">
        <f t="shared" si="52"/>
        <v>258.20189001775151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>
        <f>EXP(-LN(2)/35)*HG43+(1-EXP(-LN(2)/35))/(LN(2)/35)*HC44*HD44*VLOOKUP('Données projet'!$B$18,Paramètres!$A$1:$I$89,3,0)*0.475*44/12</f>
        <v>0</v>
      </c>
      <c r="HH44" s="23">
        <f>EXP(-LN(2)/25)*HH43+(1-EXP(-LN(2)/25))/(LN(2)/25)*Calculateur!HC44*Calculateur!HE44*VLOOKUP('Données projet'!$B$18,Paramètres!$A$1:$I$89,3,0)*0.475*44/12</f>
        <v>0</v>
      </c>
      <c r="HI44" s="23">
        <f>EXP(-LN(2)/2)*HI43+(1-EXP(-LN(2)/2))/(LN(2)/2)*HC44*HF44*VLOOKUP('Données projet'!$B$18,Paramètres!$A$1:$I$89,3,0)*0.475*44/12</f>
        <v>0</v>
      </c>
      <c r="HJ44" s="24">
        <f t="shared" si="30"/>
        <v>0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11.4</v>
      </c>
      <c r="N45" s="14">
        <f>IF('Données projet'!$A$36&gt;35,N44+M45-V44,IF(A45&lt;'Données projet'!$A$36,$K$205^A45,IF(A45='Données projet'!$A$36,'Données projet'!$B$36,N44+M45-V44)))</f>
        <v>169.79999999999998</v>
      </c>
      <c r="O45" s="14">
        <f>N45*VLOOKUP('Données projet'!$B$9,Paramètres!$A$1:$I$89,3,0)*VLOOKUP('Données projet'!$B$9,Paramètres!$A$1:$I$89,5,0)</f>
        <v>153.63503999999998</v>
      </c>
      <c r="P45" s="14">
        <f t="shared" si="33"/>
        <v>39.403506785222667</v>
      </c>
      <c r="Q45" s="22">
        <f t="shared" si="53"/>
        <v>336.20880231759611</v>
      </c>
      <c r="R45" s="62">
        <f t="shared" si="0"/>
        <v>629.54213565092937</v>
      </c>
      <c r="S45" s="62">
        <f ca="1">AVERAGE(OFFSET($R$3,0,0,'Données projet'!$E$9+1,1))-AVERAGE(OFFSET($H$3,0,0,'Données projet'!$E$9+1,1))</f>
        <v>512.84819850818667</v>
      </c>
      <c r="T45" s="62">
        <f t="shared" si="34"/>
        <v>332.61387922152159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9.8199999999999932</v>
      </c>
      <c r="AI45" s="14">
        <f>IF('Données projet'!$A$62&gt;35,AI44+AH45-AQ44,IF(A45&lt;'Données projet'!$A$62,$AF$205^A45,IF(A45='Données projet'!$A$62,'Données projet'!$B$62,AI44+AH45-AQ44)))</f>
        <v>212.7399999999999</v>
      </c>
      <c r="AJ45" s="14">
        <f>AI45*VLOOKUP('Données projet'!$B$10,Paramètres!$A$1:$I$89,3,0)*VLOOKUP('Données projet'!$B$10,Paramètres!$A$1:$I$89,5,0)</f>
        <v>155.98096799999993</v>
      </c>
      <c r="AK45" s="14">
        <f t="shared" si="35"/>
        <v>39.934673726794031</v>
      </c>
      <c r="AL45" s="22">
        <f t="shared" si="4"/>
        <v>341.21974267416618</v>
      </c>
      <c r="AM45" s="62">
        <f t="shared" si="5"/>
        <v>634.5530760074995</v>
      </c>
      <c r="AN45" s="62">
        <f ca="1">AVERAGE(OFFSET($AM$3,0,0,'Données projet'!$E$10+1,1))-AVERAGE(OFFSET($H$3,0,0,'Données projet'!$E$10+1,1))</f>
        <v>344.45199703750711</v>
      </c>
      <c r="AO45" s="62">
        <f t="shared" si="36"/>
        <v>376.41441893222185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11.4</v>
      </c>
      <c r="BD45" s="13">
        <f>IF('Données projet'!$A$88&gt;35,BD44+BC45-BL44,IF(A45&lt;'Données projet'!$A$88,$BA$205^A45,IF(A45='Données projet'!$A$88,'Données projet'!$B$88,BD44+BC45-BL44)))</f>
        <v>169.79999999999998</v>
      </c>
      <c r="BE45" s="14">
        <f>BD45*VLOOKUP('Données projet'!$B$11,Paramètres!$A$1:$I$89,3,0)*VLOOKUP('Données projet'!$B$11,Paramètres!$A$1:$I$89,5,0)</f>
        <v>172.1772</v>
      </c>
      <c r="BF45" s="14">
        <f t="shared" si="37"/>
        <v>43.577282221917017</v>
      </c>
      <c r="BG45" s="22">
        <f t="shared" si="7"/>
        <v>375.77238986983883</v>
      </c>
      <c r="BH45" s="62">
        <f t="shared" si="8"/>
        <v>669.10572320317215</v>
      </c>
      <c r="BI45" s="62">
        <f ca="1">AVERAGE(OFFSET($BH$3,0,0,'Données projet'!$E$11+1,1))-AVERAGE(OFFSET($H$3,0,0,'Données projet'!$E$11+1,1))</f>
        <v>569.39473185784823</v>
      </c>
      <c r="BJ45" s="62">
        <f t="shared" si="38"/>
        <v>367.42881145517066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10.8</v>
      </c>
      <c r="BY45" s="13">
        <f>IF('Données projet'!$A$114&gt;35,BY44+BX45-CG44,IF(A45&lt;'Données projet'!$A$114,$BV$205^A45,IF(A45='Données projet'!$A$114,'Données projet'!$B$114,BY44+BX45-CG44)))</f>
        <v>157.6</v>
      </c>
      <c r="BZ45" s="14">
        <f>BY45*VLOOKUP('Données projet'!$B$12,Paramètres!$A$1:$I$89,3,0)*VLOOKUP('Données projet'!$B$12,Paramètres!$A$1:$I$89,5,0)</f>
        <v>135.22080000000003</v>
      </c>
      <c r="CA45" s="14">
        <f t="shared" si="39"/>
        <v>35.199954520451826</v>
      </c>
      <c r="CB45" s="22">
        <f t="shared" si="10"/>
        <v>296.81614745645362</v>
      </c>
      <c r="CC45" s="62">
        <f t="shared" si="11"/>
        <v>590.14948078978694</v>
      </c>
      <c r="CD45" s="62">
        <f ca="1">AVERAGE(OFFSET($CC$3,0,0,'Données projet'!$E$12+1,1))-AVERAGE(OFFSET($H$3,0,0,'Données projet'!$E$12+1,1))</f>
        <v>554.06253050955502</v>
      </c>
      <c r="CE45" s="62">
        <f t="shared" si="40"/>
        <v>269.71949336355789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11.142857142857142</v>
      </c>
      <c r="CT45" s="13">
        <f>IF('Données projet'!$A$140&gt;35,CT44+CS45-DB44,IF(A45&lt;'Données projet'!$A$140,$CQ$205^A45,IF(A45='Données projet'!$A$140,'Données projet'!$B$140,CT44+CS45-DB44)))</f>
        <v>207.71428571428567</v>
      </c>
      <c r="CU45" s="18">
        <f>CT45*VLOOKUP('Données projet'!$B$13,Paramètres!$A$1:$I$89,3,0)*VLOOKUP('Données projet'!$B$13,Paramètres!$A$1:$I$89,5,0)</f>
        <v>162.01714285714283</v>
      </c>
      <c r="CV45" s="14">
        <f t="shared" si="41"/>
        <v>41.297155335096676</v>
      </c>
      <c r="CW45" s="22">
        <f t="shared" si="13"/>
        <v>354.10573601815048</v>
      </c>
      <c r="CX45" s="62">
        <f t="shared" si="14"/>
        <v>647.43906935148379</v>
      </c>
      <c r="CY45" s="62">
        <f ca="1">AVERAGE(OFFSET($CX$3,0,0,'Données projet'!$E$13+1,1))-AVERAGE(OFFSET($H$3,0,0,'Données projet'!$E$13+1,1))</f>
        <v>292.21364130214391</v>
      </c>
      <c r="CZ45" s="62">
        <f t="shared" si="42"/>
        <v>283.48738729114024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6.6666666666666625</v>
      </c>
      <c r="DO45" s="13">
        <f>IF('Données projet'!$A$166&gt;35,DO44+DN45-DW44,IF(A45&lt;'Données projet'!$A$166,$DL$205^A45,IF(A45='Données projet'!$A$166,'Données projet'!$B$166,DO44+DN45-DW44)))</f>
        <v>166.53846153846158</v>
      </c>
      <c r="DP45" s="18">
        <f>DO45*VLOOKUP('Données projet'!$B$14,Paramètres!$A$1:$I$89,3,0)*VLOOKUP('Données projet'!$B$14,Paramètres!$A$1:$I$89,5,0)</f>
        <v>158.47800000000004</v>
      </c>
      <c r="DQ45" s="14">
        <f t="shared" si="43"/>
        <v>40.499033326567876</v>
      </c>
      <c r="DR45" s="22">
        <f t="shared" si="16"/>
        <v>346.55166637710573</v>
      </c>
      <c r="DS45" s="62">
        <f t="shared" si="17"/>
        <v>639.88499971043905</v>
      </c>
      <c r="DT45" s="62">
        <f ca="1">AVERAGE(OFFSET($DS$3,0,0,'Données projet'!$E$14+1,1))-AVERAGE(OFFSET($H$3,0,0,'Données projet'!$E$14+1,1))</f>
        <v>427.47603885390191</v>
      </c>
      <c r="DU45" s="62">
        <f t="shared" si="44"/>
        <v>350.88664394632116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8.4</v>
      </c>
      <c r="EJ45" s="13">
        <f>IF('Données projet'!$A$192&gt;35,EJ44+EI45-ER44,IF(A45&lt;'Données projet'!$A$192,$EG$205^A45,IF(A45='Données projet'!$A$192,'Données projet'!$B$192,EJ44+EI45-ER44)))</f>
        <v>132.80000000000004</v>
      </c>
      <c r="EK45" s="18">
        <f>EJ45*VLOOKUP('Données projet'!$B$15,Paramètres!$A$1:$I$89,3,0)*VLOOKUP('Données projet'!$B$15,Paramètres!$A$1:$I$89,5,0)</f>
        <v>128.44416000000004</v>
      </c>
      <c r="EL45" s="14">
        <f t="shared" si="45"/>
        <v>33.636598855068954</v>
      </c>
      <c r="EM45" s="22">
        <f t="shared" si="19"/>
        <v>282.29065500591184</v>
      </c>
      <c r="EN45" s="62">
        <f t="shared" si="20"/>
        <v>575.62398833924522</v>
      </c>
      <c r="EO45" s="62">
        <f ca="1">AVERAGE(OFFSET($EN$3,0,0,'Données projet'!$E$15+1,1))-AVERAGE(OFFSET($H$3,0,0,'Données projet'!$E$15+1,1))</f>
        <v>455.50822833641354</v>
      </c>
      <c r="EP45" s="62">
        <f t="shared" si="46"/>
        <v>261.14722581688039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8</v>
      </c>
      <c r="FE45" s="13">
        <f>IF('Données projet'!$A$218&gt;35,FE44+FD45-FM44,IF(A45&lt;'Données projet'!$A$218,$FB$205^A45,IF(A45='Données projet'!$A$218,'Données projet'!$B$218,FE44+FD45-FM44)))</f>
        <v>174.00000000000006</v>
      </c>
      <c r="FF45" s="18">
        <f>FE45*VLOOKUP('Données projet'!$B$16,Paramètres!$A$1:$I$89,3,0)*VLOOKUP('Données projet'!$B$16,Paramètres!$A$1:$I$89,5,0)</f>
        <v>152.00640000000007</v>
      </c>
      <c r="FG45" s="14">
        <f t="shared" si="47"/>
        <v>39.034194016561486</v>
      </c>
      <c r="FH45" s="22">
        <f t="shared" si="22"/>
        <v>332.72903457884468</v>
      </c>
      <c r="FI45" s="62">
        <f t="shared" si="23"/>
        <v>626.06236791217793</v>
      </c>
      <c r="FJ45" s="62">
        <f ca="1">AVERAGE(OFFSET($FI$3,0,0,'Données projet'!$E$16+1,1))-AVERAGE(OFFSET($H$3,0,0,'Données projet'!$E$16+1,1))</f>
        <v>369.34989412920129</v>
      </c>
      <c r="FK45" s="62">
        <f t="shared" si="48"/>
        <v>371.26234252426553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0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5</v>
      </c>
      <c r="FZ45" s="13">
        <f>IF('Données projet'!$A$244&gt;35,FZ44+FY45-GH44,IF(A45&lt;'Données projet'!$A$244,$FW$205^A45,IF(A45='Données projet'!$A$244,'Données projet'!$B$244,FZ44+FY45-GH44)))</f>
        <v>251</v>
      </c>
      <c r="GA45" s="18">
        <f>FZ45*VLOOKUP('Données projet'!$B$17,Paramètres!$A$1:$I$89,3,0)*VLOOKUP('Données projet'!$B$17,Paramètres!$A$1:$I$89,5,0)</f>
        <v>227.10479999999998</v>
      </c>
      <c r="GB45" s="14">
        <f t="shared" si="49"/>
        <v>55.65621081652565</v>
      </c>
      <c r="GC45" s="22">
        <f t="shared" si="25"/>
        <v>492.47542717211553</v>
      </c>
      <c r="GD45" s="62">
        <f t="shared" si="26"/>
        <v>785.80876050544884</v>
      </c>
      <c r="GE45" s="62">
        <f ca="1">AVERAGE(OFFSET($GD$3,0,0,'Données projet'!$E$17+1,1))-AVERAGE(OFFSET($H$3,0,0,'Données projet'!$E$17+1,1))</f>
        <v>324.4489531703187</v>
      </c>
      <c r="GF45" s="62">
        <f t="shared" si="50"/>
        <v>446.55019360848706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projet'!$B$17,Paramètres!$A$1:$I$89,3,0)*0.475*44/12</f>
        <v>0</v>
      </c>
      <c r="GM45" s="23">
        <f>EXP(-LN(2)/25)*GM44+(1-EXP(-LN(2)/25))/(LN(2)/25)*Calculateur!GH45*Calculateur!GJ45*VLOOKUP('Données projet'!$B$17,Paramètres!$A$1:$I$89,3,0)*0.475*44/12</f>
        <v>0</v>
      </c>
      <c r="GN45" s="23">
        <f>EXP(-LN(2)/2)*GN44+(1-EXP(-LN(2)/2))/(LN(2)/2)*GH45*GK45*VLOOKUP('Données projet'!$B$17,Paramètres!$A$1:$I$89,3,0)*0.475*44/12</f>
        <v>0</v>
      </c>
      <c r="GO45" s="23">
        <f t="shared" si="27"/>
        <v>0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6.7948717948717956</v>
      </c>
      <c r="GU45" s="13">
        <f>IF('Données projet'!$A$270&gt;35,GU44+GT45-HC44,IF(A45&lt;'Données projet'!$A$270,$GR$205^A45,IF(A45='Données projet'!$A$270,'Données projet'!$B$270,GU44+GT45-HC44)))</f>
        <v>170.00000000000003</v>
      </c>
      <c r="GV45" s="18">
        <f>GU45*VLOOKUP('Données projet'!$B$18,Paramètres!$A$1:$I$89,3,0)*VLOOKUP('Données projet'!$B$18,Paramètres!$A$1:$I$89,5,0)</f>
        <v>114.03600000000002</v>
      </c>
      <c r="GW45" s="14">
        <f t="shared" si="51"/>
        <v>30.279894261296121</v>
      </c>
      <c r="GX45" s="22">
        <f t="shared" si="28"/>
        <v>251.35018250509077</v>
      </c>
      <c r="GY45" s="62">
        <f t="shared" si="29"/>
        <v>544.68351583842411</v>
      </c>
      <c r="GZ45" s="62">
        <f ca="1">AVERAGE(OFFSET($GY$3,0,0,'Données projet'!$E$18+1,1))-AVERAGE(OFFSET($H$3,0,0,'Données projet'!$E$18+1,1))</f>
        <v>312.06797204903796</v>
      </c>
      <c r="HA45" s="62">
        <f t="shared" si="52"/>
        <v>258.20189001775151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>
        <f>EXP(-LN(2)/35)*HG44+(1-EXP(-LN(2)/35))/(LN(2)/35)*HC45*HD45*VLOOKUP('Données projet'!$B$18,Paramètres!$A$1:$I$89,3,0)*0.475*44/12</f>
        <v>0</v>
      </c>
      <c r="HH45" s="23">
        <f>EXP(-LN(2)/25)*HH44+(1-EXP(-LN(2)/25))/(LN(2)/25)*Calculateur!HC45*Calculateur!HE45*VLOOKUP('Données projet'!$B$18,Paramètres!$A$1:$I$89,3,0)*0.475*44/12</f>
        <v>0</v>
      </c>
      <c r="HI45" s="23">
        <f>EXP(-LN(2)/2)*HI44+(1-EXP(-LN(2)/2))/(LN(2)/2)*HC45*HF45*VLOOKUP('Données projet'!$B$18,Paramètres!$A$1:$I$89,3,0)*0.475*44/12</f>
        <v>0</v>
      </c>
      <c r="HJ45" s="24">
        <f t="shared" si="30"/>
        <v>0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11.4</v>
      </c>
      <c r="N46" s="14">
        <f>IF('Données projet'!$A$36&gt;35,N45+M46-V45,IF(A46&lt;'Données projet'!$A$36,$K$205^A46,IF(A46='Données projet'!$A$36,'Données projet'!$B$36,N45+M46-V45)))</f>
        <v>181.2</v>
      </c>
      <c r="O46" s="14">
        <f>N46*VLOOKUP('Données projet'!$B$9,Paramètres!$A$1:$I$89,3,0)*VLOOKUP('Données projet'!$B$9,Paramètres!$A$1:$I$89,5,0)</f>
        <v>163.94976</v>
      </c>
      <c r="P46" s="14">
        <f t="shared" si="33"/>
        <v>41.732126457893308</v>
      </c>
      <c r="Q46" s="22">
        <f t="shared" si="53"/>
        <v>358.22928558083089</v>
      </c>
      <c r="R46" s="62">
        <f t="shared" si="0"/>
        <v>651.5626189141642</v>
      </c>
      <c r="S46" s="62">
        <f ca="1">AVERAGE(OFFSET($R$3,0,0,'Données projet'!$E$9+1,1))-AVERAGE(OFFSET($H$3,0,0,'Données projet'!$E$9+1,1))</f>
        <v>512.84819850818667</v>
      </c>
      <c r="T46" s="62">
        <f t="shared" si="34"/>
        <v>332.61387922152159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9.8199999999999932</v>
      </c>
      <c r="AI46" s="14">
        <f>IF('Données projet'!$A$62&gt;35,AI45+AH46-AQ45,IF(A46&lt;'Données projet'!$A$62,$AF$205^A46,IF(A46='Données projet'!$A$62,'Données projet'!$B$62,AI45+AH46-AQ45)))</f>
        <v>222.55999999999989</v>
      </c>
      <c r="AJ46" s="14">
        <f>AI46*VLOOKUP('Données projet'!$B$10,Paramètres!$A$1:$I$89,3,0)*VLOOKUP('Données projet'!$B$10,Paramètres!$A$1:$I$89,5,0)</f>
        <v>163.18099199999992</v>
      </c>
      <c r="AK46" s="14">
        <f t="shared" si="35"/>
        <v>41.559172921966017</v>
      </c>
      <c r="AL46" s="22">
        <f t="shared" si="4"/>
        <v>356.58912057242401</v>
      </c>
      <c r="AM46" s="62">
        <f t="shared" si="5"/>
        <v>649.92245390575727</v>
      </c>
      <c r="AN46" s="62">
        <f ca="1">AVERAGE(OFFSET($AM$3,0,0,'Données projet'!$E$10+1,1))-AVERAGE(OFFSET($H$3,0,0,'Données projet'!$E$10+1,1))</f>
        <v>344.45199703750711</v>
      </c>
      <c r="AO46" s="62">
        <f t="shared" si="36"/>
        <v>376.41441893222185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11.4</v>
      </c>
      <c r="BD46" s="13">
        <f>IF('Données projet'!$A$88&gt;35,BD45+BC46-BL45,IF(A46&lt;'Données projet'!$A$88,$BA$205^A46,IF(A46='Données projet'!$A$88,'Données projet'!$B$88,BD45+BC46-BL45)))</f>
        <v>181.2</v>
      </c>
      <c r="BE46" s="14">
        <f>BD46*VLOOKUP('Données projet'!$B$11,Paramètres!$A$1:$I$89,3,0)*VLOOKUP('Données projet'!$B$11,Paramètres!$A$1:$I$89,5,0)</f>
        <v>183.73680000000002</v>
      </c>
      <c r="BF46" s="14">
        <f t="shared" si="37"/>
        <v>46.152558509293854</v>
      </c>
      <c r="BG46" s="22">
        <f t="shared" si="7"/>
        <v>400.3906327370201</v>
      </c>
      <c r="BH46" s="62">
        <f t="shared" si="8"/>
        <v>693.72396607035341</v>
      </c>
      <c r="BI46" s="62">
        <f ca="1">AVERAGE(OFFSET($BH$3,0,0,'Données projet'!$E$11+1,1))-AVERAGE(OFFSET($H$3,0,0,'Données projet'!$E$11+1,1))</f>
        <v>569.39473185784823</v>
      </c>
      <c r="BJ46" s="62">
        <f t="shared" si="38"/>
        <v>367.42881145517066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10.8</v>
      </c>
      <c r="BY46" s="13">
        <f>IF('Données projet'!$A$114&gt;35,BY45+BX46-CG45,IF(A46&lt;'Données projet'!$A$114,$BV$205^A46,IF(A46='Données projet'!$A$114,'Données projet'!$B$114,BY45+BX46-CG45)))</f>
        <v>168.4</v>
      </c>
      <c r="BZ46" s="14">
        <f>BY46*VLOOKUP('Données projet'!$B$12,Paramètres!$A$1:$I$89,3,0)*VLOOKUP('Données projet'!$B$12,Paramètres!$A$1:$I$89,5,0)</f>
        <v>144.4872</v>
      </c>
      <c r="CA46" s="14">
        <f t="shared" si="39"/>
        <v>37.323064955372196</v>
      </c>
      <c r="CB46" s="22">
        <f t="shared" si="10"/>
        <v>316.65287813060655</v>
      </c>
      <c r="CC46" s="62">
        <f t="shared" si="11"/>
        <v>609.98621146393987</v>
      </c>
      <c r="CD46" s="62">
        <f ca="1">AVERAGE(OFFSET($CC$3,0,0,'Données projet'!$E$12+1,1))-AVERAGE(OFFSET($H$3,0,0,'Données projet'!$E$12+1,1))</f>
        <v>554.06253050955502</v>
      </c>
      <c r="CE46" s="62">
        <f t="shared" si="40"/>
        <v>269.71949336355789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11.142857142857142</v>
      </c>
      <c r="CT46" s="13">
        <f>IF('Données projet'!$A$140&gt;35,CT45+CS46-DB45,IF(A46&lt;'Données projet'!$A$140,$CQ$205^A46,IF(A46='Données projet'!$A$140,'Données projet'!$B$140,CT45+CS46-DB45)))</f>
        <v>218.8571428571428</v>
      </c>
      <c r="CU46" s="18">
        <f>CT46*VLOOKUP('Données projet'!$B$13,Paramètres!$A$1:$I$89,3,0)*VLOOKUP('Données projet'!$B$13,Paramètres!$A$1:$I$89,5,0)</f>
        <v>170.70857142857139</v>
      </c>
      <c r="CV46" s="14">
        <f t="shared" si="41"/>
        <v>43.248681576985412</v>
      </c>
      <c r="CW46" s="22">
        <f t="shared" si="13"/>
        <v>372.64221565134471</v>
      </c>
      <c r="CX46" s="62">
        <f t="shared" si="14"/>
        <v>665.97554898467797</v>
      </c>
      <c r="CY46" s="62">
        <f ca="1">AVERAGE(OFFSET($CX$3,0,0,'Données projet'!$E$13+1,1))-AVERAGE(OFFSET($H$3,0,0,'Données projet'!$E$13+1,1))</f>
        <v>292.21364130214391</v>
      </c>
      <c r="CZ46" s="62">
        <f t="shared" si="42"/>
        <v>283.48738729114024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6.6666666666666625</v>
      </c>
      <c r="DO46" s="13">
        <f>IF('Données projet'!$A$166&gt;35,DO45+DN46-DW45,IF(A46&lt;'Données projet'!$A$166,$DL$205^A46,IF(A46='Données projet'!$A$166,'Données projet'!$B$166,DO45+DN46-DW45)))</f>
        <v>173.20512820512823</v>
      </c>
      <c r="DP46" s="18">
        <f>DO46*VLOOKUP('Données projet'!$B$14,Paramètres!$A$1:$I$89,3,0)*VLOOKUP('Données projet'!$B$14,Paramètres!$A$1:$I$89,5,0)</f>
        <v>164.82200000000003</v>
      </c>
      <c r="DQ46" s="14">
        <f t="shared" si="43"/>
        <v>41.928244346171937</v>
      </c>
      <c r="DR46" s="22">
        <f t="shared" si="16"/>
        <v>360.09000890291617</v>
      </c>
      <c r="DS46" s="62">
        <f t="shared" si="17"/>
        <v>653.42334223624948</v>
      </c>
      <c r="DT46" s="62">
        <f ca="1">AVERAGE(OFFSET($DS$3,0,0,'Données projet'!$E$14+1,1))-AVERAGE(OFFSET($H$3,0,0,'Données projet'!$E$14+1,1))</f>
        <v>427.47603885390191</v>
      </c>
      <c r="DU46" s="62">
        <f t="shared" si="44"/>
        <v>350.88664394632116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8.4</v>
      </c>
      <c r="EJ46" s="13">
        <f>IF('Données projet'!$A$192&gt;35,EJ45+EI46-ER45,IF(A46&lt;'Données projet'!$A$192,$EG$205^A46,IF(A46='Données projet'!$A$192,'Données projet'!$B$192,EJ45+EI46-ER45)))</f>
        <v>141.20000000000005</v>
      </c>
      <c r="EK46" s="18">
        <f>EJ46*VLOOKUP('Données projet'!$B$15,Paramètres!$A$1:$I$89,3,0)*VLOOKUP('Données projet'!$B$15,Paramètres!$A$1:$I$89,5,0)</f>
        <v>136.56864000000004</v>
      </c>
      <c r="EL46" s="14">
        <f t="shared" si="45"/>
        <v>35.509797430964703</v>
      </c>
      <c r="EM46" s="22">
        <f t="shared" si="19"/>
        <v>299.70327852559694</v>
      </c>
      <c r="EN46" s="62">
        <f t="shared" si="20"/>
        <v>593.0366118589302</v>
      </c>
      <c r="EO46" s="62">
        <f ca="1">AVERAGE(OFFSET($EN$3,0,0,'Données projet'!$E$15+1,1))-AVERAGE(OFFSET($H$3,0,0,'Données projet'!$E$15+1,1))</f>
        <v>455.50822833641354</v>
      </c>
      <c r="EP46" s="62">
        <f t="shared" si="46"/>
        <v>261.14722581688039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8</v>
      </c>
      <c r="FE46" s="13">
        <f>IF('Données projet'!$A$218&gt;35,FE45+FD46-FM45,IF(A46&lt;'Données projet'!$A$218,$FB$205^A46,IF(A46='Données projet'!$A$218,'Données projet'!$B$218,FE45+FD46-FM45)))</f>
        <v>182.00000000000006</v>
      </c>
      <c r="FF46" s="18">
        <f>FE46*VLOOKUP('Données projet'!$B$16,Paramètres!$A$1:$I$89,3,0)*VLOOKUP('Données projet'!$B$16,Paramètres!$A$1:$I$89,5,0)</f>
        <v>158.99520000000007</v>
      </c>
      <c r="FG46" s="14">
        <f t="shared" si="47"/>
        <v>40.615796933386044</v>
      </c>
      <c r="FH46" s="22">
        <f t="shared" si="22"/>
        <v>347.65581965898082</v>
      </c>
      <c r="FI46" s="62">
        <f t="shared" si="23"/>
        <v>640.98915299231408</v>
      </c>
      <c r="FJ46" s="62">
        <f ca="1">AVERAGE(OFFSET($FI$3,0,0,'Données projet'!$E$16+1,1))-AVERAGE(OFFSET($H$3,0,0,'Données projet'!$E$16+1,1))</f>
        <v>369.34989412920129</v>
      </c>
      <c r="FK46" s="62">
        <f t="shared" si="48"/>
        <v>371.26234252426553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0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5</v>
      </c>
      <c r="FZ46" s="13">
        <f>IF('Données projet'!$A$244&gt;35,FZ45+FY46-GH45,IF(A46&lt;'Données projet'!$A$244,$FW$205^A46,IF(A46='Données projet'!$A$244,'Données projet'!$B$244,FZ45+FY46-GH45)))</f>
        <v>256</v>
      </c>
      <c r="GA46" s="18">
        <f>FZ46*VLOOKUP('Données projet'!$B$17,Paramètres!$A$1:$I$89,3,0)*VLOOKUP('Données projet'!$B$17,Paramètres!$A$1:$I$89,5,0)</f>
        <v>231.62879999999998</v>
      </c>
      <c r="GB46" s="14">
        <f t="shared" si="49"/>
        <v>56.63472139815822</v>
      </c>
      <c r="GC46" s="22">
        <f t="shared" si="25"/>
        <v>502.05896643512551</v>
      </c>
      <c r="GD46" s="62">
        <f t="shared" si="26"/>
        <v>795.39229976845877</v>
      </c>
      <c r="GE46" s="62">
        <f ca="1">AVERAGE(OFFSET($GD$3,0,0,'Données projet'!$E$17+1,1))-AVERAGE(OFFSET($H$3,0,0,'Données projet'!$E$17+1,1))</f>
        <v>324.4489531703187</v>
      </c>
      <c r="GF46" s="62">
        <f t="shared" si="50"/>
        <v>446.55019360848706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projet'!$B$17,Paramètres!$A$1:$I$89,3,0)*0.475*44/12</f>
        <v>0</v>
      </c>
      <c r="GM46" s="23">
        <f>EXP(-LN(2)/25)*GM45+(1-EXP(-LN(2)/25))/(LN(2)/25)*Calculateur!GH46*Calculateur!GJ46*VLOOKUP('Données projet'!$B$17,Paramètres!$A$1:$I$89,3,0)*0.475*44/12</f>
        <v>0</v>
      </c>
      <c r="GN46" s="23">
        <f>EXP(-LN(2)/2)*GN45+(1-EXP(-LN(2)/2))/(LN(2)/2)*GH46*GK46*VLOOKUP('Données projet'!$B$17,Paramètres!$A$1:$I$89,3,0)*0.475*44/12</f>
        <v>0</v>
      </c>
      <c r="GO46" s="23">
        <f t="shared" si="27"/>
        <v>0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6.7948717948717956</v>
      </c>
      <c r="GU46" s="13">
        <f>IF('Données projet'!$A$270&gt;35,GU45+GT46-HC45,IF(A46&lt;'Données projet'!$A$270,$GR$205^A46,IF(A46='Données projet'!$A$270,'Données projet'!$B$270,GU45+GT46-HC45)))</f>
        <v>176.79487179487182</v>
      </c>
      <c r="GV46" s="18">
        <f>GU46*VLOOKUP('Données projet'!$B$18,Paramètres!$A$1:$I$89,3,0)*VLOOKUP('Données projet'!$B$18,Paramètres!$A$1:$I$89,5,0)</f>
        <v>118.59400000000002</v>
      </c>
      <c r="GW46" s="14">
        <f t="shared" si="51"/>
        <v>31.346848285873225</v>
      </c>
      <c r="GX46" s="22">
        <f t="shared" si="28"/>
        <v>261.14697743122923</v>
      </c>
      <c r="GY46" s="62">
        <f t="shared" si="29"/>
        <v>554.48031076456255</v>
      </c>
      <c r="GZ46" s="62">
        <f ca="1">AVERAGE(OFFSET($GY$3,0,0,'Données projet'!$E$18+1,1))-AVERAGE(OFFSET($H$3,0,0,'Données projet'!$E$18+1,1))</f>
        <v>312.06797204903796</v>
      </c>
      <c r="HA46" s="62">
        <f t="shared" si="52"/>
        <v>258.20189001775151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>
        <f>EXP(-LN(2)/35)*HG45+(1-EXP(-LN(2)/35))/(LN(2)/35)*HC46*HD46*VLOOKUP('Données projet'!$B$18,Paramètres!$A$1:$I$89,3,0)*0.475*44/12</f>
        <v>0</v>
      </c>
      <c r="HH46" s="23">
        <f>EXP(-LN(2)/25)*HH45+(1-EXP(-LN(2)/25))/(LN(2)/25)*Calculateur!HC46*Calculateur!HE46*VLOOKUP('Données projet'!$B$18,Paramètres!$A$1:$I$89,3,0)*0.475*44/12</f>
        <v>0</v>
      </c>
      <c r="HI46" s="23">
        <f>EXP(-LN(2)/2)*HI45+(1-EXP(-LN(2)/2))/(LN(2)/2)*HC46*HF46*VLOOKUP('Données projet'!$B$18,Paramètres!$A$1:$I$89,3,0)*0.475*44/12</f>
        <v>0</v>
      </c>
      <c r="HJ46" s="24">
        <f t="shared" si="30"/>
        <v>0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11.4</v>
      </c>
      <c r="N47" s="14">
        <f>IF('Données projet'!$A$36&gt;35,N46+M47-V46,IF(A47&lt;'Données projet'!$A$36,$K$205^A47,IF(A47='Données projet'!$A$36,'Données projet'!$B$36,N46+M47-V46)))</f>
        <v>192.6</v>
      </c>
      <c r="O47" s="14">
        <f>N47*VLOOKUP('Données projet'!$B$9,Paramètres!$A$1:$I$89,3,0)*VLOOKUP('Données projet'!$B$9,Paramètres!$A$1:$I$89,5,0)</f>
        <v>174.26447999999999</v>
      </c>
      <c r="P47" s="14">
        <f t="shared" si="33"/>
        <v>44.043743683739521</v>
      </c>
      <c r="Q47" s="22">
        <f t="shared" si="53"/>
        <v>380.22015624917964</v>
      </c>
      <c r="R47" s="62">
        <f t="shared" si="0"/>
        <v>673.55348958251295</v>
      </c>
      <c r="S47" s="62">
        <f ca="1">AVERAGE(OFFSET($R$3,0,0,'Données projet'!$E$9+1,1))-AVERAGE(OFFSET($H$3,0,0,'Données projet'!$E$9+1,1))</f>
        <v>512.84819850818667</v>
      </c>
      <c r="T47" s="62">
        <f t="shared" si="34"/>
        <v>332.61387922152159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9.8199999999999932</v>
      </c>
      <c r="AI47" s="14">
        <f>IF('Données projet'!$A$62&gt;35,AI46+AH47-AQ46,IF(A47&lt;'Données projet'!$A$62,$AF$205^A47,IF(A47='Données projet'!$A$62,'Données projet'!$B$62,AI46+AH47-AQ46)))</f>
        <v>232.37999999999988</v>
      </c>
      <c r="AJ47" s="14">
        <f>AI47*VLOOKUP('Données projet'!$B$10,Paramètres!$A$1:$I$89,3,0)*VLOOKUP('Données projet'!$B$10,Paramètres!$A$1:$I$89,5,0)</f>
        <v>170.3810159999999</v>
      </c>
      <c r="AK47" s="14">
        <f t="shared" si="35"/>
        <v>43.17534737258952</v>
      </c>
      <c r="AL47" s="22">
        <f t="shared" si="4"/>
        <v>371.94399954059327</v>
      </c>
      <c r="AM47" s="62">
        <f t="shared" si="5"/>
        <v>665.27733287392653</v>
      </c>
      <c r="AN47" s="62">
        <f ca="1">AVERAGE(OFFSET($AM$3,0,0,'Données projet'!$E$10+1,1))-AVERAGE(OFFSET($H$3,0,0,'Données projet'!$E$10+1,1))</f>
        <v>344.45199703750711</v>
      </c>
      <c r="AO47" s="62">
        <f t="shared" si="36"/>
        <v>376.41441893222185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11.4</v>
      </c>
      <c r="BD47" s="13">
        <f>IF('Données projet'!$A$88&gt;35,BD46+BC47-BL46,IF(A47&lt;'Données projet'!$A$88,$BA$205^A47,IF(A47='Données projet'!$A$88,'Données projet'!$B$88,BD46+BC47-BL46)))</f>
        <v>192.6</v>
      </c>
      <c r="BE47" s="14">
        <f>BD47*VLOOKUP('Données projet'!$B$11,Paramètres!$A$1:$I$89,3,0)*VLOOKUP('Données projet'!$B$11,Paramètres!$A$1:$I$89,5,0)</f>
        <v>195.29640000000001</v>
      </c>
      <c r="BF47" s="14">
        <f t="shared" si="37"/>
        <v>48.709031383366153</v>
      </c>
      <c r="BG47" s="22">
        <f t="shared" si="7"/>
        <v>424.97612632602937</v>
      </c>
      <c r="BH47" s="62">
        <f t="shared" si="8"/>
        <v>718.30945965936269</v>
      </c>
      <c r="BI47" s="62">
        <f ca="1">AVERAGE(OFFSET($BH$3,0,0,'Données projet'!$E$11+1,1))-AVERAGE(OFFSET($H$3,0,0,'Données projet'!$E$11+1,1))</f>
        <v>569.39473185784823</v>
      </c>
      <c r="BJ47" s="62">
        <f t="shared" si="38"/>
        <v>367.42881145517066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10.8</v>
      </c>
      <c r="BY47" s="13">
        <f>IF('Données projet'!$A$114&gt;35,BY46+BX47-CG46,IF(A47&lt;'Données projet'!$A$114,$BV$205^A47,IF(A47='Données projet'!$A$114,'Données projet'!$B$114,BY46+BX47-CG46)))</f>
        <v>179.20000000000002</v>
      </c>
      <c r="BZ47" s="14">
        <f>BY47*VLOOKUP('Données projet'!$B$12,Paramètres!$A$1:$I$89,3,0)*VLOOKUP('Données projet'!$B$12,Paramètres!$A$1:$I$89,5,0)</f>
        <v>153.75360000000003</v>
      </c>
      <c r="CA47" s="14">
        <f t="shared" si="39"/>
        <v>39.430373774012359</v>
      </c>
      <c r="CB47" s="22">
        <f t="shared" si="10"/>
        <v>336.46208765640489</v>
      </c>
      <c r="CC47" s="62">
        <f t="shared" si="11"/>
        <v>629.7954209897382</v>
      </c>
      <c r="CD47" s="62">
        <f ca="1">AVERAGE(OFFSET($CC$3,0,0,'Données projet'!$E$12+1,1))-AVERAGE(OFFSET($H$3,0,0,'Données projet'!$E$12+1,1))</f>
        <v>554.06253050955502</v>
      </c>
      <c r="CE47" s="62">
        <f t="shared" si="40"/>
        <v>269.71949336355789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>
        <f>VLOOKUP(A47,'Données projet'!$A$139:$I$159,2,0)</f>
        <v>230</v>
      </c>
      <c r="CR47" s="13">
        <f>VLOOKUP(A47,'Données projet'!$A$139:$I$159,9,0)</f>
        <v>11.142857142857142</v>
      </c>
      <c r="CS47" s="13">
        <f t="array" ref="CS47">INDEX(CR:CR,MIN(IF(ISNUMBER(CR47:CR243),ROW(CR47:CR243),"")))</f>
        <v>11.142857142857142</v>
      </c>
      <c r="CT47" s="13">
        <f>IF('Données projet'!$A$140&gt;35,CT46+CS47-DB46,IF(A47&lt;'Données projet'!$A$140,$CQ$205^A47,IF(A47='Données projet'!$A$140,'Données projet'!$B$140,CT46+CS47-DB46)))</f>
        <v>229.99999999999994</v>
      </c>
      <c r="CU47" s="18">
        <f>CT47*VLOOKUP('Données projet'!$B$13,Paramètres!$A$1:$I$89,3,0)*VLOOKUP('Données projet'!$B$13,Paramètres!$A$1:$I$89,5,0)</f>
        <v>179.39999999999995</v>
      </c>
      <c r="CV47" s="14">
        <f t="shared" si="41"/>
        <v>45.188671291872232</v>
      </c>
      <c r="CW47" s="22">
        <f t="shared" si="13"/>
        <v>391.15860250001066</v>
      </c>
      <c r="CX47" s="62">
        <f t="shared" si="14"/>
        <v>684.49193583334397</v>
      </c>
      <c r="CY47" s="62">
        <f ca="1">AVERAGE(OFFSET($CX$3,0,0,'Données projet'!$E$13+1,1))-AVERAGE(OFFSET($H$3,0,0,'Données projet'!$E$13+1,1))</f>
        <v>292.21364130214391</v>
      </c>
      <c r="CZ47" s="62">
        <f t="shared" si="42"/>
        <v>283.48738729114024</v>
      </c>
      <c r="DA47" s="16">
        <f>IF(ISNA(VLOOKUP(A47,'Données projet'!$A$139:$I$159,3,0)),0,VLOOKUP(A47,'Données projet'!$A$139:$I$159,3,0))</f>
        <v>5</v>
      </c>
      <c r="DB47" s="16">
        <f>IF(ISNA(VLOOKUP(A47,'Données projet'!$A$139:$I$159,4,0)),0,VLOOKUP(A47,'Données projet'!$A$139:$I$159,4,0))</f>
        <v>43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6.6666666666666625</v>
      </c>
      <c r="DO47" s="13">
        <f>IF('Données projet'!$A$166&gt;35,DO46+DN47-DW46,IF(A47&lt;'Données projet'!$A$166,$DL$205^A47,IF(A47='Données projet'!$A$166,'Données projet'!$B$166,DO46+DN47-DW46)))</f>
        <v>179.87179487179489</v>
      </c>
      <c r="DP47" s="18">
        <f>DO47*VLOOKUP('Données projet'!$B$14,Paramètres!$A$1:$I$89,3,0)*VLOOKUP('Données projet'!$B$14,Paramètres!$A$1:$I$89,5,0)</f>
        <v>171.16600000000003</v>
      </c>
      <c r="DQ47" s="14">
        <f t="shared" si="43"/>
        <v>43.351064817812841</v>
      </c>
      <c r="DR47" s="22">
        <f t="shared" si="16"/>
        <v>373.61722122435737</v>
      </c>
      <c r="DS47" s="62">
        <f t="shared" si="17"/>
        <v>666.95055455769068</v>
      </c>
      <c r="DT47" s="62">
        <f ca="1">AVERAGE(OFFSET($DS$3,0,0,'Données projet'!$E$14+1,1))-AVERAGE(OFFSET($H$3,0,0,'Données projet'!$E$14+1,1))</f>
        <v>427.47603885390191</v>
      </c>
      <c r="DU47" s="62">
        <f t="shared" si="44"/>
        <v>350.88664394632116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8.4</v>
      </c>
      <c r="EJ47" s="13">
        <f>IF('Données projet'!$A$192&gt;35,EJ46+EI47-ER46,IF(A47&lt;'Données projet'!$A$192,$EG$205^A47,IF(A47='Données projet'!$A$192,'Données projet'!$B$192,EJ46+EI47-ER46)))</f>
        <v>149.60000000000005</v>
      </c>
      <c r="EK47" s="18">
        <f>EJ47*VLOOKUP('Données projet'!$B$15,Paramètres!$A$1:$I$89,3,0)*VLOOKUP('Données projet'!$B$15,Paramètres!$A$1:$I$89,5,0)</f>
        <v>144.69312000000005</v>
      </c>
      <c r="EL47" s="14">
        <f t="shared" si="45"/>
        <v>37.370061524802772</v>
      </c>
      <c r="EM47" s="22">
        <f t="shared" si="19"/>
        <v>317.09337448903153</v>
      </c>
      <c r="EN47" s="62">
        <f t="shared" si="20"/>
        <v>610.42670782236485</v>
      </c>
      <c r="EO47" s="62">
        <f ca="1">AVERAGE(OFFSET($EN$3,0,0,'Données projet'!$E$15+1,1))-AVERAGE(OFFSET($H$3,0,0,'Données projet'!$E$15+1,1))</f>
        <v>455.50822833641354</v>
      </c>
      <c r="EP47" s="62">
        <f t="shared" si="46"/>
        <v>261.14722581688039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8</v>
      </c>
      <c r="FE47" s="13">
        <f>IF('Données projet'!$A$218&gt;35,FE46+FD47-FM46,IF(A47&lt;'Données projet'!$A$218,$FB$205^A47,IF(A47='Données projet'!$A$218,'Données projet'!$B$218,FE46+FD47-FM46)))</f>
        <v>190.00000000000006</v>
      </c>
      <c r="FF47" s="18">
        <f>FE47*VLOOKUP('Données projet'!$B$16,Paramètres!$A$1:$I$89,3,0)*VLOOKUP('Données projet'!$B$16,Paramètres!$A$1:$I$89,5,0)</f>
        <v>165.98400000000009</v>
      </c>
      <c r="FG47" s="14">
        <f t="shared" si="47"/>
        <v>42.189325525922285</v>
      </c>
      <c r="FH47" s="22">
        <f t="shared" si="22"/>
        <v>362.56854195764816</v>
      </c>
      <c r="FI47" s="62">
        <f t="shared" si="23"/>
        <v>655.90187529098148</v>
      </c>
      <c r="FJ47" s="62">
        <f ca="1">AVERAGE(OFFSET($FI$3,0,0,'Données projet'!$E$16+1,1))-AVERAGE(OFFSET($H$3,0,0,'Données projet'!$E$16+1,1))</f>
        <v>369.34989412920129</v>
      </c>
      <c r="FK47" s="62">
        <f t="shared" si="48"/>
        <v>371.26234252426553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0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5</v>
      </c>
      <c r="FZ47" s="13">
        <f>IF('Données projet'!$A$244&gt;35,FZ46+FY47-GH46,IF(A47&lt;'Données projet'!$A$244,$FW$205^A47,IF(A47='Données projet'!$A$244,'Données projet'!$B$244,FZ46+FY47-GH46)))</f>
        <v>261</v>
      </c>
      <c r="GA47" s="18">
        <f>FZ47*VLOOKUP('Données projet'!$B$17,Paramètres!$A$1:$I$89,3,0)*VLOOKUP('Données projet'!$B$17,Paramètres!$A$1:$I$89,5,0)</f>
        <v>236.15280000000001</v>
      </c>
      <c r="GB47" s="14">
        <f t="shared" si="49"/>
        <v>57.61100977459936</v>
      </c>
      <c r="GC47" s="22">
        <f t="shared" si="25"/>
        <v>511.63863535742729</v>
      </c>
      <c r="GD47" s="62">
        <f t="shared" si="26"/>
        <v>804.9719686907606</v>
      </c>
      <c r="GE47" s="62">
        <f ca="1">AVERAGE(OFFSET($GD$3,0,0,'Données projet'!$E$17+1,1))-AVERAGE(OFFSET($H$3,0,0,'Données projet'!$E$17+1,1))</f>
        <v>324.4489531703187</v>
      </c>
      <c r="GF47" s="62">
        <f t="shared" si="50"/>
        <v>446.55019360848706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projet'!$B$17,Paramètres!$A$1:$I$89,3,0)*0.475*44/12</f>
        <v>0</v>
      </c>
      <c r="GM47" s="23">
        <f>EXP(-LN(2)/25)*GM46+(1-EXP(-LN(2)/25))/(LN(2)/25)*Calculateur!GH47*Calculateur!GJ47*VLOOKUP('Données projet'!$B$17,Paramètres!$A$1:$I$89,3,0)*0.475*44/12</f>
        <v>0</v>
      </c>
      <c r="GN47" s="23">
        <f>EXP(-LN(2)/2)*GN46+(1-EXP(-LN(2)/2))/(LN(2)/2)*GH47*GK47*VLOOKUP('Données projet'!$B$17,Paramètres!$A$1:$I$89,3,0)*0.475*44/12</f>
        <v>0</v>
      </c>
      <c r="GO47" s="23">
        <f t="shared" si="27"/>
        <v>0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6.7948717948717956</v>
      </c>
      <c r="GU47" s="13">
        <f>IF('Données projet'!$A$270&gt;35,GU46+GT47-HC46,IF(A47&lt;'Données projet'!$A$270,$GR$205^A47,IF(A47='Données projet'!$A$270,'Données projet'!$B$270,GU46+GT47-HC46)))</f>
        <v>183.58974358974362</v>
      </c>
      <c r="GV47" s="18">
        <f>GU47*VLOOKUP('Données projet'!$B$18,Paramètres!$A$1:$I$89,3,0)*VLOOKUP('Données projet'!$B$18,Paramètres!$A$1:$I$89,5,0)</f>
        <v>123.15200000000002</v>
      </c>
      <c r="GW47" s="14">
        <f t="shared" si="51"/>
        <v>32.409038525483382</v>
      </c>
      <c r="GX47" s="22">
        <f t="shared" si="28"/>
        <v>270.93547543188362</v>
      </c>
      <c r="GY47" s="62">
        <f t="shared" si="29"/>
        <v>564.26880876521693</v>
      </c>
      <c r="GZ47" s="62">
        <f ca="1">AVERAGE(OFFSET($GY$3,0,0,'Données projet'!$E$18+1,1))-AVERAGE(OFFSET($H$3,0,0,'Données projet'!$E$18+1,1))</f>
        <v>312.06797204903796</v>
      </c>
      <c r="HA47" s="62">
        <f t="shared" si="52"/>
        <v>258.20189001775151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>
        <f>EXP(-LN(2)/35)*HG46+(1-EXP(-LN(2)/35))/(LN(2)/35)*HC47*HD47*VLOOKUP('Données projet'!$B$18,Paramètres!$A$1:$I$89,3,0)*0.475*44/12</f>
        <v>0</v>
      </c>
      <c r="HH47" s="23">
        <f>EXP(-LN(2)/25)*HH46+(1-EXP(-LN(2)/25))/(LN(2)/25)*Calculateur!HC47*Calculateur!HE47*VLOOKUP('Données projet'!$B$18,Paramètres!$A$1:$I$89,3,0)*0.475*44/12</f>
        <v>0</v>
      </c>
      <c r="HI47" s="23">
        <f>EXP(-LN(2)/2)*HI46+(1-EXP(-LN(2)/2))/(LN(2)/2)*HC47*HF47*VLOOKUP('Données projet'!$B$18,Paramètres!$A$1:$I$89,3,0)*0.475*44/12</f>
        <v>0</v>
      </c>
      <c r="HJ47" s="24">
        <f t="shared" si="30"/>
        <v>0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204</v>
      </c>
      <c r="L48" s="13">
        <f>VLOOKUP(A48,'Données projet'!$A$35:$I$55,9,0)</f>
        <v>11.4</v>
      </c>
      <c r="M48" s="13">
        <f t="array" ref="M48">INDEX(L:L,MIN(IF(ISNUMBER(L48:L244),ROW(L48:L244),"")))</f>
        <v>11.4</v>
      </c>
      <c r="N48" s="14">
        <f>IF('Données projet'!$A$36&gt;35,N47+M48-V47,IF(A48&lt;'Données projet'!$A$36,$K$205^A48,IF(A48='Données projet'!$A$36,'Données projet'!$B$36,N47+M48-V47)))</f>
        <v>204</v>
      </c>
      <c r="O48" s="14">
        <f>N48*VLOOKUP('Données projet'!$B$9,Paramètres!$A$1:$I$89,3,0)*VLOOKUP('Données projet'!$B$9,Paramètres!$A$1:$I$89,5,0)</f>
        <v>184.57919999999999</v>
      </c>
      <c r="P48" s="14">
        <f t="shared" si="33"/>
        <v>46.339479465836618</v>
      </c>
      <c r="Q48" s="22">
        <f t="shared" si="53"/>
        <v>402.18336673633206</v>
      </c>
      <c r="R48" s="62">
        <f t="shared" si="0"/>
        <v>695.51670006966538</v>
      </c>
      <c r="S48" s="62">
        <f ca="1">AVERAGE(OFFSET($R$3,0,0,'Données projet'!$E$9+1,1))-AVERAGE(OFFSET($H$3,0,0,'Données projet'!$E$9+1,1))</f>
        <v>512.84819850818667</v>
      </c>
      <c r="T48" s="62">
        <f t="shared" si="34"/>
        <v>332.61387922152159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242.2</v>
      </c>
      <c r="AG48" s="13">
        <f>VLOOKUP(A48,'Données projet'!$A$61:$I$81,9,0)</f>
        <v>9.8199999999999932</v>
      </c>
      <c r="AH48" s="13">
        <f t="array" ref="AH48">INDEX(AG:AG,MIN(IF(ISNUMBER(AG48:AG244),ROW(AG48:AG244),"")))</f>
        <v>9.8199999999999932</v>
      </c>
      <c r="AI48" s="14">
        <f>IF('Données projet'!$A$62&gt;35,AI47+AH48-AQ47,IF(A48&lt;'Données projet'!$A$62,$AF$205^A48,IF(A48='Données projet'!$A$62,'Données projet'!$B$62,AI47+AH48-AQ47)))</f>
        <v>242.19999999999987</v>
      </c>
      <c r="AJ48" s="14">
        <f>AI48*VLOOKUP('Données projet'!$B$10,Paramètres!$A$1:$I$89,3,0)*VLOOKUP('Données projet'!$B$10,Paramètres!$A$1:$I$89,5,0)</f>
        <v>177.58103999999989</v>
      </c>
      <c r="AK48" s="14">
        <f t="shared" si="35"/>
        <v>44.783589090869476</v>
      </c>
      <c r="AL48" s="22">
        <f t="shared" si="4"/>
        <v>387.28506233326408</v>
      </c>
      <c r="AM48" s="62">
        <f t="shared" si="5"/>
        <v>680.61839566659739</v>
      </c>
      <c r="AN48" s="62">
        <f ca="1">AVERAGE(OFFSET($AM$3,0,0,'Données projet'!$E$10+1,1))-AVERAGE(OFFSET($H$3,0,0,'Données projet'!$E$10+1,1))</f>
        <v>344.45199703750711</v>
      </c>
      <c r="AO48" s="62">
        <f t="shared" si="36"/>
        <v>376.41441893222185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204</v>
      </c>
      <c r="BB48" s="13">
        <f>VLOOKUP(A48,'Données projet'!$A$87:$I$107,9,0)</f>
        <v>11.4</v>
      </c>
      <c r="BC48" s="13">
        <f t="array" ref="BC48">INDEX(BB:BB,MIN(IF(ISNUMBER(BB48:BB244),ROW(BB48:BB244),"")))</f>
        <v>11.4</v>
      </c>
      <c r="BD48" s="13">
        <f>IF('Données projet'!$A$88&gt;35,BD47+BC48-BL47,IF(A48&lt;'Données projet'!$A$88,$BA$205^A48,IF(A48='Données projet'!$A$88,'Données projet'!$B$88,BD47+BC48-BL47)))</f>
        <v>204</v>
      </c>
      <c r="BE48" s="14">
        <f>BD48*VLOOKUP('Données projet'!$B$11,Paramètres!$A$1:$I$89,3,0)*VLOOKUP('Données projet'!$B$11,Paramètres!$A$1:$I$89,5,0)</f>
        <v>206.85599999999999</v>
      </c>
      <c r="BF48" s="14">
        <f t="shared" si="37"/>
        <v>51.247940588293027</v>
      </c>
      <c r="BG48" s="22">
        <f t="shared" si="7"/>
        <v>449.53102985794368</v>
      </c>
      <c r="BH48" s="62">
        <f t="shared" si="8"/>
        <v>742.86436319127699</v>
      </c>
      <c r="BI48" s="62">
        <f ca="1">AVERAGE(OFFSET($BH$3,0,0,'Données projet'!$E$11+1,1))-AVERAGE(OFFSET($H$3,0,0,'Données projet'!$E$11+1,1))</f>
        <v>569.39473185784823</v>
      </c>
      <c r="BJ48" s="62">
        <f t="shared" si="38"/>
        <v>367.42881145517066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190</v>
      </c>
      <c r="BW48" s="13">
        <f>VLOOKUP(A48,'Données projet'!$A$113:$I$133,9,0)</f>
        <v>10.8</v>
      </c>
      <c r="BX48" s="13">
        <f t="array" ref="BX48">INDEX(BW:BW,MIN(IF(ISNUMBER(BW48:BW244),ROW(BW48:BW244),"")))</f>
        <v>10.8</v>
      </c>
      <c r="BY48" s="13">
        <f>IF('Données projet'!$A$114&gt;35,BY47+BX48-CG47,IF(A48&lt;'Données projet'!$A$114,$BV$205^A48,IF(A48='Données projet'!$A$114,'Données projet'!$B$114,BY47+BX48-CG47)))</f>
        <v>190.00000000000003</v>
      </c>
      <c r="BZ48" s="14">
        <f>BY48*VLOOKUP('Données projet'!$B$12,Paramètres!$A$1:$I$89,3,0)*VLOOKUP('Données projet'!$B$12,Paramètres!$A$1:$I$89,5,0)</f>
        <v>163.02000000000004</v>
      </c>
      <c r="CA48" s="14">
        <f t="shared" si="39"/>
        <v>41.52294175893757</v>
      </c>
      <c r="CB48" s="22">
        <f t="shared" si="10"/>
        <v>356.24562356348298</v>
      </c>
      <c r="CC48" s="62">
        <f t="shared" si="11"/>
        <v>649.57895689681629</v>
      </c>
      <c r="CD48" s="62">
        <f ca="1">AVERAGE(OFFSET($CC$3,0,0,'Données projet'!$E$12+1,1))-AVERAGE(OFFSET($H$3,0,0,'Données projet'!$E$12+1,1))</f>
        <v>554.06253050955502</v>
      </c>
      <c r="CE48" s="62">
        <f t="shared" si="40"/>
        <v>269.71949336355789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10.375</v>
      </c>
      <c r="CT48" s="13">
        <f>IF('Données projet'!$A$140&gt;35,CT47+CS48-DB47,IF(A48&lt;'Données projet'!$A$140,$CQ$205^A48,IF(A48='Données projet'!$A$140,'Données projet'!$B$140,CT47+CS48-DB47)))</f>
        <v>197.37499999999994</v>
      </c>
      <c r="CU48" s="18">
        <f>CT48*VLOOKUP('Données projet'!$B$13,Paramètres!$A$1:$I$89,3,0)*VLOOKUP('Données projet'!$B$13,Paramètres!$A$1:$I$89,5,0)</f>
        <v>153.95249999999996</v>
      </c>
      <c r="CV48" s="14">
        <f t="shared" si="41"/>
        <v>39.475441267837397</v>
      </c>
      <c r="CW48" s="22">
        <f t="shared" si="13"/>
        <v>336.88699770815003</v>
      </c>
      <c r="CX48" s="62">
        <f t="shared" si="14"/>
        <v>630.2203310414834</v>
      </c>
      <c r="CY48" s="62">
        <f ca="1">AVERAGE(OFFSET($CX$3,0,0,'Données projet'!$E$13+1,1))-AVERAGE(OFFSET($H$3,0,0,'Données projet'!$E$13+1,1))</f>
        <v>292.21364130214391</v>
      </c>
      <c r="CZ48" s="62">
        <f t="shared" si="42"/>
        <v>283.48738729114024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186.53846153846152</v>
      </c>
      <c r="DM48" s="13">
        <f>VLOOKUP(A48,'Données projet'!$A$165:$I$185,9,0)</f>
        <v>6.6666666666666625</v>
      </c>
      <c r="DN48" s="13">
        <f t="array" ref="DN48">INDEX(DM:DM,MIN(IF(ISNUMBER(DM48:DM244),ROW(DM48:DM244),"")))</f>
        <v>6.6666666666666625</v>
      </c>
      <c r="DO48" s="13">
        <f>IF('Données projet'!$A$166&gt;35,DO47+DN48-DW47,IF(A48&lt;'Données projet'!$A$166,$DL$205^A48,IF(A48='Données projet'!$A$166,'Données projet'!$B$166,DO47+DN48-DW47)))</f>
        <v>186.53846153846155</v>
      </c>
      <c r="DP48" s="18">
        <f>DO48*VLOOKUP('Données projet'!$B$14,Paramètres!$A$1:$I$89,3,0)*VLOOKUP('Données projet'!$B$14,Paramètres!$A$1:$I$89,5,0)</f>
        <v>177.51000000000002</v>
      </c>
      <c r="DQ48" s="14">
        <f t="shared" si="43"/>
        <v>44.767758720564899</v>
      </c>
      <c r="DR48" s="22">
        <f t="shared" si="16"/>
        <v>387.13376310498393</v>
      </c>
      <c r="DS48" s="62">
        <f t="shared" si="17"/>
        <v>680.46709643831718</v>
      </c>
      <c r="DT48" s="62">
        <f ca="1">AVERAGE(OFFSET($DS$3,0,0,'Données projet'!$E$14+1,1))-AVERAGE(OFFSET($H$3,0,0,'Données projet'!$E$14+1,1))</f>
        <v>427.47603885390191</v>
      </c>
      <c r="DU48" s="62">
        <f t="shared" si="44"/>
        <v>350.88664394632116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158</v>
      </c>
      <c r="EH48" s="13">
        <f>VLOOKUP(A48,'Données projet'!$A$191:$I$211,9,0)</f>
        <v>8.4</v>
      </c>
      <c r="EI48" s="13">
        <f t="array" ref="EI48">INDEX(EH:EH,MIN(IF(ISNUMBER(EH48:EH244),ROW(EH48:EH244),"")))</f>
        <v>8.4</v>
      </c>
      <c r="EJ48" s="13">
        <f>IF('Données projet'!$A$192&gt;35,EJ47+EI48-ER47,IF(A48&lt;'Données projet'!$A$192,$EG$205^A48,IF(A48='Données projet'!$A$192,'Données projet'!$B$192,EJ47+EI48-ER47)))</f>
        <v>158.00000000000006</v>
      </c>
      <c r="EK48" s="18">
        <f>EJ48*VLOOKUP('Données projet'!$B$15,Paramètres!$A$1:$I$89,3,0)*VLOOKUP('Données projet'!$B$15,Paramètres!$A$1:$I$89,5,0)</f>
        <v>152.81760000000006</v>
      </c>
      <c r="EL48" s="14">
        <f t="shared" si="45"/>
        <v>39.218200171484227</v>
      </c>
      <c r="EM48" s="22">
        <f t="shared" si="19"/>
        <v>334.46235196533513</v>
      </c>
      <c r="EN48" s="62">
        <f t="shared" si="20"/>
        <v>627.79568529866845</v>
      </c>
      <c r="EO48" s="62">
        <f ca="1">AVERAGE(OFFSET($EN$3,0,0,'Données projet'!$E$15+1,1))-AVERAGE(OFFSET($H$3,0,0,'Données projet'!$E$15+1,1))</f>
        <v>455.50822833641354</v>
      </c>
      <c r="EP48" s="62">
        <f t="shared" si="46"/>
        <v>261.14722581688039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>
        <f>VLOOKUP(A48,'Données projet'!$A$217:$I$237,2,0)</f>
        <v>198</v>
      </c>
      <c r="FC48" s="13">
        <f>VLOOKUP(A48,'Données projet'!$A$217:$I$237,9,0)</f>
        <v>8</v>
      </c>
      <c r="FD48" s="13">
        <f t="array" ref="FD48">INDEX(FC:FC,MIN(IF(ISNUMBER(FC48:FC244),ROW(FC48:FC244),"")))</f>
        <v>8</v>
      </c>
      <c r="FE48" s="13">
        <f>IF('Données projet'!$A$218&gt;35,FE47+FD48-FM47,IF(A48&lt;'Données projet'!$A$218,$FB$205^A48,IF(A48='Données projet'!$A$218,'Données projet'!$B$218,FE47+FD48-FM47)))</f>
        <v>198.00000000000006</v>
      </c>
      <c r="FF48" s="18">
        <f>FE48*VLOOKUP('Données projet'!$B$16,Paramètres!$A$1:$I$89,3,0)*VLOOKUP('Données projet'!$B$16,Paramètres!$A$1:$I$89,5,0)</f>
        <v>172.97280000000006</v>
      </c>
      <c r="FG48" s="14">
        <f t="shared" si="47"/>
        <v>43.75515863819728</v>
      </c>
      <c r="FH48" s="22">
        <f t="shared" si="22"/>
        <v>377.46786129486037</v>
      </c>
      <c r="FI48" s="62">
        <f t="shared" si="23"/>
        <v>670.80119462819368</v>
      </c>
      <c r="FJ48" s="62">
        <f ca="1">AVERAGE(OFFSET($FI$3,0,0,'Données projet'!$E$16+1,1))-AVERAGE(OFFSET($H$3,0,0,'Données projet'!$E$16+1,1))</f>
        <v>369.34989412920129</v>
      </c>
      <c r="FK48" s="62">
        <f t="shared" si="48"/>
        <v>371.26234252426553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0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>
        <f>VLOOKUP(A48,'Données projet'!$A$243:$I$263,2,0)</f>
        <v>266</v>
      </c>
      <c r="FX48" s="13">
        <f>VLOOKUP(A48,'Données projet'!$A$243:$I$263,9,0)</f>
        <v>5</v>
      </c>
      <c r="FY48" s="13">
        <f t="array" ref="FY48">INDEX(FX:FX,MIN(IF(ISNUMBER(FX48:FX244),ROW(FX48:FX244),"")))</f>
        <v>5</v>
      </c>
      <c r="FZ48" s="13">
        <f>IF('Données projet'!$A$244&gt;35,FZ47+FY48-GH47,IF(A48&lt;'Données projet'!$A$244,$FW$205^A48,IF(A48='Données projet'!$A$244,'Données projet'!$B$244,FZ47+FY48-GH47)))</f>
        <v>266</v>
      </c>
      <c r="GA48" s="18">
        <f>FZ48*VLOOKUP('Données projet'!$B$17,Paramètres!$A$1:$I$89,3,0)*VLOOKUP('Données projet'!$B$17,Paramètres!$A$1:$I$89,5,0)</f>
        <v>240.67680000000001</v>
      </c>
      <c r="GB48" s="14">
        <f t="shared" si="49"/>
        <v>58.585123425001029</v>
      </c>
      <c r="GC48" s="22">
        <f t="shared" si="25"/>
        <v>521.21451663187679</v>
      </c>
      <c r="GD48" s="62">
        <f t="shared" si="26"/>
        <v>814.54784996521016</v>
      </c>
      <c r="GE48" s="62">
        <f ca="1">AVERAGE(OFFSET($GD$3,0,0,'Données projet'!$E$17+1,1))-AVERAGE(OFFSET($H$3,0,0,'Données projet'!$E$17+1,1))</f>
        <v>324.4489531703187</v>
      </c>
      <c r="GF48" s="62">
        <f t="shared" si="50"/>
        <v>446.55019360848706</v>
      </c>
      <c r="GG48" s="16">
        <f>IF(ISNA(VLOOKUP(A48,'Données projet'!$A$243:$I$263,3,0)),0,VLOOKUP(A48,'Données projet'!$A$243:$I$263,3,0))</f>
        <v>3</v>
      </c>
      <c r="GH48" s="16">
        <f>IF(ISNA(VLOOKUP(A48,'Données projet'!$A$243:$I$263,4,0)),0,VLOOKUP(A48,'Données projet'!$A$243:$I$263,4,0))</f>
        <v>266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projet'!$B$17,Paramètres!$A$1:$I$89,3,0)*0.475*44/12</f>
        <v>0</v>
      </c>
      <c r="GM48" s="23">
        <f>EXP(-LN(2)/25)*GM47+(1-EXP(-LN(2)/25))/(LN(2)/25)*Calculateur!GH48*Calculateur!GJ48*VLOOKUP('Données projet'!$B$17,Paramètres!$A$1:$I$89,3,0)*0.475*44/12</f>
        <v>0</v>
      </c>
      <c r="GN48" s="23">
        <f>EXP(-LN(2)/2)*GN47+(1-EXP(-LN(2)/2))/(LN(2)/2)*GH48*GK48*VLOOKUP('Données projet'!$B$17,Paramètres!$A$1:$I$89,3,0)*0.475*44/12</f>
        <v>0</v>
      </c>
      <c r="GO48" s="23">
        <f t="shared" si="27"/>
        <v>0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>
        <f>VLOOKUP(A48,'Données projet'!$A$269:$I$289,2,0)</f>
        <v>190.38461538461539</v>
      </c>
      <c r="GS48" s="13">
        <f>VLOOKUP(A48,'Données projet'!$A$269:$I$289,9,0)</f>
        <v>6.7948717948717956</v>
      </c>
      <c r="GT48" s="13">
        <f t="array" ref="GT48">INDEX(GS:GS,MIN(IF(ISNUMBER(GS48:GS244),ROW(GS48:GS244),"")))</f>
        <v>6.7948717948717956</v>
      </c>
      <c r="GU48" s="13">
        <f>IF('Données projet'!$A$270&gt;35,GU47+GT48-HC47,IF(A48&lt;'Données projet'!$A$270,$GR$205^A48,IF(A48='Données projet'!$A$270,'Données projet'!$B$270,GU47+GT48-HC47)))</f>
        <v>190.38461538461542</v>
      </c>
      <c r="GV48" s="18">
        <f>GU48*VLOOKUP('Données projet'!$B$18,Paramètres!$A$1:$I$89,3,0)*VLOOKUP('Données projet'!$B$18,Paramètres!$A$1:$I$89,5,0)</f>
        <v>127.71000000000002</v>
      </c>
      <c r="GW48" s="14">
        <f t="shared" si="51"/>
        <v>33.466661484162984</v>
      </c>
      <c r="GX48" s="22">
        <f t="shared" si="28"/>
        <v>280.71601875158382</v>
      </c>
      <c r="GY48" s="62">
        <f t="shared" si="29"/>
        <v>574.04935208491713</v>
      </c>
      <c r="GZ48" s="62">
        <f ca="1">AVERAGE(OFFSET($GY$3,0,0,'Données projet'!$E$18+1,1))-AVERAGE(OFFSET($H$3,0,0,'Données projet'!$E$18+1,1))</f>
        <v>312.06797204903796</v>
      </c>
      <c r="HA48" s="62">
        <f t="shared" si="52"/>
        <v>258.20189001775151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>
        <f>EXP(-LN(2)/35)*HG47+(1-EXP(-LN(2)/35))/(LN(2)/35)*HC48*HD48*VLOOKUP('Données projet'!$B$18,Paramètres!$A$1:$I$89,3,0)*0.475*44/12</f>
        <v>0</v>
      </c>
      <c r="HH48" s="23">
        <f>EXP(-LN(2)/25)*HH47+(1-EXP(-LN(2)/25))/(LN(2)/25)*Calculateur!HC48*Calculateur!HE48*VLOOKUP('Données projet'!$B$18,Paramètres!$A$1:$I$89,3,0)*0.475*44/12</f>
        <v>0</v>
      </c>
      <c r="HI48" s="23">
        <f>EXP(-LN(2)/2)*HI47+(1-EXP(-LN(2)/2))/(LN(2)/2)*HC48*HF48*VLOOKUP('Données projet'!$B$18,Paramètres!$A$1:$I$89,3,0)*0.475*44/12</f>
        <v>0</v>
      </c>
      <c r="HJ48" s="24">
        <f t="shared" si="30"/>
        <v>0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</v>
      </c>
      <c r="N49" s="14">
        <f>IF('Données projet'!$A$36&gt;35,N48+M49-V48,IF(A49&lt;'Données projet'!$A$36,$K$205^A49,IF(A49='Données projet'!$A$36,'Données projet'!$B$36,N48+M49-V48)))</f>
        <v>215</v>
      </c>
      <c r="O49" s="14">
        <f>N49*VLOOKUP('Données projet'!$B$9,Paramètres!$A$1:$I$89,3,0)*VLOOKUP('Données projet'!$B$9,Paramètres!$A$1:$I$89,5,0)</f>
        <v>194.53199999999998</v>
      </c>
      <c r="P49" s="14">
        <f t="shared" si="33"/>
        <v>48.540534952652578</v>
      </c>
      <c r="Q49" s="22">
        <f t="shared" si="53"/>
        <v>423.35133170920318</v>
      </c>
      <c r="R49" s="62">
        <f t="shared" si="0"/>
        <v>716.68466504253649</v>
      </c>
      <c r="S49" s="62">
        <f ca="1">AVERAGE(OFFSET($R$3,0,0,'Données projet'!$E$9+1,1))-AVERAGE(OFFSET($H$3,0,0,'Données projet'!$E$9+1,1))</f>
        <v>512.84819850818667</v>
      </c>
      <c r="T49" s="62">
        <f t="shared" si="34"/>
        <v>332.61387922152159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8.5399999999999974</v>
      </c>
      <c r="AI49" s="14">
        <f>IF('Données projet'!$A$62&gt;35,AI48+AH49-AQ48,IF(A49&lt;'Données projet'!$A$62,$AF$205^A49,IF(A49='Données projet'!$A$62,'Données projet'!$B$62,AI48+AH49-AQ48)))</f>
        <v>250.73999999999987</v>
      </c>
      <c r="AJ49" s="14">
        <f>AI49*VLOOKUP('Données projet'!$B$10,Paramètres!$A$1:$I$89,3,0)*VLOOKUP('Données projet'!$B$10,Paramètres!$A$1:$I$89,5,0)</f>
        <v>183.84256799999991</v>
      </c>
      <c r="AK49" s="14">
        <f t="shared" si="35"/>
        <v>46.176032940903148</v>
      </c>
      <c r="AL49" s="22">
        <f t="shared" si="4"/>
        <v>400.61572997207281</v>
      </c>
      <c r="AM49" s="62">
        <f t="shared" si="5"/>
        <v>693.94906330540607</v>
      </c>
      <c r="AN49" s="62">
        <f ca="1">AVERAGE(OFFSET($AM$3,0,0,'Données projet'!$E$10+1,1))-AVERAGE(OFFSET($H$3,0,0,'Données projet'!$E$10+1,1))</f>
        <v>344.45199703750711</v>
      </c>
      <c r="AO49" s="62">
        <f t="shared" si="36"/>
        <v>376.41441893222185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11</v>
      </c>
      <c r="BD49" s="13">
        <f>IF('Données projet'!$A$88&gt;35,BD48+BC49-BL48,IF(A49&lt;'Données projet'!$A$88,$BA$205^A49,IF(A49='Données projet'!$A$88,'Données projet'!$B$88,BD48+BC49-BL48)))</f>
        <v>215</v>
      </c>
      <c r="BE49" s="14">
        <f>BD49*VLOOKUP('Données projet'!$B$11,Paramètres!$A$1:$I$89,3,0)*VLOOKUP('Données projet'!$B$11,Paramètres!$A$1:$I$89,5,0)</f>
        <v>218.01000000000002</v>
      </c>
      <c r="BF49" s="14">
        <f t="shared" si="37"/>
        <v>53.682140586224406</v>
      </c>
      <c r="BG49" s="22">
        <f t="shared" si="7"/>
        <v>473.19714485434082</v>
      </c>
      <c r="BH49" s="62">
        <f t="shared" si="8"/>
        <v>766.53047818767413</v>
      </c>
      <c r="BI49" s="62">
        <f ca="1">AVERAGE(OFFSET($BH$3,0,0,'Données projet'!$E$11+1,1))-AVERAGE(OFFSET($H$3,0,0,'Données projet'!$E$11+1,1))</f>
        <v>569.39473185784823</v>
      </c>
      <c r="BJ49" s="62">
        <f t="shared" si="38"/>
        <v>367.42881145517066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11</v>
      </c>
      <c r="BY49" s="13">
        <f>IF('Données projet'!$A$114&gt;35,BY48+BX49-CG48,IF(A49&lt;'Données projet'!$A$114,$BV$205^A49,IF(A49='Données projet'!$A$114,'Données projet'!$B$114,BY48+BX49-CG48)))</f>
        <v>201.00000000000003</v>
      </c>
      <c r="BZ49" s="14">
        <f>BY49*VLOOKUP('Données projet'!$B$12,Paramètres!$A$1:$I$89,3,0)*VLOOKUP('Données projet'!$B$12,Paramètres!$A$1:$I$89,5,0)</f>
        <v>172.45800000000006</v>
      </c>
      <c r="CA49" s="14">
        <f t="shared" si="39"/>
        <v>43.640073035750284</v>
      </c>
      <c r="CB49" s="22">
        <f t="shared" si="10"/>
        <v>376.37081053726519</v>
      </c>
      <c r="CC49" s="62">
        <f t="shared" si="11"/>
        <v>669.7041438705985</v>
      </c>
      <c r="CD49" s="62">
        <f ca="1">AVERAGE(OFFSET($CC$3,0,0,'Données projet'!$E$12+1,1))-AVERAGE(OFFSET($H$3,0,0,'Données projet'!$E$12+1,1))</f>
        <v>554.06253050955502</v>
      </c>
      <c r="CE49" s="62">
        <f t="shared" si="40"/>
        <v>269.71949336355789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10.375</v>
      </c>
      <c r="CT49" s="13">
        <f>IF('Données projet'!$A$140&gt;35,CT48+CS49-DB48,IF(A49&lt;'Données projet'!$A$140,$CQ$205^A49,IF(A49='Données projet'!$A$140,'Données projet'!$B$140,CT48+CS49-DB48)))</f>
        <v>207.74999999999994</v>
      </c>
      <c r="CU49" s="18">
        <f>CT49*VLOOKUP('Données projet'!$B$13,Paramètres!$A$1:$I$89,3,0)*VLOOKUP('Données projet'!$B$13,Paramètres!$A$1:$I$89,5,0)</f>
        <v>162.04499999999996</v>
      </c>
      <c r="CV49" s="14">
        <f t="shared" si="41"/>
        <v>41.303429372463391</v>
      </c>
      <c r="CW49" s="22">
        <f t="shared" si="13"/>
        <v>354.16518115704031</v>
      </c>
      <c r="CX49" s="62">
        <f t="shared" si="14"/>
        <v>647.49851449037362</v>
      </c>
      <c r="CY49" s="62">
        <f ca="1">AVERAGE(OFFSET($CX$3,0,0,'Données projet'!$E$13+1,1))-AVERAGE(OFFSET($H$3,0,0,'Données projet'!$E$13+1,1))</f>
        <v>292.21364130214391</v>
      </c>
      <c r="CZ49" s="62">
        <f t="shared" si="42"/>
        <v>283.48738729114024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6.2820512820512819</v>
      </c>
      <c r="DO49" s="13">
        <f>IF('Données projet'!$A$166&gt;35,DO48+DN49-DW48,IF(A49&lt;'Données projet'!$A$166,$DL$205^A49,IF(A49='Données projet'!$A$166,'Données projet'!$B$166,DO48+DN49-DW48)))</f>
        <v>192.82051282051282</v>
      </c>
      <c r="DP49" s="18">
        <f>DO49*VLOOKUP('Données projet'!$B$14,Paramètres!$A$1:$I$89,3,0)*VLOOKUP('Données projet'!$B$14,Paramètres!$A$1:$I$89,5,0)</f>
        <v>183.488</v>
      </c>
      <c r="DQ49" s="14">
        <f t="shared" si="43"/>
        <v>46.097332970867861</v>
      </c>
      <c r="DR49" s="22">
        <f t="shared" si="16"/>
        <v>399.86112159092812</v>
      </c>
      <c r="DS49" s="62">
        <f t="shared" si="17"/>
        <v>693.19445492426144</v>
      </c>
      <c r="DT49" s="62">
        <f ca="1">AVERAGE(OFFSET($DS$3,0,0,'Données projet'!$E$14+1,1))-AVERAGE(OFFSET($H$3,0,0,'Données projet'!$E$14+1,1))</f>
        <v>427.47603885390191</v>
      </c>
      <c r="DU49" s="62">
        <f t="shared" si="44"/>
        <v>350.88664394632116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8.1999999999999993</v>
      </c>
      <c r="EJ49" s="13">
        <f>IF('Données projet'!$A$192&gt;35,EJ48+EI49-ER48,IF(A49&lt;'Données projet'!$A$192,$EG$205^A49,IF(A49='Données projet'!$A$192,'Données projet'!$B$192,EJ48+EI49-ER48)))</f>
        <v>166.20000000000005</v>
      </c>
      <c r="EK49" s="18">
        <f>EJ49*VLOOKUP('Données projet'!$B$15,Paramètres!$A$1:$I$89,3,0)*VLOOKUP('Données projet'!$B$15,Paramètres!$A$1:$I$89,5,0)</f>
        <v>160.74864000000005</v>
      </c>
      <c r="EL49" s="14">
        <f t="shared" si="45"/>
        <v>41.011327345272264</v>
      </c>
      <c r="EM49" s="22">
        <f t="shared" si="19"/>
        <v>351.39860979301596</v>
      </c>
      <c r="EN49" s="62">
        <f t="shared" si="20"/>
        <v>644.73194312634928</v>
      </c>
      <c r="EO49" s="62">
        <f ca="1">AVERAGE(OFFSET($EN$3,0,0,'Données projet'!$E$15+1,1))-AVERAGE(OFFSET($H$3,0,0,'Données projet'!$E$15+1,1))</f>
        <v>455.50822833641354</v>
      </c>
      <c r="EP49" s="62">
        <f t="shared" si="46"/>
        <v>261.14722581688039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7.4</v>
      </c>
      <c r="FE49" s="13">
        <f>IF('Données projet'!$A$218&gt;35,FE48+FD49-FM48,IF(A49&lt;'Données projet'!$A$218,$FB$205^A49,IF(A49='Données projet'!$A$218,'Données projet'!$B$218,FE48+FD49-FM48)))</f>
        <v>205.40000000000006</v>
      </c>
      <c r="FF49" s="18">
        <f>FE49*VLOOKUP('Données projet'!$B$16,Paramètres!$A$1:$I$89,3,0)*VLOOKUP('Données projet'!$B$16,Paramètres!$A$1:$I$89,5,0)</f>
        <v>179.43744000000007</v>
      </c>
      <c r="FG49" s="14">
        <f t="shared" si="47"/>
        <v>45.197004138831659</v>
      </c>
      <c r="FH49" s="22">
        <f t="shared" si="22"/>
        <v>391.23832354179859</v>
      </c>
      <c r="FI49" s="62">
        <f t="shared" si="23"/>
        <v>684.57165687513191</v>
      </c>
      <c r="FJ49" s="62">
        <f ca="1">AVERAGE(OFFSET($FI$3,0,0,'Données projet'!$E$16+1,1))-AVERAGE(OFFSET($H$3,0,0,'Données projet'!$E$16+1,1))</f>
        <v>369.34989412920129</v>
      </c>
      <c r="FK49" s="62">
        <f t="shared" si="48"/>
        <v>371.26234252426553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0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>
        <f>FZ49*VLOOKUP('Données projet'!$B$17,Paramètres!$A$1:$I$89,3,0)*VLOOKUP('Données projet'!$B$17,Paramètres!$A$1:$I$89,5,0)</f>
        <v>0</v>
      </c>
      <c r="GB49" s="14" t="e">
        <f t="shared" si="49"/>
        <v>#NUM!</v>
      </c>
      <c r="GC49" s="22" t="e">
        <f t="shared" si="25"/>
        <v>#NUM!</v>
      </c>
      <c r="GD49" s="62" t="e">
        <f t="shared" si="26"/>
        <v>#NUM!</v>
      </c>
      <c r="GE49" s="62">
        <f ca="1">AVERAGE(OFFSET($GD$3,0,0,'Données projet'!$E$17+1,1))-AVERAGE(OFFSET($H$3,0,0,'Données projet'!$E$17+1,1))</f>
        <v>324.4489531703187</v>
      </c>
      <c r="GF49" s="62">
        <f t="shared" si="50"/>
        <v>446.55019360848706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projet'!$B$17,Paramètres!$A$1:$I$89,3,0)*0.475*44/12</f>
        <v>0</v>
      </c>
      <c r="GM49" s="23">
        <f>EXP(-LN(2)/25)*GM48+(1-EXP(-LN(2)/25))/(LN(2)/25)*Calculateur!GH49*Calculateur!GJ49*VLOOKUP('Données projet'!$B$17,Paramètres!$A$1:$I$89,3,0)*0.475*44/12</f>
        <v>0</v>
      </c>
      <c r="GN49" s="23">
        <f>EXP(-LN(2)/2)*GN48+(1-EXP(-LN(2)/2))/(LN(2)/2)*GH49*GK49*VLOOKUP('Données projet'!$B$17,Paramètres!$A$1:$I$89,3,0)*0.475*44/12</f>
        <v>0</v>
      </c>
      <c r="GO49" s="23">
        <f t="shared" si="27"/>
        <v>0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6.2820512820512819</v>
      </c>
      <c r="GU49" s="13">
        <f>IF('Données projet'!$A$270&gt;35,GU48+GT49-HC48,IF(A49&lt;'Données projet'!$A$270,$GR$205^A49,IF(A49='Données projet'!$A$270,'Données projet'!$B$270,GU48+GT49-HC48)))</f>
        <v>196.66666666666669</v>
      </c>
      <c r="GV49" s="18">
        <f>GU49*VLOOKUP('Données projet'!$B$18,Paramètres!$A$1:$I$89,3,0)*VLOOKUP('Données projet'!$B$18,Paramètres!$A$1:$I$89,5,0)</f>
        <v>131.92400000000001</v>
      </c>
      <c r="GW49" s="14">
        <f t="shared" si="51"/>
        <v>34.440558391692079</v>
      </c>
      <c r="GX49" s="22">
        <f t="shared" si="28"/>
        <v>289.75160586553034</v>
      </c>
      <c r="GY49" s="62">
        <f t="shared" si="29"/>
        <v>583.08493919886359</v>
      </c>
      <c r="GZ49" s="62">
        <f ca="1">AVERAGE(OFFSET($GY$3,0,0,'Données projet'!$E$18+1,1))-AVERAGE(OFFSET($H$3,0,0,'Données projet'!$E$18+1,1))</f>
        <v>312.06797204903796</v>
      </c>
      <c r="HA49" s="62">
        <f t="shared" si="52"/>
        <v>258.20189001775151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>
        <f>EXP(-LN(2)/35)*HG48+(1-EXP(-LN(2)/35))/(LN(2)/35)*HC49*HD49*VLOOKUP('Données projet'!$B$18,Paramètres!$A$1:$I$89,3,0)*0.475*44/12</f>
        <v>0</v>
      </c>
      <c r="HH49" s="23">
        <f>EXP(-LN(2)/25)*HH48+(1-EXP(-LN(2)/25))/(LN(2)/25)*Calculateur!HC49*Calculateur!HE49*VLOOKUP('Données projet'!$B$18,Paramètres!$A$1:$I$89,3,0)*0.475*44/12</f>
        <v>0</v>
      </c>
      <c r="HI49" s="23">
        <f>EXP(-LN(2)/2)*HI48+(1-EXP(-LN(2)/2))/(LN(2)/2)*HC49*HF49*VLOOKUP('Données projet'!$B$18,Paramètres!$A$1:$I$89,3,0)*0.475*44/12</f>
        <v>0</v>
      </c>
      <c r="HJ49" s="24">
        <f t="shared" si="30"/>
        <v>0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</v>
      </c>
      <c r="N50" s="14">
        <f>IF('Données projet'!$A$36&gt;35,N49+M50-V49,IF(A50&lt;'Données projet'!$A$36,$K$205^A50,IF(A50='Données projet'!$A$36,'Données projet'!$B$36,N49+M50-V49)))</f>
        <v>226</v>
      </c>
      <c r="O50" s="14">
        <f>N50*VLOOKUP('Données projet'!$B$9,Paramètres!$A$1:$I$89,3,0)*VLOOKUP('Données projet'!$B$9,Paramètres!$A$1:$I$89,5,0)</f>
        <v>204.48479999999998</v>
      </c>
      <c r="P50" s="14">
        <f t="shared" si="33"/>
        <v>50.728515318217369</v>
      </c>
      <c r="Q50" s="22">
        <f t="shared" si="53"/>
        <v>444.49652417922852</v>
      </c>
      <c r="R50" s="62">
        <f t="shared" si="0"/>
        <v>737.82985751256183</v>
      </c>
      <c r="S50" s="62">
        <f ca="1">AVERAGE(OFFSET($R$3,0,0,'Données projet'!$E$9+1,1))-AVERAGE(OFFSET($H$3,0,0,'Données projet'!$E$9+1,1))</f>
        <v>512.84819850818667</v>
      </c>
      <c r="T50" s="62">
        <f t="shared" si="34"/>
        <v>332.61387922152159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8.5399999999999974</v>
      </c>
      <c r="AI50" s="14">
        <f>IF('Données projet'!$A$62&gt;35,AI49+AH50-AQ49,IF(A50&lt;'Données projet'!$A$62,$AF$205^A50,IF(A50='Données projet'!$A$62,'Données projet'!$B$62,AI49+AH50-AQ49)))</f>
        <v>259.27999999999986</v>
      </c>
      <c r="AJ50" s="14">
        <f>AI50*VLOOKUP('Données projet'!$B$10,Paramètres!$A$1:$I$89,3,0)*VLOOKUP('Données projet'!$B$10,Paramètres!$A$1:$I$89,5,0)</f>
        <v>190.10409599999988</v>
      </c>
      <c r="AK50" s="14">
        <f t="shared" si="35"/>
        <v>47.562966265165443</v>
      </c>
      <c r="AL50" s="22">
        <f t="shared" si="4"/>
        <v>413.9368001118296</v>
      </c>
      <c r="AM50" s="62">
        <f t="shared" si="5"/>
        <v>707.27013344516286</v>
      </c>
      <c r="AN50" s="62">
        <f ca="1">AVERAGE(OFFSET($AM$3,0,0,'Données projet'!$E$10+1,1))-AVERAGE(OFFSET($H$3,0,0,'Données projet'!$E$10+1,1))</f>
        <v>344.45199703750711</v>
      </c>
      <c r="AO50" s="62">
        <f t="shared" si="36"/>
        <v>376.41441893222185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11</v>
      </c>
      <c r="BD50" s="13">
        <f>IF('Données projet'!$A$88&gt;35,BD49+BC50-BL49,IF(A50&lt;'Données projet'!$A$88,$BA$205^A50,IF(A50='Données projet'!$A$88,'Données projet'!$B$88,BD49+BC50-BL49)))</f>
        <v>226</v>
      </c>
      <c r="BE50" s="14">
        <f>BD50*VLOOKUP('Données projet'!$B$11,Paramètres!$A$1:$I$89,3,0)*VLOOKUP('Données projet'!$B$11,Paramètres!$A$1:$I$89,5,0)</f>
        <v>229.16400000000002</v>
      </c>
      <c r="BF50" s="14">
        <f t="shared" si="37"/>
        <v>56.101880494297397</v>
      </c>
      <c r="BG50" s="22">
        <f t="shared" si="7"/>
        <v>496.83807519423459</v>
      </c>
      <c r="BH50" s="62">
        <f t="shared" si="8"/>
        <v>790.17140852756791</v>
      </c>
      <c r="BI50" s="62">
        <f ca="1">AVERAGE(OFFSET($BH$3,0,0,'Données projet'!$E$11+1,1))-AVERAGE(OFFSET($H$3,0,0,'Données projet'!$E$11+1,1))</f>
        <v>569.39473185784823</v>
      </c>
      <c r="BJ50" s="62">
        <f t="shared" si="38"/>
        <v>367.42881145517066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11</v>
      </c>
      <c r="BY50" s="13">
        <f>IF('Données projet'!$A$114&gt;35,BY49+BX50-CG49,IF(A50&lt;'Données projet'!$A$114,$BV$205^A50,IF(A50='Données projet'!$A$114,'Données projet'!$B$114,BY49+BX50-CG49)))</f>
        <v>212.00000000000003</v>
      </c>
      <c r="BZ50" s="14">
        <f>BY50*VLOOKUP('Données projet'!$B$12,Paramètres!$A$1:$I$89,3,0)*VLOOKUP('Données projet'!$B$12,Paramètres!$A$1:$I$89,5,0)</f>
        <v>181.89600000000004</v>
      </c>
      <c r="CA50" s="14">
        <f t="shared" si="39"/>
        <v>45.743753647228822</v>
      </c>
      <c r="CB50" s="22">
        <f t="shared" si="10"/>
        <v>396.47257093559028</v>
      </c>
      <c r="CC50" s="62">
        <f t="shared" si="11"/>
        <v>689.80590426892354</v>
      </c>
      <c r="CD50" s="62">
        <f ca="1">AVERAGE(OFFSET($CC$3,0,0,'Données projet'!$E$12+1,1))-AVERAGE(OFFSET($H$3,0,0,'Données projet'!$E$12+1,1))</f>
        <v>554.06253050955502</v>
      </c>
      <c r="CE50" s="62">
        <f t="shared" si="40"/>
        <v>269.71949336355789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10.375</v>
      </c>
      <c r="CT50" s="13">
        <f>IF('Données projet'!$A$140&gt;35,CT49+CS50-DB49,IF(A50&lt;'Données projet'!$A$140,$CQ$205^A50,IF(A50='Données projet'!$A$140,'Données projet'!$B$140,CT49+CS50-DB49)))</f>
        <v>218.12499999999994</v>
      </c>
      <c r="CU50" s="18">
        <f>CT50*VLOOKUP('Données projet'!$B$13,Paramètres!$A$1:$I$89,3,0)*VLOOKUP('Données projet'!$B$13,Paramètres!$A$1:$I$89,5,0)</f>
        <v>170.13749999999996</v>
      </c>
      <c r="CV50" s="14">
        <f t="shared" si="41"/>
        <v>43.120817562072411</v>
      </c>
      <c r="CW50" s="22">
        <f t="shared" si="13"/>
        <v>371.42490308727605</v>
      </c>
      <c r="CX50" s="62">
        <f t="shared" si="14"/>
        <v>664.75823642060936</v>
      </c>
      <c r="CY50" s="62">
        <f ca="1">AVERAGE(OFFSET($CX$3,0,0,'Données projet'!$E$13+1,1))-AVERAGE(OFFSET($H$3,0,0,'Données projet'!$E$13+1,1))</f>
        <v>292.21364130214391</v>
      </c>
      <c r="CZ50" s="62">
        <f t="shared" si="42"/>
        <v>283.48738729114024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6.2820512820512819</v>
      </c>
      <c r="DO50" s="13">
        <f>IF('Données projet'!$A$166&gt;35,DO49+DN50-DW49,IF(A50&lt;'Données projet'!$A$166,$DL$205^A50,IF(A50='Données projet'!$A$166,'Données projet'!$B$166,DO49+DN50-DW49)))</f>
        <v>199.10256410256409</v>
      </c>
      <c r="DP50" s="18">
        <f>DO50*VLOOKUP('Données projet'!$B$14,Paramètres!$A$1:$I$89,3,0)*VLOOKUP('Données projet'!$B$14,Paramètres!$A$1:$I$89,5,0)</f>
        <v>189.46600000000001</v>
      </c>
      <c r="DQ50" s="14">
        <f t="shared" si="43"/>
        <v>47.421873701491535</v>
      </c>
      <c r="DR50" s="22">
        <f t="shared" si="16"/>
        <v>412.57971336343115</v>
      </c>
      <c r="DS50" s="62">
        <f t="shared" si="17"/>
        <v>705.91304669676447</v>
      </c>
      <c r="DT50" s="62">
        <f ca="1">AVERAGE(OFFSET($DS$3,0,0,'Données projet'!$E$14+1,1))-AVERAGE(OFFSET($H$3,0,0,'Données projet'!$E$14+1,1))</f>
        <v>427.47603885390191</v>
      </c>
      <c r="DU50" s="62">
        <f t="shared" si="44"/>
        <v>350.88664394632116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8.1999999999999993</v>
      </c>
      <c r="EJ50" s="13">
        <f>IF('Données projet'!$A$192&gt;35,EJ49+EI50-ER49,IF(A50&lt;'Données projet'!$A$192,$EG$205^A50,IF(A50='Données projet'!$A$192,'Données projet'!$B$192,EJ49+EI50-ER49)))</f>
        <v>174.40000000000003</v>
      </c>
      <c r="EK50" s="18">
        <f>EJ50*VLOOKUP('Données projet'!$B$15,Paramètres!$A$1:$I$89,3,0)*VLOOKUP('Données projet'!$B$15,Paramètres!$A$1:$I$89,5,0)</f>
        <v>168.67968000000002</v>
      </c>
      <c r="EL50" s="14">
        <f t="shared" si="45"/>
        <v>42.794181774227013</v>
      </c>
      <c r="EM50" s="22">
        <f t="shared" si="19"/>
        <v>368.3169759234454</v>
      </c>
      <c r="EN50" s="62">
        <f t="shared" si="20"/>
        <v>661.65030925677866</v>
      </c>
      <c r="EO50" s="62">
        <f ca="1">AVERAGE(OFFSET($EN$3,0,0,'Données projet'!$E$15+1,1))-AVERAGE(OFFSET($H$3,0,0,'Données projet'!$E$15+1,1))</f>
        <v>455.50822833641354</v>
      </c>
      <c r="EP50" s="62">
        <f t="shared" si="46"/>
        <v>261.14722581688039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7.4</v>
      </c>
      <c r="FE50" s="13">
        <f>IF('Données projet'!$A$218&gt;35,FE49+FD50-FM49,IF(A50&lt;'Données projet'!$A$218,$FB$205^A50,IF(A50='Données projet'!$A$218,'Données projet'!$B$218,FE49+FD50-FM49)))</f>
        <v>212.80000000000007</v>
      </c>
      <c r="FF50" s="18">
        <f>FE50*VLOOKUP('Données projet'!$B$16,Paramètres!$A$1:$I$89,3,0)*VLOOKUP('Données projet'!$B$16,Paramètres!$A$1:$I$89,5,0)</f>
        <v>185.90208000000007</v>
      </c>
      <c r="FG50" s="14">
        <f t="shared" si="47"/>
        <v>46.632814435744649</v>
      </c>
      <c r="FH50" s="22">
        <f t="shared" si="22"/>
        <v>404.99827447558869</v>
      </c>
      <c r="FI50" s="62">
        <f t="shared" si="23"/>
        <v>698.33160780892194</v>
      </c>
      <c r="FJ50" s="62">
        <f ca="1">AVERAGE(OFFSET($FI$3,0,0,'Données projet'!$E$16+1,1))-AVERAGE(OFFSET($H$3,0,0,'Données projet'!$E$16+1,1))</f>
        <v>369.34989412920129</v>
      </c>
      <c r="FK50" s="62">
        <f t="shared" si="48"/>
        <v>371.26234252426553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0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>
        <f>FZ50*VLOOKUP('Données projet'!$B$17,Paramètres!$A$1:$I$89,3,0)*VLOOKUP('Données projet'!$B$17,Paramètres!$A$1:$I$89,5,0)</f>
        <v>0</v>
      </c>
      <c r="GB50" s="14" t="e">
        <f t="shared" si="49"/>
        <v>#NUM!</v>
      </c>
      <c r="GC50" s="22" t="e">
        <f t="shared" si="25"/>
        <v>#NUM!</v>
      </c>
      <c r="GD50" s="62" t="e">
        <f t="shared" si="26"/>
        <v>#NUM!</v>
      </c>
      <c r="GE50" s="62">
        <f ca="1">AVERAGE(OFFSET($GD$3,0,0,'Données projet'!$E$17+1,1))-AVERAGE(OFFSET($H$3,0,0,'Données projet'!$E$17+1,1))</f>
        <v>324.4489531703187</v>
      </c>
      <c r="GF50" s="62">
        <f t="shared" si="50"/>
        <v>446.55019360848706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projet'!$B$17,Paramètres!$A$1:$I$89,3,0)*0.475*44/12</f>
        <v>0</v>
      </c>
      <c r="GM50" s="23">
        <f>EXP(-LN(2)/25)*GM49+(1-EXP(-LN(2)/25))/(LN(2)/25)*Calculateur!GH50*Calculateur!GJ50*VLOOKUP('Données projet'!$B$17,Paramètres!$A$1:$I$89,3,0)*0.475*44/12</f>
        <v>0</v>
      </c>
      <c r="GN50" s="23">
        <f>EXP(-LN(2)/2)*GN49+(1-EXP(-LN(2)/2))/(LN(2)/2)*GH50*GK50*VLOOKUP('Données projet'!$B$17,Paramètres!$A$1:$I$89,3,0)*0.475*44/12</f>
        <v>0</v>
      </c>
      <c r="GO50" s="23">
        <f t="shared" si="27"/>
        <v>0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6.2820512820512819</v>
      </c>
      <c r="GU50" s="13">
        <f>IF('Données projet'!$A$270&gt;35,GU49+GT50-HC49,IF(A50&lt;'Données projet'!$A$270,$GR$205^A50,IF(A50='Données projet'!$A$270,'Données projet'!$B$270,GU49+GT50-HC49)))</f>
        <v>202.94871794871796</v>
      </c>
      <c r="GV50" s="18">
        <f>GU50*VLOOKUP('Données projet'!$B$18,Paramètres!$A$1:$I$89,3,0)*VLOOKUP('Données projet'!$B$18,Paramètres!$A$1:$I$89,5,0)</f>
        <v>136.13800000000001</v>
      </c>
      <c r="GW50" s="14">
        <f t="shared" si="51"/>
        <v>35.410840305135217</v>
      </c>
      <c r="GX50" s="22">
        <f t="shared" si="28"/>
        <v>298.78089686477716</v>
      </c>
      <c r="GY50" s="62">
        <f t="shared" si="29"/>
        <v>592.11423019811048</v>
      </c>
      <c r="GZ50" s="62">
        <f ca="1">AVERAGE(OFFSET($GY$3,0,0,'Données projet'!$E$18+1,1))-AVERAGE(OFFSET($H$3,0,0,'Données projet'!$E$18+1,1))</f>
        <v>312.06797204903796</v>
      </c>
      <c r="HA50" s="62">
        <f t="shared" si="52"/>
        <v>258.20189001775151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>
        <f>EXP(-LN(2)/35)*HG49+(1-EXP(-LN(2)/35))/(LN(2)/35)*HC50*HD50*VLOOKUP('Données projet'!$B$18,Paramètres!$A$1:$I$89,3,0)*0.475*44/12</f>
        <v>0</v>
      </c>
      <c r="HH50" s="23">
        <f>EXP(-LN(2)/25)*HH49+(1-EXP(-LN(2)/25))/(LN(2)/25)*Calculateur!HC50*Calculateur!HE50*VLOOKUP('Données projet'!$B$18,Paramètres!$A$1:$I$89,3,0)*0.475*44/12</f>
        <v>0</v>
      </c>
      <c r="HI50" s="23">
        <f>EXP(-LN(2)/2)*HI49+(1-EXP(-LN(2)/2))/(LN(2)/2)*HC50*HF50*VLOOKUP('Données projet'!$B$18,Paramètres!$A$1:$I$89,3,0)*0.475*44/12</f>
        <v>0</v>
      </c>
      <c r="HJ50" s="24">
        <f t="shared" si="30"/>
        <v>0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</v>
      </c>
      <c r="N51" s="14">
        <f>IF('Données projet'!$A$36&gt;35,N50+M51-V50,IF(A51&lt;'Données projet'!$A$36,$K$205^A51,IF(A51='Données projet'!$A$36,'Données projet'!$B$36,N50+M51-V50)))</f>
        <v>237</v>
      </c>
      <c r="O51" s="14">
        <f>N51*VLOOKUP('Données projet'!$B$9,Paramètres!$A$1:$I$89,3,0)*VLOOKUP('Données projet'!$B$9,Paramètres!$A$1:$I$89,5,0)</f>
        <v>214.43759999999997</v>
      </c>
      <c r="P51" s="14">
        <f t="shared" si="33"/>
        <v>52.904129603372375</v>
      </c>
      <c r="Q51" s="22">
        <f t="shared" si="53"/>
        <v>465.62017905920681</v>
      </c>
      <c r="R51" s="62">
        <f t="shared" si="0"/>
        <v>758.95351239254012</v>
      </c>
      <c r="S51" s="62">
        <f ca="1">AVERAGE(OFFSET($R$3,0,0,'Données projet'!$E$9+1,1))-AVERAGE(OFFSET($H$3,0,0,'Données projet'!$E$9+1,1))</f>
        <v>512.84819850818667</v>
      </c>
      <c r="T51" s="62">
        <f t="shared" si="34"/>
        <v>332.61387922152159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8.5399999999999974</v>
      </c>
      <c r="AI51" s="14">
        <f>IF('Données projet'!$A$62&gt;35,AI50+AH51-AQ50,IF(A51&lt;'Données projet'!$A$62,$AF$205^A51,IF(A51='Données projet'!$A$62,'Données projet'!$B$62,AI50+AH51-AQ50)))</f>
        <v>267.81999999999988</v>
      </c>
      <c r="AJ51" s="14">
        <f>AI51*VLOOKUP('Données projet'!$B$10,Paramètres!$A$1:$I$89,3,0)*VLOOKUP('Données projet'!$B$10,Paramètres!$A$1:$I$89,5,0)</f>
        <v>196.36562399999991</v>
      </c>
      <c r="AK51" s="14">
        <f t="shared" si="35"/>
        <v>48.944591379063773</v>
      </c>
      <c r="AL51" s="22">
        <f t="shared" si="4"/>
        <v>427.24862511853593</v>
      </c>
      <c r="AM51" s="62">
        <f t="shared" si="5"/>
        <v>720.58195845186924</v>
      </c>
      <c r="AN51" s="62">
        <f ca="1">AVERAGE(OFFSET($AM$3,0,0,'Données projet'!$E$10+1,1))-AVERAGE(OFFSET($H$3,0,0,'Données projet'!$E$10+1,1))</f>
        <v>344.45199703750711</v>
      </c>
      <c r="AO51" s="62">
        <f t="shared" si="36"/>
        <v>376.41441893222185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11</v>
      </c>
      <c r="BD51" s="13">
        <f>IF('Données projet'!$A$88&gt;35,BD50+BC51-BL50,IF(A51&lt;'Données projet'!$A$88,$BA$205^A51,IF(A51='Données projet'!$A$88,'Données projet'!$B$88,BD50+BC51-BL50)))</f>
        <v>237</v>
      </c>
      <c r="BE51" s="14">
        <f>BD51*VLOOKUP('Données projet'!$B$11,Paramètres!$A$1:$I$89,3,0)*VLOOKUP('Données projet'!$B$11,Paramètres!$A$1:$I$89,5,0)</f>
        <v>240.31800000000001</v>
      </c>
      <c r="BF51" s="14">
        <f t="shared" si="37"/>
        <v>58.507944457766534</v>
      </c>
      <c r="BG51" s="22">
        <f t="shared" si="7"/>
        <v>520.45518659727668</v>
      </c>
      <c r="BH51" s="62">
        <f t="shared" si="8"/>
        <v>813.78851993060994</v>
      </c>
      <c r="BI51" s="62">
        <f ca="1">AVERAGE(OFFSET($BH$3,0,0,'Données projet'!$E$11+1,1))-AVERAGE(OFFSET($H$3,0,0,'Données projet'!$E$11+1,1))</f>
        <v>569.39473185784823</v>
      </c>
      <c r="BJ51" s="62">
        <f t="shared" si="38"/>
        <v>367.42881145517066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11</v>
      </c>
      <c r="BY51" s="13">
        <f>IF('Données projet'!$A$114&gt;35,BY50+BX51-CG50,IF(A51&lt;'Données projet'!$A$114,$BV$205^A51,IF(A51='Données projet'!$A$114,'Données projet'!$B$114,BY50+BX51-CG50)))</f>
        <v>223.00000000000003</v>
      </c>
      <c r="BZ51" s="14">
        <f>BY51*VLOOKUP('Données projet'!$B$12,Paramètres!$A$1:$I$89,3,0)*VLOOKUP('Données projet'!$B$12,Paramètres!$A$1:$I$89,5,0)</f>
        <v>191.33400000000003</v>
      </c>
      <c r="CA51" s="14">
        <f t="shared" si="39"/>
        <v>47.834761109304836</v>
      </c>
      <c r="CB51" s="22">
        <f t="shared" si="10"/>
        <v>416.55225893203925</v>
      </c>
      <c r="CC51" s="62">
        <f t="shared" si="11"/>
        <v>709.88559226537257</v>
      </c>
      <c r="CD51" s="62">
        <f ca="1">AVERAGE(OFFSET($CC$3,0,0,'Données projet'!$E$12+1,1))-AVERAGE(OFFSET($H$3,0,0,'Données projet'!$E$12+1,1))</f>
        <v>554.06253050955502</v>
      </c>
      <c r="CE51" s="62">
        <f t="shared" si="40"/>
        <v>269.71949336355789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10.375</v>
      </c>
      <c r="CT51" s="13">
        <f>IF('Données projet'!$A$140&gt;35,CT50+CS51-DB50,IF(A51&lt;'Données projet'!$A$140,$CQ$205^A51,IF(A51='Données projet'!$A$140,'Données projet'!$B$140,CT50+CS51-DB50)))</f>
        <v>228.49999999999994</v>
      </c>
      <c r="CU51" s="18">
        <f>CT51*VLOOKUP('Données projet'!$B$13,Paramètres!$A$1:$I$89,3,0)*VLOOKUP('Données projet'!$B$13,Paramètres!$A$1:$I$89,5,0)</f>
        <v>178.22999999999996</v>
      </c>
      <c r="CV51" s="14">
        <f t="shared" si="41"/>
        <v>44.928167580487852</v>
      </c>
      <c r="CW51" s="22">
        <f t="shared" si="13"/>
        <v>388.66714186934956</v>
      </c>
      <c r="CX51" s="62">
        <f t="shared" si="14"/>
        <v>682.00047520268288</v>
      </c>
      <c r="CY51" s="62">
        <f ca="1">AVERAGE(OFFSET($CX$3,0,0,'Données projet'!$E$13+1,1))-AVERAGE(OFFSET($H$3,0,0,'Données projet'!$E$13+1,1))</f>
        <v>292.21364130214391</v>
      </c>
      <c r="CZ51" s="62">
        <f t="shared" si="42"/>
        <v>283.48738729114024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6.2820512820512819</v>
      </c>
      <c r="DO51" s="13">
        <f>IF('Données projet'!$A$166&gt;35,DO50+DN51-DW50,IF(A51&lt;'Données projet'!$A$166,$DL$205^A51,IF(A51='Données projet'!$A$166,'Données projet'!$B$166,DO50+DN51-DW50)))</f>
        <v>205.38461538461536</v>
      </c>
      <c r="DP51" s="18">
        <f>DO51*VLOOKUP('Données projet'!$B$14,Paramètres!$A$1:$I$89,3,0)*VLOOKUP('Données projet'!$B$14,Paramètres!$A$1:$I$89,5,0)</f>
        <v>195.44399999999999</v>
      </c>
      <c r="DQ51" s="14">
        <f t="shared" si="43"/>
        <v>48.741557949917805</v>
      </c>
      <c r="DR51" s="22">
        <f t="shared" si="16"/>
        <v>425.28984676277349</v>
      </c>
      <c r="DS51" s="62">
        <f t="shared" si="17"/>
        <v>718.62318009610681</v>
      </c>
      <c r="DT51" s="62">
        <f ca="1">AVERAGE(OFFSET($DS$3,0,0,'Données projet'!$E$14+1,1))-AVERAGE(OFFSET($H$3,0,0,'Données projet'!$E$14+1,1))</f>
        <v>427.47603885390191</v>
      </c>
      <c r="DU51" s="62">
        <f t="shared" si="44"/>
        <v>350.88664394632116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8.1999999999999993</v>
      </c>
      <c r="EJ51" s="13">
        <f>IF('Données projet'!$A$192&gt;35,EJ50+EI51-ER50,IF(A51&lt;'Données projet'!$A$192,$EG$205^A51,IF(A51='Données projet'!$A$192,'Données projet'!$B$192,EJ50+EI51-ER50)))</f>
        <v>182.60000000000002</v>
      </c>
      <c r="EK51" s="18">
        <f>EJ51*VLOOKUP('Données projet'!$B$15,Paramètres!$A$1:$I$89,3,0)*VLOOKUP('Données projet'!$B$15,Paramètres!$A$1:$I$89,5,0)</f>
        <v>176.61072000000004</v>
      </c>
      <c r="EL51" s="14">
        <f t="shared" si="45"/>
        <v>44.56730162053563</v>
      </c>
      <c r="EM51" s="22">
        <f t="shared" si="19"/>
        <v>385.21838765576626</v>
      </c>
      <c r="EN51" s="62">
        <f t="shared" si="20"/>
        <v>678.55172098909952</v>
      </c>
      <c r="EO51" s="62">
        <f ca="1">AVERAGE(OFFSET($EN$3,0,0,'Données projet'!$E$15+1,1))-AVERAGE(OFFSET($H$3,0,0,'Données projet'!$E$15+1,1))</f>
        <v>455.50822833641354</v>
      </c>
      <c r="EP51" s="62">
        <f t="shared" si="46"/>
        <v>261.14722581688039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7.4</v>
      </c>
      <c r="FE51" s="13">
        <f>IF('Données projet'!$A$218&gt;35,FE50+FD51-FM50,IF(A51&lt;'Données projet'!$A$218,$FB$205^A51,IF(A51='Données projet'!$A$218,'Données projet'!$B$218,FE50+FD51-FM50)))</f>
        <v>220.20000000000007</v>
      </c>
      <c r="FF51" s="18">
        <f>FE51*VLOOKUP('Données projet'!$B$16,Paramètres!$A$1:$I$89,3,0)*VLOOKUP('Données projet'!$B$16,Paramètres!$A$1:$I$89,5,0)</f>
        <v>192.3667200000001</v>
      </c>
      <c r="FG51" s="14">
        <f t="shared" si="47"/>
        <v>48.062823450978136</v>
      </c>
      <c r="FH51" s="22">
        <f t="shared" si="22"/>
        <v>418.74812151045376</v>
      </c>
      <c r="FI51" s="62">
        <f t="shared" si="23"/>
        <v>712.08145484378701</v>
      </c>
      <c r="FJ51" s="62">
        <f ca="1">AVERAGE(OFFSET($FI$3,0,0,'Données projet'!$E$16+1,1))-AVERAGE(OFFSET($H$3,0,0,'Données projet'!$E$16+1,1))</f>
        <v>369.34989412920129</v>
      </c>
      <c r="FK51" s="62">
        <f t="shared" si="48"/>
        <v>371.26234252426553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0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>
        <f>FZ51*VLOOKUP('Données projet'!$B$17,Paramètres!$A$1:$I$89,3,0)*VLOOKUP('Données projet'!$B$17,Paramètres!$A$1:$I$89,5,0)</f>
        <v>0</v>
      </c>
      <c r="GB51" s="14" t="e">
        <f t="shared" si="49"/>
        <v>#NUM!</v>
      </c>
      <c r="GC51" s="22" t="e">
        <f t="shared" si="25"/>
        <v>#NUM!</v>
      </c>
      <c r="GD51" s="62" t="e">
        <f t="shared" si="26"/>
        <v>#NUM!</v>
      </c>
      <c r="GE51" s="62">
        <f ca="1">AVERAGE(OFFSET($GD$3,0,0,'Données projet'!$E$17+1,1))-AVERAGE(OFFSET($H$3,0,0,'Données projet'!$E$17+1,1))</f>
        <v>324.4489531703187</v>
      </c>
      <c r="GF51" s="62">
        <f t="shared" si="50"/>
        <v>446.55019360848706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projet'!$B$17,Paramètres!$A$1:$I$89,3,0)*0.475*44/12</f>
        <v>0</v>
      </c>
      <c r="GM51" s="23">
        <f>EXP(-LN(2)/25)*GM50+(1-EXP(-LN(2)/25))/(LN(2)/25)*Calculateur!GH51*Calculateur!GJ51*VLOOKUP('Données projet'!$B$17,Paramètres!$A$1:$I$89,3,0)*0.475*44/12</f>
        <v>0</v>
      </c>
      <c r="GN51" s="23">
        <f>EXP(-LN(2)/2)*GN50+(1-EXP(-LN(2)/2))/(LN(2)/2)*GH51*GK51*VLOOKUP('Données projet'!$B$17,Paramètres!$A$1:$I$89,3,0)*0.475*44/12</f>
        <v>0</v>
      </c>
      <c r="GO51" s="23">
        <f t="shared" si="27"/>
        <v>0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6.2820512820512819</v>
      </c>
      <c r="GU51" s="13">
        <f>IF('Données projet'!$A$270&gt;35,GU50+GT51-HC50,IF(A51&lt;'Données projet'!$A$270,$GR$205^A51,IF(A51='Données projet'!$A$270,'Données projet'!$B$270,GU50+GT51-HC50)))</f>
        <v>209.23076923076923</v>
      </c>
      <c r="GV51" s="18">
        <f>GU51*VLOOKUP('Données projet'!$B$18,Paramètres!$A$1:$I$89,3,0)*VLOOKUP('Données projet'!$B$18,Paramètres!$A$1:$I$89,5,0)</f>
        <v>140.352</v>
      </c>
      <c r="GW51" s="14">
        <f t="shared" si="51"/>
        <v>36.377631963176114</v>
      </c>
      <c r="GX51" s="22">
        <f t="shared" si="28"/>
        <v>307.80410900253173</v>
      </c>
      <c r="GY51" s="62">
        <f t="shared" si="29"/>
        <v>601.13744233586499</v>
      </c>
      <c r="GZ51" s="62">
        <f ca="1">AVERAGE(OFFSET($GY$3,0,0,'Données projet'!$E$18+1,1))-AVERAGE(OFFSET($H$3,0,0,'Données projet'!$E$18+1,1))</f>
        <v>312.06797204903796</v>
      </c>
      <c r="HA51" s="62">
        <f t="shared" si="52"/>
        <v>258.20189001775151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>
        <f>EXP(-LN(2)/35)*HG50+(1-EXP(-LN(2)/35))/(LN(2)/35)*HC51*HD51*VLOOKUP('Données projet'!$B$18,Paramètres!$A$1:$I$89,3,0)*0.475*44/12</f>
        <v>0</v>
      </c>
      <c r="HH51" s="23">
        <f>EXP(-LN(2)/25)*HH50+(1-EXP(-LN(2)/25))/(LN(2)/25)*Calculateur!HC51*Calculateur!HE51*VLOOKUP('Données projet'!$B$18,Paramètres!$A$1:$I$89,3,0)*0.475*44/12</f>
        <v>0</v>
      </c>
      <c r="HI51" s="23">
        <f>EXP(-LN(2)/2)*HI50+(1-EXP(-LN(2)/2))/(LN(2)/2)*HC51*HF51*VLOOKUP('Données projet'!$B$18,Paramètres!$A$1:$I$89,3,0)*0.475*44/12</f>
        <v>0</v>
      </c>
      <c r="HJ51" s="24">
        <f t="shared" si="30"/>
        <v>0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</v>
      </c>
      <c r="N52" s="14">
        <f>IF('Données projet'!$A$36&gt;35,N51+M52-V51,IF(A52&lt;'Données projet'!$A$36,$K$205^A52,IF(A52='Données projet'!$A$36,'Données projet'!$B$36,N51+M52-V51)))</f>
        <v>248</v>
      </c>
      <c r="O52" s="14">
        <f>N52*VLOOKUP('Données projet'!$B$9,Paramètres!$A$1:$I$89,3,0)*VLOOKUP('Données projet'!$B$9,Paramètres!$A$1:$I$89,5,0)</f>
        <v>224.3904</v>
      </c>
      <c r="P52" s="14">
        <f t="shared" si="33"/>
        <v>55.068017311015858</v>
      </c>
      <c r="Q52" s="22">
        <f t="shared" si="53"/>
        <v>486.72341015001922</v>
      </c>
      <c r="R52" s="62">
        <f t="shared" si="0"/>
        <v>780.05674348335253</v>
      </c>
      <c r="S52" s="62">
        <f ca="1">AVERAGE(OFFSET($R$3,0,0,'Données projet'!$E$9+1,1))-AVERAGE(OFFSET($H$3,0,0,'Données projet'!$E$9+1,1))</f>
        <v>512.84819850818667</v>
      </c>
      <c r="T52" s="62">
        <f t="shared" si="34"/>
        <v>332.61387922152159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8.5399999999999974</v>
      </c>
      <c r="AI52" s="14">
        <f>IF('Données projet'!$A$62&gt;35,AI51+AH52-AQ51,IF(A52&lt;'Données projet'!$A$62,$AF$205^A52,IF(A52='Données projet'!$A$62,'Données projet'!$B$62,AI51+AH52-AQ51)))</f>
        <v>276.3599999999999</v>
      </c>
      <c r="AJ52" s="14">
        <f>AI52*VLOOKUP('Données projet'!$B$10,Paramètres!$A$1:$I$89,3,0)*VLOOKUP('Données projet'!$B$10,Paramètres!$A$1:$I$89,5,0)</f>
        <v>202.62715199999994</v>
      </c>
      <c r="AK52" s="14">
        <f t="shared" si="35"/>
        <v>50.321096962872829</v>
      </c>
      <c r="AL52" s="22">
        <f t="shared" si="4"/>
        <v>440.55153361033672</v>
      </c>
      <c r="AM52" s="62">
        <f t="shared" si="5"/>
        <v>733.88486694366998</v>
      </c>
      <c r="AN52" s="62">
        <f ca="1">AVERAGE(OFFSET($AM$3,0,0,'Données projet'!$E$10+1,1))-AVERAGE(OFFSET($H$3,0,0,'Données projet'!$E$10+1,1))</f>
        <v>344.45199703750711</v>
      </c>
      <c r="AO52" s="62">
        <f t="shared" si="36"/>
        <v>376.41441893222185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11</v>
      </c>
      <c r="BD52" s="13">
        <f>IF('Données projet'!$A$88&gt;35,BD51+BC52-BL51,IF(A52&lt;'Données projet'!$A$88,$BA$205^A52,IF(A52='Données projet'!$A$88,'Données projet'!$B$88,BD51+BC52-BL51)))</f>
        <v>248</v>
      </c>
      <c r="BE52" s="14">
        <f>BD52*VLOOKUP('Données projet'!$B$11,Paramètres!$A$1:$I$89,3,0)*VLOOKUP('Données projet'!$B$11,Paramètres!$A$1:$I$89,5,0)</f>
        <v>251.47200000000004</v>
      </c>
      <c r="BF52" s="14">
        <f t="shared" si="37"/>
        <v>60.901039718208651</v>
      </c>
      <c r="BG52" s="22">
        <f t="shared" si="7"/>
        <v>544.0497108425468</v>
      </c>
      <c r="BH52" s="62">
        <f t="shared" si="8"/>
        <v>837.38304417588006</v>
      </c>
      <c r="BI52" s="62">
        <f ca="1">AVERAGE(OFFSET($BH$3,0,0,'Données projet'!$E$11+1,1))-AVERAGE(OFFSET($H$3,0,0,'Données projet'!$E$11+1,1))</f>
        <v>569.39473185784823</v>
      </c>
      <c r="BJ52" s="62">
        <f t="shared" si="38"/>
        <v>367.42881145517066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11</v>
      </c>
      <c r="BY52" s="13">
        <f>IF('Données projet'!$A$114&gt;35,BY51+BX52-CG51,IF(A52&lt;'Données projet'!$A$114,$BV$205^A52,IF(A52='Données projet'!$A$114,'Données projet'!$B$114,BY51+BX52-CG51)))</f>
        <v>234.00000000000003</v>
      </c>
      <c r="BZ52" s="14">
        <f>BY52*VLOOKUP('Données projet'!$B$12,Paramètres!$A$1:$I$89,3,0)*VLOOKUP('Données projet'!$B$12,Paramètres!$A$1:$I$89,5,0)</f>
        <v>200.77200000000002</v>
      </c>
      <c r="CA52" s="14">
        <f t="shared" si="39"/>
        <v>49.913791898945412</v>
      </c>
      <c r="CB52" s="22">
        <f t="shared" si="10"/>
        <v>436.61108755732994</v>
      </c>
      <c r="CC52" s="62">
        <f t="shared" si="11"/>
        <v>729.9444208906632</v>
      </c>
      <c r="CD52" s="62">
        <f ca="1">AVERAGE(OFFSET($CC$3,0,0,'Données projet'!$E$12+1,1))-AVERAGE(OFFSET($H$3,0,0,'Données projet'!$E$12+1,1))</f>
        <v>554.06253050955502</v>
      </c>
      <c r="CE52" s="62">
        <f t="shared" si="40"/>
        <v>269.71949336355789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10.375</v>
      </c>
      <c r="CT52" s="13">
        <f>IF('Données projet'!$A$140&gt;35,CT51+CS52-DB51,IF(A52&lt;'Données projet'!$A$140,$CQ$205^A52,IF(A52='Données projet'!$A$140,'Données projet'!$B$140,CT51+CS52-DB51)))</f>
        <v>238.87499999999994</v>
      </c>
      <c r="CU52" s="18">
        <f>CT52*VLOOKUP('Données projet'!$B$13,Paramètres!$A$1:$I$89,3,0)*VLOOKUP('Données projet'!$B$13,Paramètres!$A$1:$I$89,5,0)</f>
        <v>186.32249999999996</v>
      </c>
      <c r="CV52" s="14">
        <f t="shared" si="41"/>
        <v>46.725987276254116</v>
      </c>
      <c r="CW52" s="22">
        <f t="shared" si="13"/>
        <v>405.89278200614257</v>
      </c>
      <c r="CX52" s="62">
        <f t="shared" si="14"/>
        <v>699.22611533947588</v>
      </c>
      <c r="CY52" s="62">
        <f ca="1">AVERAGE(OFFSET($CX$3,0,0,'Données projet'!$E$13+1,1))-AVERAGE(OFFSET($H$3,0,0,'Données projet'!$E$13+1,1))</f>
        <v>292.21364130214391</v>
      </c>
      <c r="CZ52" s="62">
        <f t="shared" si="42"/>
        <v>283.48738729114024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6.2820512820512819</v>
      </c>
      <c r="DO52" s="13">
        <f>IF('Données projet'!$A$166&gt;35,DO51+DN52-DW51,IF(A52&lt;'Données projet'!$A$166,$DL$205^A52,IF(A52='Données projet'!$A$166,'Données projet'!$B$166,DO51+DN52-DW51)))</f>
        <v>211.66666666666663</v>
      </c>
      <c r="DP52" s="18">
        <f>DO52*VLOOKUP('Données projet'!$B$14,Paramètres!$A$1:$I$89,3,0)*VLOOKUP('Données projet'!$B$14,Paramètres!$A$1:$I$89,5,0)</f>
        <v>201.42199999999997</v>
      </c>
      <c r="DQ52" s="14">
        <f t="shared" si="43"/>
        <v>50.056551308279687</v>
      </c>
      <c r="DR52" s="22">
        <f t="shared" si="16"/>
        <v>437.99181019525372</v>
      </c>
      <c r="DS52" s="62">
        <f t="shared" si="17"/>
        <v>731.32514352858698</v>
      </c>
      <c r="DT52" s="62">
        <f ca="1">AVERAGE(OFFSET($DS$3,0,0,'Données projet'!$E$14+1,1))-AVERAGE(OFFSET($H$3,0,0,'Données projet'!$E$14+1,1))</f>
        <v>427.47603885390191</v>
      </c>
      <c r="DU52" s="62">
        <f t="shared" si="44"/>
        <v>350.88664394632116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8.1999999999999993</v>
      </c>
      <c r="EJ52" s="13">
        <f>IF('Données projet'!$A$192&gt;35,EJ51+EI52-ER51,IF(A52&lt;'Données projet'!$A$192,$EG$205^A52,IF(A52='Données projet'!$A$192,'Données projet'!$B$192,EJ51+EI52-ER51)))</f>
        <v>190.8</v>
      </c>
      <c r="EK52" s="18">
        <f>EJ52*VLOOKUP('Données projet'!$B$15,Paramètres!$A$1:$I$89,3,0)*VLOOKUP('Données projet'!$B$15,Paramètres!$A$1:$I$89,5,0)</f>
        <v>184.54176000000001</v>
      </c>
      <c r="EL52" s="14">
        <f t="shared" si="45"/>
        <v>46.33117397953523</v>
      </c>
      <c r="EM52" s="22">
        <f t="shared" si="19"/>
        <v>402.10369334769052</v>
      </c>
      <c r="EN52" s="62">
        <f t="shared" si="20"/>
        <v>695.43702668102378</v>
      </c>
      <c r="EO52" s="62">
        <f ca="1">AVERAGE(OFFSET($EN$3,0,0,'Données projet'!$E$15+1,1))-AVERAGE(OFFSET($H$3,0,0,'Données projet'!$E$15+1,1))</f>
        <v>455.50822833641354</v>
      </c>
      <c r="EP52" s="62">
        <f t="shared" si="46"/>
        <v>261.14722581688039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7.4</v>
      </c>
      <c r="FE52" s="13">
        <f>IF('Données projet'!$A$218&gt;35,FE51+FD52-FM51,IF(A52&lt;'Données projet'!$A$218,$FB$205^A52,IF(A52='Données projet'!$A$218,'Données projet'!$B$218,FE51+FD52-FM51)))</f>
        <v>227.60000000000008</v>
      </c>
      <c r="FF52" s="18">
        <f>FE52*VLOOKUP('Données projet'!$B$16,Paramètres!$A$1:$I$89,3,0)*VLOOKUP('Données projet'!$B$16,Paramètres!$A$1:$I$89,5,0)</f>
        <v>198.8313600000001</v>
      </c>
      <c r="FG52" s="14">
        <f t="shared" si="47"/>
        <v>49.48724849224233</v>
      </c>
      <c r="FH52" s="22">
        <f t="shared" si="22"/>
        <v>432.48824312398892</v>
      </c>
      <c r="FI52" s="62">
        <f t="shared" si="23"/>
        <v>725.82157645732218</v>
      </c>
      <c r="FJ52" s="62">
        <f ca="1">AVERAGE(OFFSET($FI$3,0,0,'Données projet'!$E$16+1,1))-AVERAGE(OFFSET($H$3,0,0,'Données projet'!$E$16+1,1))</f>
        <v>369.34989412920129</v>
      </c>
      <c r="FK52" s="62">
        <f t="shared" si="48"/>
        <v>371.26234252426553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0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>
        <f>FZ52*VLOOKUP('Données projet'!$B$17,Paramètres!$A$1:$I$89,3,0)*VLOOKUP('Données projet'!$B$17,Paramètres!$A$1:$I$89,5,0)</f>
        <v>0</v>
      </c>
      <c r="GB52" s="14" t="e">
        <f t="shared" si="49"/>
        <v>#NUM!</v>
      </c>
      <c r="GC52" s="22" t="e">
        <f t="shared" si="25"/>
        <v>#NUM!</v>
      </c>
      <c r="GD52" s="62" t="e">
        <f t="shared" si="26"/>
        <v>#NUM!</v>
      </c>
      <c r="GE52" s="62">
        <f ca="1">AVERAGE(OFFSET($GD$3,0,0,'Données projet'!$E$17+1,1))-AVERAGE(OFFSET($H$3,0,0,'Données projet'!$E$17+1,1))</f>
        <v>324.4489531703187</v>
      </c>
      <c r="GF52" s="62">
        <f t="shared" si="50"/>
        <v>446.55019360848706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projet'!$B$17,Paramètres!$A$1:$I$89,3,0)*0.475*44/12</f>
        <v>0</v>
      </c>
      <c r="GM52" s="23">
        <f>EXP(-LN(2)/25)*GM51+(1-EXP(-LN(2)/25))/(LN(2)/25)*Calculateur!GH52*Calculateur!GJ52*VLOOKUP('Données projet'!$B$17,Paramètres!$A$1:$I$89,3,0)*0.475*44/12</f>
        <v>0</v>
      </c>
      <c r="GN52" s="23">
        <f>EXP(-LN(2)/2)*GN51+(1-EXP(-LN(2)/2))/(LN(2)/2)*GH52*GK52*VLOOKUP('Données projet'!$B$17,Paramètres!$A$1:$I$89,3,0)*0.475*44/12</f>
        <v>0</v>
      </c>
      <c r="GO52" s="23">
        <f t="shared" si="27"/>
        <v>0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6.2820512820512819</v>
      </c>
      <c r="GU52" s="13">
        <f>IF('Données projet'!$A$270&gt;35,GU51+GT52-HC51,IF(A52&lt;'Données projet'!$A$270,$GR$205^A52,IF(A52='Données projet'!$A$270,'Données projet'!$B$270,GU51+GT52-HC51)))</f>
        <v>215.5128205128205</v>
      </c>
      <c r="GV52" s="18">
        <f>GU52*VLOOKUP('Données projet'!$B$18,Paramètres!$A$1:$I$89,3,0)*VLOOKUP('Données projet'!$B$18,Paramètres!$A$1:$I$89,5,0)</f>
        <v>144.566</v>
      </c>
      <c r="GW52" s="14">
        <f t="shared" si="51"/>
        <v>37.341050188349875</v>
      </c>
      <c r="GX52" s="22">
        <f t="shared" si="28"/>
        <v>316.82144574470937</v>
      </c>
      <c r="GY52" s="62">
        <f t="shared" si="29"/>
        <v>610.15477907804268</v>
      </c>
      <c r="GZ52" s="62">
        <f ca="1">AVERAGE(OFFSET($GY$3,0,0,'Données projet'!$E$18+1,1))-AVERAGE(OFFSET($H$3,0,0,'Données projet'!$E$18+1,1))</f>
        <v>312.06797204903796</v>
      </c>
      <c r="HA52" s="62">
        <f t="shared" si="52"/>
        <v>258.20189001775151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>
        <f>EXP(-LN(2)/35)*HG51+(1-EXP(-LN(2)/35))/(LN(2)/35)*HC52*HD52*VLOOKUP('Données projet'!$B$18,Paramètres!$A$1:$I$89,3,0)*0.475*44/12</f>
        <v>0</v>
      </c>
      <c r="HH52" s="23">
        <f>EXP(-LN(2)/25)*HH51+(1-EXP(-LN(2)/25))/(LN(2)/25)*Calculateur!HC52*Calculateur!HE52*VLOOKUP('Données projet'!$B$18,Paramètres!$A$1:$I$89,3,0)*0.475*44/12</f>
        <v>0</v>
      </c>
      <c r="HI52" s="23">
        <f>EXP(-LN(2)/2)*HI51+(1-EXP(-LN(2)/2))/(LN(2)/2)*HC52*HF52*VLOOKUP('Données projet'!$B$18,Paramètres!$A$1:$I$89,3,0)*0.475*44/12</f>
        <v>0</v>
      </c>
      <c r="HJ52" s="24">
        <f t="shared" si="30"/>
        <v>0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259</v>
      </c>
      <c r="L53" s="13">
        <f>VLOOKUP(A53,'Données projet'!$A$35:$I$55,9,0)</f>
        <v>11</v>
      </c>
      <c r="M53" s="13">
        <f t="array" ref="M53">INDEX(L:L,MIN(IF(ISNUMBER(L53:L249),ROW(L53:L249),"")))</f>
        <v>11</v>
      </c>
      <c r="N53" s="14">
        <f>IF('Données projet'!$A$36&gt;35,N52+M53-V52,IF(A53&lt;'Données projet'!$A$36,$K$205^A53,IF(A53='Données projet'!$A$36,'Données projet'!$B$36,N52+M53-V52)))</f>
        <v>259</v>
      </c>
      <c r="O53" s="14">
        <f>N53*VLOOKUP('Données projet'!$B$9,Paramètres!$A$1:$I$89,3,0)*VLOOKUP('Données projet'!$B$9,Paramètres!$A$1:$I$89,5,0)</f>
        <v>234.3432</v>
      </c>
      <c r="P53" s="14">
        <f t="shared" si="33"/>
        <v>57.220758006491664</v>
      </c>
      <c r="Q53" s="22">
        <f t="shared" si="53"/>
        <v>507.80722686130622</v>
      </c>
      <c r="R53" s="62">
        <f t="shared" si="0"/>
        <v>801.14056019463953</v>
      </c>
      <c r="S53" s="62">
        <f ca="1">AVERAGE(OFFSET($R$3,0,0,'Données projet'!$E$9+1,1))-AVERAGE(OFFSET($H$3,0,0,'Données projet'!$E$9+1,1))</f>
        <v>512.84819850818667</v>
      </c>
      <c r="T53" s="62">
        <f t="shared" si="34"/>
        <v>332.61387922152159</v>
      </c>
      <c r="U53" s="16">
        <f>IF(ISNA(VLOOKUP(A53,'Données projet'!$A$35:$I$55,3,0)),0,VLOOKUP(A53,'Données projet'!$A$35:$I$55,3,0))</f>
        <v>4</v>
      </c>
      <c r="V53" s="16">
        <f>IF(ISNA(VLOOKUP(A53,'Données projet'!$A$35:$I$55,4,0)),0,VLOOKUP(A53,'Données projet'!$A$35:$I$55,4,0))</f>
        <v>56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284.89999999999998</v>
      </c>
      <c r="AG53" s="13">
        <f>VLOOKUP(A53,'Données projet'!$A$61:$I$81,9,0)</f>
        <v>8.5399999999999974</v>
      </c>
      <c r="AH53" s="13">
        <f t="array" ref="AH53">INDEX(AG:AG,MIN(IF(ISNUMBER(AG53:AG249),ROW(AG53:AG249),"")))</f>
        <v>8.5399999999999974</v>
      </c>
      <c r="AI53" s="14">
        <f>IF('Données projet'!$A$62&gt;35,AI52+AH53-AQ52,IF(A53&lt;'Données projet'!$A$62,$AF$205^A53,IF(A53='Données projet'!$A$62,'Données projet'!$B$62,AI52+AH53-AQ52)))</f>
        <v>284.89999999999992</v>
      </c>
      <c r="AJ53" s="14">
        <f>AI53*VLOOKUP('Données projet'!$B$10,Paramètres!$A$1:$I$89,3,0)*VLOOKUP('Données projet'!$B$10,Paramètres!$A$1:$I$89,5,0)</f>
        <v>208.88867999999994</v>
      </c>
      <c r="AK53" s="14">
        <f t="shared" si="35"/>
        <v>51.692659373318428</v>
      </c>
      <c r="AL53" s="22">
        <f t="shared" si="4"/>
        <v>453.84583274186275</v>
      </c>
      <c r="AM53" s="62">
        <f t="shared" si="5"/>
        <v>747.17916607519601</v>
      </c>
      <c r="AN53" s="62">
        <f ca="1">AVERAGE(OFFSET($AM$3,0,0,'Données projet'!$E$10+1,1))-AVERAGE(OFFSET($H$3,0,0,'Données projet'!$E$10+1,1))</f>
        <v>344.45199703750711</v>
      </c>
      <c r="AO53" s="62">
        <f t="shared" si="36"/>
        <v>376.41441893222185</v>
      </c>
      <c r="AP53" s="16">
        <f>IF(ISNA(VLOOKUP(A53,'Données projet'!$A$61:$I$81,3,0)),0,VLOOKUP(A53,'Données projet'!$A$61:$I$81,3,0))</f>
        <v>4</v>
      </c>
      <c r="AQ53" s="16">
        <f>IF(ISNA(VLOOKUP(A53,'Données projet'!$A$61:$I$81,4,0)),0,VLOOKUP(A53,'Données projet'!$A$61:$I$81,4,0))</f>
        <v>43.099999999999994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259</v>
      </c>
      <c r="BB53" s="13">
        <f>VLOOKUP(A53,'Données projet'!$A$87:$I$107,9,0)</f>
        <v>11</v>
      </c>
      <c r="BC53" s="13">
        <f t="array" ref="BC53">INDEX(BB:BB,MIN(IF(ISNUMBER(BB53:BB249),ROW(BB53:BB249),"")))</f>
        <v>11</v>
      </c>
      <c r="BD53" s="13">
        <f>IF('Données projet'!$A$88&gt;35,BD52+BC53-BL52,IF(A53&lt;'Données projet'!$A$88,$BA$205^A53,IF(A53='Données projet'!$A$88,'Données projet'!$B$88,BD52+BC53-BL52)))</f>
        <v>259</v>
      </c>
      <c r="BE53" s="14">
        <f>BD53*VLOOKUP('Données projet'!$B$11,Paramètres!$A$1:$I$89,3,0)*VLOOKUP('Données projet'!$B$11,Paramètres!$A$1:$I$89,5,0)</f>
        <v>262.62599999999998</v>
      </c>
      <c r="BF53" s="14">
        <f t="shared" si="37"/>
        <v>63.281807230823453</v>
      </c>
      <c r="BG53" s="22">
        <f t="shared" si="7"/>
        <v>567.62276426035078</v>
      </c>
      <c r="BH53" s="62">
        <f t="shared" si="8"/>
        <v>860.95609759368404</v>
      </c>
      <c r="BI53" s="62">
        <f ca="1">AVERAGE(OFFSET($BH$3,0,0,'Données projet'!$E$11+1,1))-AVERAGE(OFFSET($H$3,0,0,'Données projet'!$E$11+1,1))</f>
        <v>569.39473185784823</v>
      </c>
      <c r="BJ53" s="62">
        <f t="shared" si="38"/>
        <v>367.42881145517066</v>
      </c>
      <c r="BK53" s="16">
        <f>IF(ISNA(VLOOKUP(A53,'Données projet'!$A$87:$I$107,3,0)),0,VLOOKUP(A53,'Données projet'!$A$87:$I$107,3,0))</f>
        <v>4</v>
      </c>
      <c r="BL53" s="16">
        <f>IF(ISNA(VLOOKUP(A53,'Données projet'!$A$87:$I$107,4,0)),0,VLOOKUP(A53,'Données projet'!$A$87:$I$107,4,0))</f>
        <v>56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245</v>
      </c>
      <c r="BW53" s="13">
        <f>VLOOKUP(A53,'Données projet'!$A$113:$I$133,9,0)</f>
        <v>11</v>
      </c>
      <c r="BX53" s="13">
        <f t="array" ref="BX53">INDEX(BW:BW,MIN(IF(ISNUMBER(BW53:BW249),ROW(BW53:BW249),"")))</f>
        <v>11</v>
      </c>
      <c r="BY53" s="13">
        <f>IF('Données projet'!$A$114&gt;35,BY52+BX53-CG52,IF(A53&lt;'Données projet'!$A$114,$BV$205^A53,IF(A53='Données projet'!$A$114,'Données projet'!$B$114,BY52+BX53-CG52)))</f>
        <v>245.00000000000003</v>
      </c>
      <c r="BZ53" s="14">
        <f>BY53*VLOOKUP('Données projet'!$B$12,Paramètres!$A$1:$I$89,3,0)*VLOOKUP('Données projet'!$B$12,Paramètres!$A$1:$I$89,5,0)</f>
        <v>210.21000000000006</v>
      </c>
      <c r="CA53" s="14">
        <f t="shared" si="39"/>
        <v>51.981473312002848</v>
      </c>
      <c r="CB53" s="22">
        <f t="shared" si="10"/>
        <v>456.65014935173843</v>
      </c>
      <c r="CC53" s="62">
        <f t="shared" si="11"/>
        <v>749.98348268507175</v>
      </c>
      <c r="CD53" s="62">
        <f ca="1">AVERAGE(OFFSET($CC$3,0,0,'Données projet'!$E$12+1,1))-AVERAGE(OFFSET($H$3,0,0,'Données projet'!$E$12+1,1))</f>
        <v>554.06253050955502</v>
      </c>
      <c r="CE53" s="62">
        <f t="shared" si="40"/>
        <v>269.71949336355789</v>
      </c>
      <c r="CF53" s="16">
        <f>IF(ISNA(VLOOKUP(A53,'Données projet'!$A$113:$I$133,3,0)),0,VLOOKUP(A53,'Données projet'!$A$113:$I$133,3,0))</f>
        <v>3</v>
      </c>
      <c r="CG53" s="16">
        <f>IF(ISNA(VLOOKUP(A53,'Données projet'!$A$113:$I$133,4,0)),0,VLOOKUP(A53,'Données projet'!$A$113:$I$133,4,0))</f>
        <v>56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10.375</v>
      </c>
      <c r="CT53" s="13">
        <f>IF('Données projet'!$A$140&gt;35,CT52+CS53-DB52,IF(A53&lt;'Données projet'!$A$140,$CQ$205^A53,IF(A53='Données projet'!$A$140,'Données projet'!$B$140,CT52+CS53-DB52)))</f>
        <v>249.24999999999994</v>
      </c>
      <c r="CU53" s="18">
        <f>CT53*VLOOKUP('Données projet'!$B$13,Paramètres!$A$1:$I$89,3,0)*VLOOKUP('Données projet'!$B$13,Paramètres!$A$1:$I$89,5,0)</f>
        <v>194.41499999999996</v>
      </c>
      <c r="CV53" s="14">
        <f t="shared" si="41"/>
        <v>48.514737888684969</v>
      </c>
      <c r="CW53" s="22">
        <f t="shared" si="13"/>
        <v>423.1026268227929</v>
      </c>
      <c r="CX53" s="62">
        <f t="shared" si="14"/>
        <v>716.43596015612616</v>
      </c>
      <c r="CY53" s="62">
        <f ca="1">AVERAGE(OFFSET($CX$3,0,0,'Données projet'!$E$13+1,1))-AVERAGE(OFFSET($H$3,0,0,'Données projet'!$E$13+1,1))</f>
        <v>292.21364130214391</v>
      </c>
      <c r="CZ53" s="62">
        <f t="shared" si="42"/>
        <v>283.48738729114024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217.94871794871793</v>
      </c>
      <c r="DM53" s="13">
        <f>VLOOKUP(A53,'Données projet'!$A$165:$I$185,9,0)</f>
        <v>6.2820512820512819</v>
      </c>
      <c r="DN53" s="13">
        <f t="array" ref="DN53">INDEX(DM:DM,MIN(IF(ISNUMBER(DM53:DM249),ROW(DM53:DM249),"")))</f>
        <v>6.2820512820512819</v>
      </c>
      <c r="DO53" s="13">
        <f>IF('Données projet'!$A$166&gt;35,DO52+DN53-DW52,IF(A53&lt;'Données projet'!$A$166,$DL$205^A53,IF(A53='Données projet'!$A$166,'Données projet'!$B$166,DO52+DN53-DW52)))</f>
        <v>217.9487179487179</v>
      </c>
      <c r="DP53" s="18">
        <f>DO53*VLOOKUP('Données projet'!$B$14,Paramètres!$A$1:$I$89,3,0)*VLOOKUP('Données projet'!$B$14,Paramètres!$A$1:$I$89,5,0)</f>
        <v>207.39999999999998</v>
      </c>
      <c r="DQ53" s="14">
        <f t="shared" si="43"/>
        <v>51.367008980763949</v>
      </c>
      <c r="DR53" s="22">
        <f t="shared" si="16"/>
        <v>450.68587397483049</v>
      </c>
      <c r="DS53" s="62">
        <f t="shared" si="17"/>
        <v>744.0192073081638</v>
      </c>
      <c r="DT53" s="62">
        <f ca="1">AVERAGE(OFFSET($DS$3,0,0,'Données projet'!$E$14+1,1))-AVERAGE(OFFSET($H$3,0,0,'Données projet'!$E$14+1,1))</f>
        <v>427.47603885390191</v>
      </c>
      <c r="DU53" s="62">
        <f t="shared" si="44"/>
        <v>350.88664394632116</v>
      </c>
      <c r="DV53" s="16">
        <f>IF(ISNA(VLOOKUP(A53,'Données projet'!$A$165:$I$185,3,0)),0,VLOOKUP(A53,'Données projet'!$A$165:$I$185,3,0))</f>
        <v>4</v>
      </c>
      <c r="DW53" s="16">
        <f>IF(ISNA(VLOOKUP(A53,'Données projet'!$A$165:$I$185,4,0)),0,VLOOKUP(A53,'Données projet'!$A$165:$I$185,4,0))</f>
        <v>37.179487179487175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199</v>
      </c>
      <c r="EH53" s="13">
        <f>VLOOKUP(A53,'Données projet'!$A$191:$I$211,9,0)</f>
        <v>8.1999999999999993</v>
      </c>
      <c r="EI53" s="13">
        <f t="array" ref="EI53">INDEX(EH:EH,MIN(IF(ISNUMBER(EH53:EH249),ROW(EH53:EH249),"")))</f>
        <v>8.1999999999999993</v>
      </c>
      <c r="EJ53" s="13">
        <f>IF('Données projet'!$A$192&gt;35,EJ52+EI53-ER52,IF(A53&lt;'Données projet'!$A$192,$EG$205^A53,IF(A53='Données projet'!$A$192,'Données projet'!$B$192,EJ52+EI53-ER52)))</f>
        <v>199</v>
      </c>
      <c r="EK53" s="18">
        <f>EJ53*VLOOKUP('Données projet'!$B$15,Paramètres!$A$1:$I$89,3,0)*VLOOKUP('Données projet'!$B$15,Paramètres!$A$1:$I$89,5,0)</f>
        <v>192.47280000000001</v>
      </c>
      <c r="EL53" s="14">
        <f t="shared" si="45"/>
        <v>48.086241710923829</v>
      </c>
      <c r="EM53" s="22">
        <f t="shared" si="19"/>
        <v>418.97366431319239</v>
      </c>
      <c r="EN53" s="62">
        <f t="shared" si="20"/>
        <v>712.3069976465257</v>
      </c>
      <c r="EO53" s="62">
        <f ca="1">AVERAGE(OFFSET($EN$3,0,0,'Données projet'!$E$15+1,1))-AVERAGE(OFFSET($H$3,0,0,'Données projet'!$E$15+1,1))</f>
        <v>455.50822833641354</v>
      </c>
      <c r="EP53" s="62">
        <f t="shared" si="46"/>
        <v>261.14722581688039</v>
      </c>
      <c r="EQ53" s="16">
        <f>IF(ISNA(VLOOKUP(A53,'Données projet'!$A$191:$I$211,3,0)),0,VLOOKUP(A53,'Données projet'!$A$191:$I$211,3,0))</f>
        <v>3</v>
      </c>
      <c r="ER53" s="16">
        <f>IF(ISNA(VLOOKUP(A53,'Données projet'!$A$191:$I$211,4,0)),0,VLOOKUP(A53,'Données projet'!$A$191:$I$211,4,0))</f>
        <v>42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>
        <f>VLOOKUP(A53,'Données projet'!$A$217:$I$237,2,0)</f>
        <v>235</v>
      </c>
      <c r="FC53" s="13">
        <f>VLOOKUP(A53,'Données projet'!$A$217:$I$237,9,0)</f>
        <v>7.4</v>
      </c>
      <c r="FD53" s="13">
        <f t="array" ref="FD53">INDEX(FC:FC,MIN(IF(ISNUMBER(FC53:FC249),ROW(FC53:FC249),"")))</f>
        <v>7.4</v>
      </c>
      <c r="FE53" s="13">
        <f>IF('Données projet'!$A$218&gt;35,FE52+FD53-FM52,IF(A53&lt;'Données projet'!$A$218,$FB$205^A53,IF(A53='Données projet'!$A$218,'Données projet'!$B$218,FE52+FD53-FM52)))</f>
        <v>235.00000000000009</v>
      </c>
      <c r="FF53" s="18">
        <f>FE53*VLOOKUP('Données projet'!$B$16,Paramètres!$A$1:$I$89,3,0)*VLOOKUP('Données projet'!$B$16,Paramètres!$A$1:$I$89,5,0)</f>
        <v>205.29600000000008</v>
      </c>
      <c r="FG53" s="14">
        <f t="shared" si="47"/>
        <v>50.906291934375396</v>
      </c>
      <c r="FH53" s="22">
        <f t="shared" si="22"/>
        <v>446.21899178570385</v>
      </c>
      <c r="FI53" s="62">
        <f t="shared" si="23"/>
        <v>739.55232511903716</v>
      </c>
      <c r="FJ53" s="62">
        <f ca="1">AVERAGE(OFFSET($FI$3,0,0,'Données projet'!$E$16+1,1))-AVERAGE(OFFSET($H$3,0,0,'Données projet'!$E$16+1,1))</f>
        <v>369.34989412920129</v>
      </c>
      <c r="FK53" s="62">
        <f t="shared" si="48"/>
        <v>371.26234252426553</v>
      </c>
      <c r="FL53" s="16">
        <f>IF(ISNA(VLOOKUP(A53,'Données projet'!$A$217:$I$237,3,0)),0,VLOOKUP(A53,'Données projet'!$A$217:$I$237,3,0))</f>
        <v>4</v>
      </c>
      <c r="FM53" s="16">
        <f>IF(ISNA(VLOOKUP(A53,'Données projet'!$A$217:$I$237,4,0)),0,VLOOKUP(A53,'Données projet'!$A$217:$I$237,4,0))</f>
        <v>50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0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>
        <f>FZ53*VLOOKUP('Données projet'!$B$17,Paramètres!$A$1:$I$89,3,0)*VLOOKUP('Données projet'!$B$17,Paramètres!$A$1:$I$89,5,0)</f>
        <v>0</v>
      </c>
      <c r="GB53" s="14" t="e">
        <f t="shared" si="49"/>
        <v>#NUM!</v>
      </c>
      <c r="GC53" s="22" t="e">
        <f t="shared" si="25"/>
        <v>#NUM!</v>
      </c>
      <c r="GD53" s="62" t="e">
        <f t="shared" si="26"/>
        <v>#NUM!</v>
      </c>
      <c r="GE53" s="62">
        <f ca="1">AVERAGE(OFFSET($GD$3,0,0,'Données projet'!$E$17+1,1))-AVERAGE(OFFSET($H$3,0,0,'Données projet'!$E$17+1,1))</f>
        <v>324.4489531703187</v>
      </c>
      <c r="GF53" s="62">
        <f t="shared" si="50"/>
        <v>446.55019360848706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projet'!$B$17,Paramètres!$A$1:$I$89,3,0)*0.475*44/12</f>
        <v>0</v>
      </c>
      <c r="GM53" s="23">
        <f>EXP(-LN(2)/25)*GM52+(1-EXP(-LN(2)/25))/(LN(2)/25)*Calculateur!GH53*Calculateur!GJ53*VLOOKUP('Données projet'!$B$17,Paramètres!$A$1:$I$89,3,0)*0.475*44/12</f>
        <v>0</v>
      </c>
      <c r="GN53" s="23">
        <f>EXP(-LN(2)/2)*GN52+(1-EXP(-LN(2)/2))/(LN(2)/2)*GH53*GK53*VLOOKUP('Données projet'!$B$17,Paramètres!$A$1:$I$89,3,0)*0.475*44/12</f>
        <v>0</v>
      </c>
      <c r="GO53" s="23">
        <f t="shared" si="27"/>
        <v>0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>
        <f>VLOOKUP(A53,'Données projet'!$A$269:$I$289,2,0)</f>
        <v>221.7948717948718</v>
      </c>
      <c r="GS53" s="13">
        <f>VLOOKUP(A53,'Données projet'!$A$269:$I$289,9,0)</f>
        <v>6.2820512820512819</v>
      </c>
      <c r="GT53" s="13">
        <f t="array" ref="GT53">INDEX(GS:GS,MIN(IF(ISNUMBER(GS53:GS249),ROW(GS53:GS249),"")))</f>
        <v>6.2820512820512819</v>
      </c>
      <c r="GU53" s="13">
        <f>IF('Données projet'!$A$270&gt;35,GU52+GT53-HC52,IF(A53&lt;'Données projet'!$A$270,$GR$205^A53,IF(A53='Données projet'!$A$270,'Données projet'!$B$270,GU52+GT53-HC52)))</f>
        <v>221.79487179487177</v>
      </c>
      <c r="GV53" s="18">
        <f>GU53*VLOOKUP('Données projet'!$B$18,Paramètres!$A$1:$I$89,3,0)*VLOOKUP('Données projet'!$B$18,Paramètres!$A$1:$I$89,5,0)</f>
        <v>148.78</v>
      </c>
      <c r="GW53" s="14">
        <f t="shared" si="51"/>
        <v>38.301204605347834</v>
      </c>
      <c r="GX53" s="22">
        <f t="shared" si="28"/>
        <v>325.8330980209808</v>
      </c>
      <c r="GY53" s="62">
        <f t="shared" si="29"/>
        <v>619.16643135431411</v>
      </c>
      <c r="GZ53" s="62">
        <f ca="1">AVERAGE(OFFSET($GY$3,0,0,'Données projet'!$E$18+1,1))-AVERAGE(OFFSET($H$3,0,0,'Données projet'!$E$18+1,1))</f>
        <v>312.06797204903796</v>
      </c>
      <c r="HA53" s="62">
        <f t="shared" si="52"/>
        <v>258.20189001775151</v>
      </c>
      <c r="HB53" s="16">
        <f>IF(ISNA(VLOOKUP(A53,'Données projet'!$A$269:$I$289,3,0)),0,VLOOKUP(A53,'Données projet'!$A$269:$I$289,3,0))</f>
        <v>4</v>
      </c>
      <c r="HC53" s="16">
        <f>IF(ISNA(VLOOKUP(A53,'Données projet'!$A$269:$I$289,4,0)),0,VLOOKUP(A53,'Données projet'!$A$269:$I$289,4,0))</f>
        <v>32.692307692307693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>
        <f>EXP(-LN(2)/35)*HG52+(1-EXP(-LN(2)/35))/(LN(2)/35)*HC53*HD53*VLOOKUP('Données projet'!$B$18,Paramètres!$A$1:$I$89,3,0)*0.475*44/12</f>
        <v>0</v>
      </c>
      <c r="HH53" s="23">
        <f>EXP(-LN(2)/25)*HH52+(1-EXP(-LN(2)/25))/(LN(2)/25)*Calculateur!HC53*Calculateur!HE53*VLOOKUP('Données projet'!$B$18,Paramètres!$A$1:$I$89,3,0)*0.475*44/12</f>
        <v>0</v>
      </c>
      <c r="HI53" s="23">
        <f>EXP(-LN(2)/2)*HI52+(1-EXP(-LN(2)/2))/(LN(2)/2)*HC53*HF53*VLOOKUP('Données projet'!$B$18,Paramètres!$A$1:$I$89,3,0)*0.475*44/12</f>
        <v>0</v>
      </c>
      <c r="HJ53" s="24">
        <f t="shared" si="30"/>
        <v>0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10.199999999999999</v>
      </c>
      <c r="N54" s="14">
        <f>IF('Données projet'!$A$36&gt;35,N53+M54-V53,IF(A54&lt;'Données projet'!$A$36,$K$205^A54,IF(A54='Données projet'!$A$36,'Données projet'!$B$36,N53+M54-V53)))</f>
        <v>213.2</v>
      </c>
      <c r="O54" s="14">
        <f>N54*VLOOKUP('Données projet'!$B$9,Paramètres!$A$1:$I$89,3,0)*VLOOKUP('Données projet'!$B$9,Paramètres!$A$1:$I$89,5,0)</f>
        <v>192.90335999999999</v>
      </c>
      <c r="P54" s="14">
        <f t="shared" si="33"/>
        <v>48.181276881765257</v>
      </c>
      <c r="Q54" s="22">
        <f t="shared" si="53"/>
        <v>419.8890759024078</v>
      </c>
      <c r="R54" s="62">
        <f t="shared" si="0"/>
        <v>713.22240923574111</v>
      </c>
      <c r="S54" s="62">
        <f ca="1">AVERAGE(OFFSET($R$3,0,0,'Données projet'!$E$9+1,1))-AVERAGE(OFFSET($H$3,0,0,'Données projet'!$E$9+1,1))</f>
        <v>512.84819850818667</v>
      </c>
      <c r="T54" s="62">
        <f t="shared" si="34"/>
        <v>332.61387922152159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7.3600000000000083</v>
      </c>
      <c r="AI54" s="14">
        <f>IF('Données projet'!$A$62&gt;35,AI53+AH54-AQ53,IF(A54&lt;'Données projet'!$A$62,$AF$205^A54,IF(A54='Données projet'!$A$62,'Données projet'!$B$62,AI53+AH54-AQ53)))</f>
        <v>249.15999999999994</v>
      </c>
      <c r="AJ54" s="14">
        <f>AI54*VLOOKUP('Données projet'!$B$10,Paramètres!$A$1:$I$89,3,0)*VLOOKUP('Données projet'!$B$10,Paramètres!$A$1:$I$89,5,0)</f>
        <v>182.68411199999994</v>
      </c>
      <c r="AK54" s="14">
        <f t="shared" si="35"/>
        <v>45.91883623040173</v>
      </c>
      <c r="AL54" s="22">
        <f t="shared" si="4"/>
        <v>398.15013483461621</v>
      </c>
      <c r="AM54" s="62">
        <f t="shared" si="5"/>
        <v>691.48346816794947</v>
      </c>
      <c r="AN54" s="62">
        <f ca="1">AVERAGE(OFFSET($AM$3,0,0,'Données projet'!$E$10+1,1))-AVERAGE(OFFSET($H$3,0,0,'Données projet'!$E$10+1,1))</f>
        <v>344.45199703750711</v>
      </c>
      <c r="AO54" s="62">
        <f t="shared" si="36"/>
        <v>376.41441893222185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10.199999999999999</v>
      </c>
      <c r="BD54" s="13">
        <f>IF('Données projet'!$A$88&gt;35,BD53+BC54-BL53,IF(A54&lt;'Données projet'!$A$88,$BA$205^A54,IF(A54='Données projet'!$A$88,'Données projet'!$B$88,BD53+BC54-BL53)))</f>
        <v>213.2</v>
      </c>
      <c r="BE54" s="14">
        <f>BD54*VLOOKUP('Données projet'!$B$11,Paramètres!$A$1:$I$89,3,0)*VLOOKUP('Données projet'!$B$11,Paramètres!$A$1:$I$89,5,0)</f>
        <v>216.1848</v>
      </c>
      <c r="BF54" s="14">
        <f t="shared" si="37"/>
        <v>53.284828478170375</v>
      </c>
      <c r="BG54" s="22">
        <f t="shared" si="7"/>
        <v>469.32626959947999</v>
      </c>
      <c r="BH54" s="62">
        <f t="shared" si="8"/>
        <v>762.6596029328133</v>
      </c>
      <c r="BI54" s="62">
        <f ca="1">AVERAGE(OFFSET($BH$3,0,0,'Données projet'!$E$11+1,1))-AVERAGE(OFFSET($H$3,0,0,'Données projet'!$E$11+1,1))</f>
        <v>569.39473185784823</v>
      </c>
      <c r="BJ54" s="62">
        <f t="shared" si="38"/>
        <v>367.42881145517066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11</v>
      </c>
      <c r="BY54" s="13">
        <f>IF('Données projet'!$A$114&gt;35,BY53+BX54-CG53,IF(A54&lt;'Données projet'!$A$114,$BV$205^A54,IF(A54='Données projet'!$A$114,'Données projet'!$B$114,BY53+BX54-CG53)))</f>
        <v>200</v>
      </c>
      <c r="BZ54" s="14">
        <f>BY54*VLOOKUP('Données projet'!$B$12,Paramètres!$A$1:$I$89,3,0)*VLOOKUP('Données projet'!$B$12,Paramètres!$A$1:$I$89,5,0)</f>
        <v>171.60000000000002</v>
      </c>
      <c r="CA54" s="14">
        <f t="shared" si="39"/>
        <v>43.44817475464852</v>
      </c>
      <c r="CB54" s="22">
        <f t="shared" si="10"/>
        <v>374.54223769767958</v>
      </c>
      <c r="CC54" s="62">
        <f t="shared" si="11"/>
        <v>667.8755710310129</v>
      </c>
      <c r="CD54" s="62">
        <f ca="1">AVERAGE(OFFSET($CC$3,0,0,'Données projet'!$E$12+1,1))-AVERAGE(OFFSET($H$3,0,0,'Données projet'!$E$12+1,1))</f>
        <v>554.06253050955502</v>
      </c>
      <c r="CE54" s="62">
        <f t="shared" si="40"/>
        <v>269.71949336355789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10.375</v>
      </c>
      <c r="CT54" s="13">
        <f>IF('Données projet'!$A$140&gt;35,CT53+CS54-DB53,IF(A54&lt;'Données projet'!$A$140,$CQ$205^A54,IF(A54='Données projet'!$A$140,'Données projet'!$B$140,CT53+CS54-DB53)))</f>
        <v>259.62499999999994</v>
      </c>
      <c r="CU54" s="18">
        <f>CT54*VLOOKUP('Données projet'!$B$13,Paramètres!$A$1:$I$89,3,0)*VLOOKUP('Données projet'!$B$13,Paramètres!$A$1:$I$89,5,0)</f>
        <v>202.50749999999996</v>
      </c>
      <c r="CV54" s="14">
        <f t="shared" si="41"/>
        <v>50.294840086606349</v>
      </c>
      <c r="CW54" s="22">
        <f t="shared" si="13"/>
        <v>440.29740898417259</v>
      </c>
      <c r="CX54" s="62">
        <f t="shared" si="14"/>
        <v>733.63074231750591</v>
      </c>
      <c r="CY54" s="62">
        <f ca="1">AVERAGE(OFFSET($CX$3,0,0,'Données projet'!$E$13+1,1))-AVERAGE(OFFSET($H$3,0,0,'Données projet'!$E$13+1,1))</f>
        <v>292.21364130214391</v>
      </c>
      <c r="CZ54" s="62">
        <f t="shared" si="42"/>
        <v>283.48738729114024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5.8974358974359005</v>
      </c>
      <c r="DO54" s="13">
        <f>IF('Données projet'!$A$166&gt;35,DO53+DN54-DW53,IF(A54&lt;'Données projet'!$A$166,$DL$205^A54,IF(A54='Données projet'!$A$166,'Données projet'!$B$166,DO53+DN54-DW53)))</f>
        <v>186.66666666666663</v>
      </c>
      <c r="DP54" s="18">
        <f>DO54*VLOOKUP('Données projet'!$B$14,Paramètres!$A$1:$I$89,3,0)*VLOOKUP('Données projet'!$B$14,Paramètres!$A$1:$I$89,5,0)</f>
        <v>177.63199999999998</v>
      </c>
      <c r="DQ54" s="14">
        <f t="shared" si="43"/>
        <v>44.794944431725291</v>
      </c>
      <c r="DR54" s="22">
        <f t="shared" si="16"/>
        <v>387.3935948852548</v>
      </c>
      <c r="DS54" s="62">
        <f t="shared" si="17"/>
        <v>680.72692821858811</v>
      </c>
      <c r="DT54" s="62">
        <f ca="1">AVERAGE(OFFSET($DS$3,0,0,'Données projet'!$E$14+1,1))-AVERAGE(OFFSET($H$3,0,0,'Données projet'!$E$14+1,1))</f>
        <v>427.47603885390191</v>
      </c>
      <c r="DU54" s="62">
        <f t="shared" si="44"/>
        <v>350.88664394632116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8</v>
      </c>
      <c r="EJ54" s="13">
        <f>IF('Données projet'!$A$192&gt;35,EJ53+EI54-ER53,IF(A54&lt;'Données projet'!$A$192,$EG$205^A54,IF(A54='Données projet'!$A$192,'Données projet'!$B$192,EJ53+EI54-ER53)))</f>
        <v>165</v>
      </c>
      <c r="EK54" s="18">
        <f>EJ54*VLOOKUP('Données projet'!$B$15,Paramètres!$A$1:$I$89,3,0)*VLOOKUP('Données projet'!$B$15,Paramètres!$A$1:$I$89,5,0)</f>
        <v>159.58799999999999</v>
      </c>
      <c r="EL54" s="14">
        <f t="shared" si="45"/>
        <v>40.74957371668588</v>
      </c>
      <c r="EM54" s="22">
        <f t="shared" si="19"/>
        <v>348.92127422322784</v>
      </c>
      <c r="EN54" s="62">
        <f t="shared" si="20"/>
        <v>642.25460755656115</v>
      </c>
      <c r="EO54" s="62">
        <f ca="1">AVERAGE(OFFSET($EN$3,0,0,'Données projet'!$E$15+1,1))-AVERAGE(OFFSET($H$3,0,0,'Données projet'!$E$15+1,1))</f>
        <v>455.50822833641354</v>
      </c>
      <c r="EP54" s="62">
        <f t="shared" si="46"/>
        <v>261.14722581688039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6.6</v>
      </c>
      <c r="FE54" s="13">
        <f>IF('Données projet'!$A$218&gt;35,FE53+FD54-FM53,IF(A54&lt;'Données projet'!$A$218,$FB$205^A54,IF(A54='Données projet'!$A$218,'Données projet'!$B$218,FE53+FD54-FM53)))</f>
        <v>191.60000000000008</v>
      </c>
      <c r="FF54" s="18">
        <f>FE54*VLOOKUP('Données projet'!$B$16,Paramètres!$A$1:$I$89,3,0)*VLOOKUP('Données projet'!$B$16,Paramètres!$A$1:$I$89,5,0)</f>
        <v>167.38176000000007</v>
      </c>
      <c r="FG54" s="14">
        <f t="shared" si="47"/>
        <v>42.503096259839239</v>
      </c>
      <c r="FH54" s="22">
        <f t="shared" si="22"/>
        <v>365.5494579858867</v>
      </c>
      <c r="FI54" s="62">
        <f t="shared" si="23"/>
        <v>658.88279131922002</v>
      </c>
      <c r="FJ54" s="62">
        <f ca="1">AVERAGE(OFFSET($FI$3,0,0,'Données projet'!$E$16+1,1))-AVERAGE(OFFSET($H$3,0,0,'Données projet'!$E$16+1,1))</f>
        <v>369.34989412920129</v>
      </c>
      <c r="FK54" s="62">
        <f t="shared" si="48"/>
        <v>371.26234252426553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0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>
        <f>FZ54*VLOOKUP('Données projet'!$B$17,Paramètres!$A$1:$I$89,3,0)*VLOOKUP('Données projet'!$B$17,Paramètres!$A$1:$I$89,5,0)</f>
        <v>0</v>
      </c>
      <c r="GB54" s="14" t="e">
        <f t="shared" si="49"/>
        <v>#NUM!</v>
      </c>
      <c r="GC54" s="22" t="e">
        <f t="shared" si="25"/>
        <v>#NUM!</v>
      </c>
      <c r="GD54" s="62" t="e">
        <f t="shared" si="26"/>
        <v>#NUM!</v>
      </c>
      <c r="GE54" s="62">
        <f ca="1">AVERAGE(OFFSET($GD$3,0,0,'Données projet'!$E$17+1,1))-AVERAGE(OFFSET($H$3,0,0,'Données projet'!$E$17+1,1))</f>
        <v>324.4489531703187</v>
      </c>
      <c r="GF54" s="62">
        <f t="shared" si="50"/>
        <v>446.55019360848706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projet'!$B$17,Paramètres!$A$1:$I$89,3,0)*0.475*44/12</f>
        <v>0</v>
      </c>
      <c r="GM54" s="23">
        <f>EXP(-LN(2)/25)*GM53+(1-EXP(-LN(2)/25))/(LN(2)/25)*Calculateur!GH54*Calculateur!GJ54*VLOOKUP('Données projet'!$B$17,Paramètres!$A$1:$I$89,3,0)*0.475*44/12</f>
        <v>0</v>
      </c>
      <c r="GN54" s="23">
        <f>EXP(-LN(2)/2)*GN53+(1-EXP(-LN(2)/2))/(LN(2)/2)*GH54*GK54*VLOOKUP('Données projet'!$B$17,Paramètres!$A$1:$I$89,3,0)*0.475*44/12</f>
        <v>0</v>
      </c>
      <c r="GO54" s="23">
        <f t="shared" si="27"/>
        <v>0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5.7692307692307683</v>
      </c>
      <c r="GU54" s="13">
        <f>IF('Données projet'!$A$270&gt;35,GU53+GT54-HC53,IF(A54&lt;'Données projet'!$A$270,$GR$205^A54,IF(A54='Données projet'!$A$270,'Données projet'!$B$270,GU53+GT54-HC53)))</f>
        <v>194.87179487179486</v>
      </c>
      <c r="GV54" s="18">
        <f>GU54*VLOOKUP('Données projet'!$B$18,Paramètres!$A$1:$I$89,3,0)*VLOOKUP('Données projet'!$B$18,Paramètres!$A$1:$I$89,5,0)</f>
        <v>130.72</v>
      </c>
      <c r="GW54" s="14">
        <f t="shared" si="51"/>
        <v>34.162676675108806</v>
      </c>
      <c r="GX54" s="22">
        <f t="shared" si="28"/>
        <v>287.17066187581446</v>
      </c>
      <c r="GY54" s="62">
        <f t="shared" si="29"/>
        <v>580.50399520914777</v>
      </c>
      <c r="GZ54" s="62">
        <f ca="1">AVERAGE(OFFSET($GY$3,0,0,'Données projet'!$E$18+1,1))-AVERAGE(OFFSET($H$3,0,0,'Données projet'!$E$18+1,1))</f>
        <v>312.06797204903796</v>
      </c>
      <c r="HA54" s="62">
        <f t="shared" si="52"/>
        <v>258.20189001775151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>
        <f>EXP(-LN(2)/35)*HG53+(1-EXP(-LN(2)/35))/(LN(2)/35)*HC54*HD54*VLOOKUP('Données projet'!$B$18,Paramètres!$A$1:$I$89,3,0)*0.475*44/12</f>
        <v>0</v>
      </c>
      <c r="HH54" s="23">
        <f>EXP(-LN(2)/25)*HH53+(1-EXP(-LN(2)/25))/(LN(2)/25)*Calculateur!HC54*Calculateur!HE54*VLOOKUP('Données projet'!$B$18,Paramètres!$A$1:$I$89,3,0)*0.475*44/12</f>
        <v>0</v>
      </c>
      <c r="HI54" s="23">
        <f>EXP(-LN(2)/2)*HI53+(1-EXP(-LN(2)/2))/(LN(2)/2)*HC54*HF54*VLOOKUP('Données projet'!$B$18,Paramètres!$A$1:$I$89,3,0)*0.475*44/12</f>
        <v>0</v>
      </c>
      <c r="HJ54" s="24">
        <f t="shared" si="30"/>
        <v>0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10.199999999999999</v>
      </c>
      <c r="N55" s="14">
        <f>IF('Données projet'!$A$36&gt;35,N54+M55-V54,IF(A55&lt;'Données projet'!$A$36,$K$205^A55,IF(A55='Données projet'!$A$36,'Données projet'!$B$36,N54+M55-V54)))</f>
        <v>223.39999999999998</v>
      </c>
      <c r="O55" s="14">
        <f>N55*VLOOKUP('Données projet'!$B$9,Paramètres!$A$1:$I$89,3,0)*VLOOKUP('Données projet'!$B$9,Paramètres!$A$1:$I$89,5,0)</f>
        <v>202.13231999999996</v>
      </c>
      <c r="P55" s="14">
        <f t="shared" si="33"/>
        <v>50.212497488959627</v>
      </c>
      <c r="Q55" s="22">
        <f t="shared" si="53"/>
        <v>439.50055712660463</v>
      </c>
      <c r="R55" s="62">
        <f t="shared" si="0"/>
        <v>732.83389045993795</v>
      </c>
      <c r="S55" s="62">
        <f ca="1">AVERAGE(OFFSET($R$3,0,0,'Données projet'!$E$9+1,1))-AVERAGE(OFFSET($H$3,0,0,'Données projet'!$E$9+1,1))</f>
        <v>512.84819850818667</v>
      </c>
      <c r="T55" s="62">
        <f t="shared" si="34"/>
        <v>332.61387922152159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7.3600000000000083</v>
      </c>
      <c r="AI55" s="14">
        <f>IF('Données projet'!$A$62&gt;35,AI54+AH55-AQ54,IF(A55&lt;'Données projet'!$A$62,$AF$205^A55,IF(A55='Données projet'!$A$62,'Données projet'!$B$62,AI54+AH55-AQ54)))</f>
        <v>256.51999999999992</v>
      </c>
      <c r="AJ55" s="14">
        <f>AI55*VLOOKUP('Données projet'!$B$10,Paramètres!$A$1:$I$89,3,0)*VLOOKUP('Données projet'!$B$10,Paramètres!$A$1:$I$89,5,0)</f>
        <v>188.08046399999995</v>
      </c>
      <c r="AK55" s="14">
        <f t="shared" si="35"/>
        <v>47.115320222436289</v>
      </c>
      <c r="AL55" s="22">
        <f t="shared" si="4"/>
        <v>409.63265752074312</v>
      </c>
      <c r="AM55" s="62">
        <f t="shared" si="5"/>
        <v>702.96599085407638</v>
      </c>
      <c r="AN55" s="62">
        <f ca="1">AVERAGE(OFFSET($AM$3,0,0,'Données projet'!$E$10+1,1))-AVERAGE(OFFSET($H$3,0,0,'Données projet'!$E$10+1,1))</f>
        <v>344.45199703750711</v>
      </c>
      <c r="AO55" s="62">
        <f t="shared" si="36"/>
        <v>376.41441893222185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10.199999999999999</v>
      </c>
      <c r="BD55" s="13">
        <f>IF('Données projet'!$A$88&gt;35,BD54+BC55-BL54,IF(A55&lt;'Données projet'!$A$88,$BA$205^A55,IF(A55='Données projet'!$A$88,'Données projet'!$B$88,BD54+BC55-BL54)))</f>
        <v>223.39999999999998</v>
      </c>
      <c r="BE55" s="14">
        <f>BD55*VLOOKUP('Données projet'!$B$11,Paramètres!$A$1:$I$89,3,0)*VLOOKUP('Données projet'!$B$11,Paramètres!$A$1:$I$89,5,0)</f>
        <v>226.52759999999998</v>
      </c>
      <c r="BF55" s="14">
        <f t="shared" si="37"/>
        <v>55.531204013656371</v>
      </c>
      <c r="BG55" s="22">
        <f t="shared" si="7"/>
        <v>491.25241699045142</v>
      </c>
      <c r="BH55" s="62">
        <f t="shared" si="8"/>
        <v>784.58575032378474</v>
      </c>
      <c r="BI55" s="62">
        <f ca="1">AVERAGE(OFFSET($BH$3,0,0,'Données projet'!$E$11+1,1))-AVERAGE(OFFSET($H$3,0,0,'Données projet'!$E$11+1,1))</f>
        <v>569.39473185784823</v>
      </c>
      <c r="BJ55" s="62">
        <f t="shared" si="38"/>
        <v>367.42881145517066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11</v>
      </c>
      <c r="BY55" s="13">
        <f>IF('Données projet'!$A$114&gt;35,BY54+BX55-CG54,IF(A55&lt;'Données projet'!$A$114,$BV$205^A55,IF(A55='Données projet'!$A$114,'Données projet'!$B$114,BY54+BX55-CG54)))</f>
        <v>211</v>
      </c>
      <c r="BZ55" s="14">
        <f>BY55*VLOOKUP('Données projet'!$B$12,Paramètres!$A$1:$I$89,3,0)*VLOOKUP('Données projet'!$B$12,Paramètres!$A$1:$I$89,5,0)</f>
        <v>181.03800000000001</v>
      </c>
      <c r="CA55" s="14">
        <f t="shared" si="39"/>
        <v>45.553044701671382</v>
      </c>
      <c r="CB55" s="22">
        <f t="shared" si="10"/>
        <v>394.64606952207765</v>
      </c>
      <c r="CC55" s="62">
        <f t="shared" si="11"/>
        <v>687.97940285541097</v>
      </c>
      <c r="CD55" s="62">
        <f ca="1">AVERAGE(OFFSET($CC$3,0,0,'Données projet'!$E$12+1,1))-AVERAGE(OFFSET($H$3,0,0,'Données projet'!$E$12+1,1))</f>
        <v>554.06253050955502</v>
      </c>
      <c r="CE55" s="62">
        <f t="shared" si="40"/>
        <v>269.71949336355789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>
        <f>VLOOKUP(A55,'Données projet'!$A$139:$I$159,2,0)</f>
        <v>270</v>
      </c>
      <c r="CR55" s="13">
        <f>VLOOKUP(A55,'Données projet'!$A$139:$I$159,9,0)</f>
        <v>10.375</v>
      </c>
      <c r="CS55" s="13">
        <f t="array" ref="CS55">INDEX(CR:CR,MIN(IF(ISNUMBER(CR55:CR251),ROW(CR55:CR251),"")))</f>
        <v>10.375</v>
      </c>
      <c r="CT55" s="13">
        <f>IF('Données projet'!$A$140&gt;35,CT54+CS55-DB54,IF(A55&lt;'Données projet'!$A$140,$CQ$205^A55,IF(A55='Données projet'!$A$140,'Données projet'!$B$140,CT54+CS55-DB54)))</f>
        <v>269.99999999999994</v>
      </c>
      <c r="CU55" s="18">
        <f>CT55*VLOOKUP('Données projet'!$B$13,Paramètres!$A$1:$I$89,3,0)*VLOOKUP('Données projet'!$B$13,Paramètres!$A$1:$I$89,5,0)</f>
        <v>210.59999999999997</v>
      </c>
      <c r="CV55" s="14">
        <f t="shared" si="41"/>
        <v>52.066679014659961</v>
      </c>
      <c r="CW55" s="22">
        <f t="shared" si="13"/>
        <v>457.47779928386598</v>
      </c>
      <c r="CX55" s="62">
        <f t="shared" si="14"/>
        <v>750.81113261719929</v>
      </c>
      <c r="CY55" s="62">
        <f ca="1">AVERAGE(OFFSET($CX$3,0,0,'Données projet'!$E$13+1,1))-AVERAGE(OFFSET($H$3,0,0,'Données projet'!$E$13+1,1))</f>
        <v>292.21364130214391</v>
      </c>
      <c r="CZ55" s="62">
        <f t="shared" si="42"/>
        <v>283.48738729114024</v>
      </c>
      <c r="DA55" s="16">
        <f>IF(ISNA(VLOOKUP(A55,'Données projet'!$A$139:$I$159,3,0)),0,VLOOKUP(A55,'Données projet'!$A$139:$I$159,3,0))</f>
        <v>6</v>
      </c>
      <c r="DB55" s="16">
        <f>IF(ISNA(VLOOKUP(A55,'Données projet'!$A$139:$I$159,4,0)),0,VLOOKUP(A55,'Données projet'!$A$139:$I$159,4,0))</f>
        <v>48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5.8974358974359005</v>
      </c>
      <c r="DO55" s="13">
        <f>IF('Données projet'!$A$166&gt;35,DO54+DN55-DW54,IF(A55&lt;'Données projet'!$A$166,$DL$205^A55,IF(A55='Données projet'!$A$166,'Données projet'!$B$166,DO54+DN55-DW54)))</f>
        <v>192.56410256410254</v>
      </c>
      <c r="DP55" s="18">
        <f>DO55*VLOOKUP('Données projet'!$B$14,Paramètres!$A$1:$I$89,3,0)*VLOOKUP('Données projet'!$B$14,Paramètres!$A$1:$I$89,5,0)</f>
        <v>183.24399999999997</v>
      </c>
      <c r="DQ55" s="14">
        <f t="shared" si="43"/>
        <v>46.043164410574995</v>
      </c>
      <c r="DR55" s="22">
        <f t="shared" si="16"/>
        <v>399.34181134841805</v>
      </c>
      <c r="DS55" s="62">
        <f t="shared" si="17"/>
        <v>692.67514468175136</v>
      </c>
      <c r="DT55" s="62">
        <f ca="1">AVERAGE(OFFSET($DS$3,0,0,'Données projet'!$E$14+1,1))-AVERAGE(OFFSET($H$3,0,0,'Données projet'!$E$14+1,1))</f>
        <v>427.47603885390191</v>
      </c>
      <c r="DU55" s="62">
        <f t="shared" si="44"/>
        <v>350.88664394632116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8</v>
      </c>
      <c r="EJ55" s="13">
        <f>IF('Données projet'!$A$192&gt;35,EJ54+EI55-ER54,IF(A55&lt;'Données projet'!$A$192,$EG$205^A55,IF(A55='Données projet'!$A$192,'Données projet'!$B$192,EJ54+EI55-ER54)))</f>
        <v>173</v>
      </c>
      <c r="EK55" s="18">
        <f>EJ55*VLOOKUP('Données projet'!$B$15,Paramètres!$A$1:$I$89,3,0)*VLOOKUP('Données projet'!$B$15,Paramètres!$A$1:$I$89,5,0)</f>
        <v>167.32560000000001</v>
      </c>
      <c r="EL55" s="14">
        <f t="shared" si="45"/>
        <v>42.490495297127609</v>
      </c>
      <c r="EM55" s="22">
        <f t="shared" si="19"/>
        <v>365.42969930916388</v>
      </c>
      <c r="EN55" s="62">
        <f t="shared" si="20"/>
        <v>658.76303264249714</v>
      </c>
      <c r="EO55" s="62">
        <f ca="1">AVERAGE(OFFSET($EN$3,0,0,'Données projet'!$E$15+1,1))-AVERAGE(OFFSET($H$3,0,0,'Données projet'!$E$15+1,1))</f>
        <v>455.50822833641354</v>
      </c>
      <c r="EP55" s="62">
        <f t="shared" si="46"/>
        <v>261.14722581688039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6.6</v>
      </c>
      <c r="FE55" s="13">
        <f>IF('Données projet'!$A$218&gt;35,FE54+FD55-FM54,IF(A55&lt;'Données projet'!$A$218,$FB$205^A55,IF(A55='Données projet'!$A$218,'Données projet'!$B$218,FE54+FD55-FM54)))</f>
        <v>198.20000000000007</v>
      </c>
      <c r="FF55" s="18">
        <f>FE55*VLOOKUP('Données projet'!$B$16,Paramètres!$A$1:$I$89,3,0)*VLOOKUP('Données projet'!$B$16,Paramètres!$A$1:$I$89,5,0)</f>
        <v>173.14752000000007</v>
      </c>
      <c r="FG55" s="14">
        <f t="shared" si="47"/>
        <v>43.794208927254068</v>
      </c>
      <c r="FH55" s="22">
        <f t="shared" si="22"/>
        <v>377.84017788163425</v>
      </c>
      <c r="FI55" s="62">
        <f t="shared" si="23"/>
        <v>671.17351121496756</v>
      </c>
      <c r="FJ55" s="62">
        <f ca="1">AVERAGE(OFFSET($FI$3,0,0,'Données projet'!$E$16+1,1))-AVERAGE(OFFSET($H$3,0,0,'Données projet'!$E$16+1,1))</f>
        <v>369.34989412920129</v>
      </c>
      <c r="FK55" s="62">
        <f t="shared" si="48"/>
        <v>371.26234252426553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0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>
        <f>FZ55*VLOOKUP('Données projet'!$B$17,Paramètres!$A$1:$I$89,3,0)*VLOOKUP('Données projet'!$B$17,Paramètres!$A$1:$I$89,5,0)</f>
        <v>0</v>
      </c>
      <c r="GB55" s="14" t="e">
        <f t="shared" si="49"/>
        <v>#NUM!</v>
      </c>
      <c r="GC55" s="22" t="e">
        <f t="shared" si="25"/>
        <v>#NUM!</v>
      </c>
      <c r="GD55" s="62" t="e">
        <f t="shared" si="26"/>
        <v>#NUM!</v>
      </c>
      <c r="GE55" s="62">
        <f ca="1">AVERAGE(OFFSET($GD$3,0,0,'Données projet'!$E$17+1,1))-AVERAGE(OFFSET($H$3,0,0,'Données projet'!$E$17+1,1))</f>
        <v>324.4489531703187</v>
      </c>
      <c r="GF55" s="62">
        <f t="shared" si="50"/>
        <v>446.55019360848706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projet'!$B$17,Paramètres!$A$1:$I$89,3,0)*0.475*44/12</f>
        <v>0</v>
      </c>
      <c r="GM55" s="23">
        <f>EXP(-LN(2)/25)*GM54+(1-EXP(-LN(2)/25))/(LN(2)/25)*Calculateur!GH55*Calculateur!GJ55*VLOOKUP('Données projet'!$B$17,Paramètres!$A$1:$I$89,3,0)*0.475*44/12</f>
        <v>0</v>
      </c>
      <c r="GN55" s="23">
        <f>EXP(-LN(2)/2)*GN54+(1-EXP(-LN(2)/2))/(LN(2)/2)*GH55*GK55*VLOOKUP('Données projet'!$B$17,Paramètres!$A$1:$I$89,3,0)*0.475*44/12</f>
        <v>0</v>
      </c>
      <c r="GO55" s="23">
        <f t="shared" si="27"/>
        <v>0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5.7692307692307683</v>
      </c>
      <c r="GU55" s="13">
        <f>IF('Données projet'!$A$270&gt;35,GU54+GT55-HC54,IF(A55&lt;'Données projet'!$A$270,$GR$205^A55,IF(A55='Données projet'!$A$270,'Données projet'!$B$270,GU54+GT55-HC54)))</f>
        <v>200.64102564102564</v>
      </c>
      <c r="GV55" s="18">
        <f>GU55*VLOOKUP('Données projet'!$B$18,Paramètres!$A$1:$I$89,3,0)*VLOOKUP('Données projet'!$B$18,Paramètres!$A$1:$I$89,5,0)</f>
        <v>134.59</v>
      </c>
      <c r="GW55" s="14">
        <f t="shared" si="51"/>
        <v>35.054822215165878</v>
      </c>
      <c r="GX55" s="22">
        <f t="shared" si="28"/>
        <v>295.46473202474721</v>
      </c>
      <c r="GY55" s="62">
        <f t="shared" si="29"/>
        <v>588.79806535808052</v>
      </c>
      <c r="GZ55" s="62">
        <f ca="1">AVERAGE(OFFSET($GY$3,0,0,'Données projet'!$E$18+1,1))-AVERAGE(OFFSET($H$3,0,0,'Données projet'!$E$18+1,1))</f>
        <v>312.06797204903796</v>
      </c>
      <c r="HA55" s="62">
        <f t="shared" si="52"/>
        <v>258.20189001775151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>
        <f>EXP(-LN(2)/35)*HG54+(1-EXP(-LN(2)/35))/(LN(2)/35)*HC55*HD55*VLOOKUP('Données projet'!$B$18,Paramètres!$A$1:$I$89,3,0)*0.475*44/12</f>
        <v>0</v>
      </c>
      <c r="HH55" s="23">
        <f>EXP(-LN(2)/25)*HH54+(1-EXP(-LN(2)/25))/(LN(2)/25)*Calculateur!HC55*Calculateur!HE55*VLOOKUP('Données projet'!$B$18,Paramètres!$A$1:$I$89,3,0)*0.475*44/12</f>
        <v>0</v>
      </c>
      <c r="HI55" s="23">
        <f>EXP(-LN(2)/2)*HI54+(1-EXP(-LN(2)/2))/(LN(2)/2)*HC55*HF55*VLOOKUP('Données projet'!$B$18,Paramètres!$A$1:$I$89,3,0)*0.475*44/12</f>
        <v>0</v>
      </c>
      <c r="HJ55" s="24">
        <f t="shared" si="30"/>
        <v>0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10.199999999999999</v>
      </c>
      <c r="N56" s="14">
        <f>IF('Données projet'!$A$36&gt;35,N55+M56-V55,IF(A56&lt;'Données projet'!$A$36,$K$205^A56,IF(A56='Données projet'!$A$36,'Données projet'!$B$36,N55+M56-V55)))</f>
        <v>233.59999999999997</v>
      </c>
      <c r="O56" s="14">
        <f>N56*VLOOKUP('Données projet'!$B$9,Paramètres!$A$1:$I$89,3,0)*VLOOKUP('Données projet'!$B$9,Paramètres!$A$1:$I$89,5,0)</f>
        <v>211.36127999999997</v>
      </c>
      <c r="P56" s="14">
        <f t="shared" si="33"/>
        <v>52.232947669705631</v>
      </c>
      <c r="Q56" s="22">
        <f t="shared" si="53"/>
        <v>459.09327985807062</v>
      </c>
      <c r="R56" s="62">
        <f t="shared" si="0"/>
        <v>752.42661319140393</v>
      </c>
      <c r="S56" s="62">
        <f ca="1">AVERAGE(OFFSET($R$3,0,0,'Données projet'!$E$9+1,1))-AVERAGE(OFFSET($H$3,0,0,'Données projet'!$E$9+1,1))</f>
        <v>512.84819850818667</v>
      </c>
      <c r="T56" s="62">
        <f t="shared" si="34"/>
        <v>332.61387922152159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7.3600000000000083</v>
      </c>
      <c r="AI56" s="14">
        <f>IF('Données projet'!$A$62&gt;35,AI55+AH56-AQ55,IF(A56&lt;'Données projet'!$A$62,$AF$205^A56,IF(A56='Données projet'!$A$62,'Données projet'!$B$62,AI55+AH56-AQ55)))</f>
        <v>263.87999999999994</v>
      </c>
      <c r="AJ56" s="14">
        <f>AI56*VLOOKUP('Données projet'!$B$10,Paramètres!$A$1:$I$89,3,0)*VLOOKUP('Données projet'!$B$10,Paramètres!$A$1:$I$89,5,0)</f>
        <v>193.47681599999996</v>
      </c>
      <c r="AK56" s="14">
        <f t="shared" si="35"/>
        <v>48.307814384267459</v>
      </c>
      <c r="AL56" s="22">
        <f t="shared" si="4"/>
        <v>421.10823125259907</v>
      </c>
      <c r="AM56" s="62">
        <f t="shared" si="5"/>
        <v>714.44156458593238</v>
      </c>
      <c r="AN56" s="62">
        <f ca="1">AVERAGE(OFFSET($AM$3,0,0,'Données projet'!$E$10+1,1))-AVERAGE(OFFSET($H$3,0,0,'Données projet'!$E$10+1,1))</f>
        <v>344.45199703750711</v>
      </c>
      <c r="AO56" s="62">
        <f t="shared" si="36"/>
        <v>376.41441893222185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10.199999999999999</v>
      </c>
      <c r="BD56" s="13">
        <f>IF('Données projet'!$A$88&gt;35,BD55+BC56-BL55,IF(A56&lt;'Données projet'!$A$88,$BA$205^A56,IF(A56='Données projet'!$A$88,'Données projet'!$B$88,BD55+BC56-BL55)))</f>
        <v>233.59999999999997</v>
      </c>
      <c r="BE56" s="14">
        <f>BD56*VLOOKUP('Données projet'!$B$11,Paramètres!$A$1:$I$89,3,0)*VLOOKUP('Données projet'!$B$11,Paramètres!$A$1:$I$89,5,0)</f>
        <v>236.87039999999996</v>
      </c>
      <c r="BF56" s="14">
        <f t="shared" si="37"/>
        <v>57.765668276484661</v>
      </c>
      <c r="BG56" s="22">
        <f t="shared" si="7"/>
        <v>513.15781891487734</v>
      </c>
      <c r="BH56" s="62">
        <f t="shared" si="8"/>
        <v>806.49115224821071</v>
      </c>
      <c r="BI56" s="62">
        <f ca="1">AVERAGE(OFFSET($BH$3,0,0,'Données projet'!$E$11+1,1))-AVERAGE(OFFSET($H$3,0,0,'Données projet'!$E$11+1,1))</f>
        <v>569.39473185784823</v>
      </c>
      <c r="BJ56" s="62">
        <f t="shared" si="38"/>
        <v>367.42881145517066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11</v>
      </c>
      <c r="BY56" s="13">
        <f>IF('Données projet'!$A$114&gt;35,BY55+BX56-CG55,IF(A56&lt;'Données projet'!$A$114,$BV$205^A56,IF(A56='Données projet'!$A$114,'Données projet'!$B$114,BY55+BX56-CG55)))</f>
        <v>222</v>
      </c>
      <c r="BZ56" s="14">
        <f>BY56*VLOOKUP('Données projet'!$B$12,Paramètres!$A$1:$I$89,3,0)*VLOOKUP('Données projet'!$B$12,Paramètres!$A$1:$I$89,5,0)</f>
        <v>190.47600000000003</v>
      </c>
      <c r="CA56" s="14">
        <f t="shared" si="39"/>
        <v>47.645174362968355</v>
      </c>
      <c r="CB56" s="22">
        <f t="shared" si="10"/>
        <v>414.72771201550319</v>
      </c>
      <c r="CC56" s="62">
        <f t="shared" si="11"/>
        <v>708.0610453488365</v>
      </c>
      <c r="CD56" s="62">
        <f ca="1">AVERAGE(OFFSET($CC$3,0,0,'Données projet'!$E$12+1,1))-AVERAGE(OFFSET($H$3,0,0,'Données projet'!$E$12+1,1))</f>
        <v>554.06253050955502</v>
      </c>
      <c r="CE56" s="62">
        <f t="shared" si="40"/>
        <v>269.71949336355789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9.375</v>
      </c>
      <c r="CT56" s="13">
        <f>IF('Données projet'!$A$140&gt;35,CT55+CS56-DB55,IF(A56&lt;'Données projet'!$A$140,$CQ$205^A56,IF(A56='Données projet'!$A$140,'Données projet'!$B$140,CT55+CS56-DB55)))</f>
        <v>231.37499999999994</v>
      </c>
      <c r="CU56" s="18">
        <f>CT56*VLOOKUP('Données projet'!$B$13,Paramètres!$A$1:$I$89,3,0)*VLOOKUP('Données projet'!$B$13,Paramètres!$A$1:$I$89,5,0)</f>
        <v>180.47249999999997</v>
      </c>
      <c r="CV56" s="14">
        <f t="shared" si="41"/>
        <v>45.427292666837829</v>
      </c>
      <c r="CW56" s="22">
        <f t="shared" si="13"/>
        <v>393.44213889474253</v>
      </c>
      <c r="CX56" s="62">
        <f t="shared" si="14"/>
        <v>686.77547222807584</v>
      </c>
      <c r="CY56" s="62">
        <f ca="1">AVERAGE(OFFSET($CX$3,0,0,'Données projet'!$E$13+1,1))-AVERAGE(OFFSET($H$3,0,0,'Données projet'!$E$13+1,1))</f>
        <v>292.21364130214391</v>
      </c>
      <c r="CZ56" s="62">
        <f t="shared" si="42"/>
        <v>283.48738729114024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5.8974358974359005</v>
      </c>
      <c r="DO56" s="13">
        <f>IF('Données projet'!$A$166&gt;35,DO55+DN56-DW55,IF(A56&lt;'Données projet'!$A$166,$DL$205^A56,IF(A56='Données projet'!$A$166,'Données projet'!$B$166,DO55+DN56-DW55)))</f>
        <v>198.46153846153845</v>
      </c>
      <c r="DP56" s="18">
        <f>DO56*VLOOKUP('Données projet'!$B$14,Paramètres!$A$1:$I$89,3,0)*VLOOKUP('Données projet'!$B$14,Paramètres!$A$1:$I$89,5,0)</f>
        <v>188.85599999999999</v>
      </c>
      <c r="DQ56" s="14">
        <f t="shared" si="43"/>
        <v>47.286941864448139</v>
      </c>
      <c r="DR56" s="22">
        <f t="shared" si="16"/>
        <v>411.28229041391381</v>
      </c>
      <c r="DS56" s="62">
        <f t="shared" si="17"/>
        <v>704.61562374724713</v>
      </c>
      <c r="DT56" s="62">
        <f ca="1">AVERAGE(OFFSET($DS$3,0,0,'Données projet'!$E$14+1,1))-AVERAGE(OFFSET($H$3,0,0,'Données projet'!$E$14+1,1))</f>
        <v>427.47603885390191</v>
      </c>
      <c r="DU56" s="62">
        <f t="shared" si="44"/>
        <v>350.88664394632116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8</v>
      </c>
      <c r="EJ56" s="13">
        <f>IF('Données projet'!$A$192&gt;35,EJ55+EI56-ER55,IF(A56&lt;'Données projet'!$A$192,$EG$205^A56,IF(A56='Données projet'!$A$192,'Données projet'!$B$192,EJ55+EI56-ER55)))</f>
        <v>181</v>
      </c>
      <c r="EK56" s="18">
        <f>EJ56*VLOOKUP('Données projet'!$B$15,Paramètres!$A$1:$I$89,3,0)*VLOOKUP('Données projet'!$B$15,Paramètres!$A$1:$I$89,5,0)</f>
        <v>175.06319999999999</v>
      </c>
      <c r="EL56" s="14">
        <f t="shared" si="45"/>
        <v>44.22206774682472</v>
      </c>
      <c r="EM56" s="22">
        <f t="shared" si="19"/>
        <v>381.9218413257197</v>
      </c>
      <c r="EN56" s="62">
        <f t="shared" si="20"/>
        <v>675.25517465905295</v>
      </c>
      <c r="EO56" s="62">
        <f ca="1">AVERAGE(OFFSET($EN$3,0,0,'Données projet'!$E$15+1,1))-AVERAGE(OFFSET($H$3,0,0,'Données projet'!$E$15+1,1))</f>
        <v>455.50822833641354</v>
      </c>
      <c r="EP56" s="62">
        <f t="shared" si="46"/>
        <v>261.14722581688039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6.6</v>
      </c>
      <c r="FE56" s="13">
        <f>IF('Données projet'!$A$218&gt;35,FE55+FD56-FM55,IF(A56&lt;'Données projet'!$A$218,$FB$205^A56,IF(A56='Données projet'!$A$218,'Données projet'!$B$218,FE55+FD56-FM55)))</f>
        <v>204.80000000000007</v>
      </c>
      <c r="FF56" s="18">
        <f>FE56*VLOOKUP('Données projet'!$B$16,Paramètres!$A$1:$I$89,3,0)*VLOOKUP('Données projet'!$B$16,Paramètres!$A$1:$I$89,5,0)</f>
        <v>178.91328000000007</v>
      </c>
      <c r="FG56" s="14">
        <f t="shared" si="47"/>
        <v>45.080325843494848</v>
      </c>
      <c r="FH56" s="22">
        <f t="shared" si="22"/>
        <v>390.122196844087</v>
      </c>
      <c r="FI56" s="62">
        <f t="shared" si="23"/>
        <v>683.45553017742031</v>
      </c>
      <c r="FJ56" s="62">
        <f ca="1">AVERAGE(OFFSET($FI$3,0,0,'Données projet'!$E$16+1,1))-AVERAGE(OFFSET($H$3,0,0,'Données projet'!$E$16+1,1))</f>
        <v>369.34989412920129</v>
      </c>
      <c r="FK56" s="62">
        <f t="shared" si="48"/>
        <v>371.26234252426553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0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>
        <f>FZ56*VLOOKUP('Données projet'!$B$17,Paramètres!$A$1:$I$89,3,0)*VLOOKUP('Données projet'!$B$17,Paramètres!$A$1:$I$89,5,0)</f>
        <v>0</v>
      </c>
      <c r="GB56" s="14" t="e">
        <f t="shared" si="49"/>
        <v>#NUM!</v>
      </c>
      <c r="GC56" s="22" t="e">
        <f t="shared" si="25"/>
        <v>#NUM!</v>
      </c>
      <c r="GD56" s="62" t="e">
        <f t="shared" si="26"/>
        <v>#NUM!</v>
      </c>
      <c r="GE56" s="62">
        <f ca="1">AVERAGE(OFFSET($GD$3,0,0,'Données projet'!$E$17+1,1))-AVERAGE(OFFSET($H$3,0,0,'Données projet'!$E$17+1,1))</f>
        <v>324.4489531703187</v>
      </c>
      <c r="GF56" s="62">
        <f t="shared" si="50"/>
        <v>446.55019360848706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projet'!$B$17,Paramètres!$A$1:$I$89,3,0)*0.475*44/12</f>
        <v>0</v>
      </c>
      <c r="GM56" s="23">
        <f>EXP(-LN(2)/25)*GM55+(1-EXP(-LN(2)/25))/(LN(2)/25)*Calculateur!GH56*Calculateur!GJ56*VLOOKUP('Données projet'!$B$17,Paramètres!$A$1:$I$89,3,0)*0.475*44/12</f>
        <v>0</v>
      </c>
      <c r="GN56" s="23">
        <f>EXP(-LN(2)/2)*GN55+(1-EXP(-LN(2)/2))/(LN(2)/2)*GH56*GK56*VLOOKUP('Données projet'!$B$17,Paramètres!$A$1:$I$89,3,0)*0.475*44/12</f>
        <v>0</v>
      </c>
      <c r="GO56" s="23">
        <f t="shared" si="27"/>
        <v>0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5.7692307692307683</v>
      </c>
      <c r="GU56" s="13">
        <f>IF('Données projet'!$A$270&gt;35,GU55+GT56-HC55,IF(A56&lt;'Données projet'!$A$270,$GR$205^A56,IF(A56='Données projet'!$A$270,'Données projet'!$B$270,GU55+GT56-HC55)))</f>
        <v>206.41025641025641</v>
      </c>
      <c r="GV56" s="18">
        <f>GU56*VLOOKUP('Données projet'!$B$18,Paramètres!$A$1:$I$89,3,0)*VLOOKUP('Données projet'!$B$18,Paramètres!$A$1:$I$89,5,0)</f>
        <v>138.45999999999998</v>
      </c>
      <c r="GW56" s="14">
        <f t="shared" si="51"/>
        <v>35.943986332761526</v>
      </c>
      <c r="GX56" s="22">
        <f t="shared" si="28"/>
        <v>303.75360952955964</v>
      </c>
      <c r="GY56" s="62">
        <f t="shared" si="29"/>
        <v>597.08694286289301</v>
      </c>
      <c r="GZ56" s="62">
        <f ca="1">AVERAGE(OFFSET($GY$3,0,0,'Données projet'!$E$18+1,1))-AVERAGE(OFFSET($H$3,0,0,'Données projet'!$E$18+1,1))</f>
        <v>312.06797204903796</v>
      </c>
      <c r="HA56" s="62">
        <f t="shared" si="52"/>
        <v>258.20189001775151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>
        <f>EXP(-LN(2)/35)*HG55+(1-EXP(-LN(2)/35))/(LN(2)/35)*HC56*HD56*VLOOKUP('Données projet'!$B$18,Paramètres!$A$1:$I$89,3,0)*0.475*44/12</f>
        <v>0</v>
      </c>
      <c r="HH56" s="23">
        <f>EXP(-LN(2)/25)*HH55+(1-EXP(-LN(2)/25))/(LN(2)/25)*Calculateur!HC56*Calculateur!HE56*VLOOKUP('Données projet'!$B$18,Paramètres!$A$1:$I$89,3,0)*0.475*44/12</f>
        <v>0</v>
      </c>
      <c r="HI56" s="23">
        <f>EXP(-LN(2)/2)*HI55+(1-EXP(-LN(2)/2))/(LN(2)/2)*HC56*HF56*VLOOKUP('Données projet'!$B$18,Paramètres!$A$1:$I$89,3,0)*0.475*44/12</f>
        <v>0</v>
      </c>
      <c r="HJ56" s="24">
        <f t="shared" si="30"/>
        <v>0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10.199999999999999</v>
      </c>
      <c r="N57" s="14">
        <f>IF('Données projet'!$A$36&gt;35,N56+M57-V56,IF(A57&lt;'Données projet'!$A$36,$K$205^A57,IF(A57='Données projet'!$A$36,'Données projet'!$B$36,N56+M57-V56)))</f>
        <v>243.79999999999995</v>
      </c>
      <c r="O57" s="14">
        <f>N57*VLOOKUP('Données projet'!$B$9,Paramètres!$A$1:$I$89,3,0)*VLOOKUP('Données projet'!$B$9,Paramètres!$A$1:$I$89,5,0)</f>
        <v>220.59023999999997</v>
      </c>
      <c r="P57" s="14">
        <f t="shared" si="33"/>
        <v>54.24315145708789</v>
      </c>
      <c r="Q57" s="22">
        <f t="shared" si="53"/>
        <v>478.66815678776129</v>
      </c>
      <c r="R57" s="62">
        <f t="shared" si="0"/>
        <v>772.00149012109455</v>
      </c>
      <c r="S57" s="62">
        <f ca="1">AVERAGE(OFFSET($R$3,0,0,'Données projet'!$E$9+1,1))-AVERAGE(OFFSET($H$3,0,0,'Données projet'!$E$9+1,1))</f>
        <v>512.84819850818667</v>
      </c>
      <c r="T57" s="62">
        <f t="shared" si="34"/>
        <v>332.61387922152159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7.3600000000000083</v>
      </c>
      <c r="AI57" s="14">
        <f>IF('Données projet'!$A$62&gt;35,AI56+AH57-AQ56,IF(A57&lt;'Données projet'!$A$62,$AF$205^A57,IF(A57='Données projet'!$A$62,'Données projet'!$B$62,AI56+AH57-AQ56)))</f>
        <v>271.23999999999995</v>
      </c>
      <c r="AJ57" s="14">
        <f>AI57*VLOOKUP('Données projet'!$B$10,Paramètres!$A$1:$I$89,3,0)*VLOOKUP('Données projet'!$B$10,Paramètres!$A$1:$I$89,5,0)</f>
        <v>198.87316799999996</v>
      </c>
      <c r="AK57" s="14">
        <f t="shared" si="35"/>
        <v>49.496442782493347</v>
      </c>
      <c r="AL57" s="22">
        <f t="shared" si="4"/>
        <v>432.57707211284247</v>
      </c>
      <c r="AM57" s="62">
        <f t="shared" si="5"/>
        <v>725.91040544617579</v>
      </c>
      <c r="AN57" s="62">
        <f ca="1">AVERAGE(OFFSET($AM$3,0,0,'Données projet'!$E$10+1,1))-AVERAGE(OFFSET($H$3,0,0,'Données projet'!$E$10+1,1))</f>
        <v>344.45199703750711</v>
      </c>
      <c r="AO57" s="62">
        <f t="shared" si="36"/>
        <v>376.41441893222185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10.199999999999999</v>
      </c>
      <c r="BD57" s="13">
        <f>IF('Données projet'!$A$88&gt;35,BD56+BC57-BL56,IF(A57&lt;'Données projet'!$A$88,$BA$205^A57,IF(A57='Données projet'!$A$88,'Données projet'!$B$88,BD56+BC57-BL56)))</f>
        <v>243.79999999999995</v>
      </c>
      <c r="BE57" s="14">
        <f>BD57*VLOOKUP('Données projet'!$B$11,Paramètres!$A$1:$I$89,3,0)*VLOOKUP('Données projet'!$B$11,Paramètres!$A$1:$I$89,5,0)</f>
        <v>247.21319999999997</v>
      </c>
      <c r="BF57" s="14">
        <f t="shared" si="37"/>
        <v>59.988800807398761</v>
      </c>
      <c r="BG57" s="22">
        <f t="shared" si="7"/>
        <v>535.04348473955281</v>
      </c>
      <c r="BH57" s="62">
        <f t="shared" si="8"/>
        <v>828.37681807288618</v>
      </c>
      <c r="BI57" s="62">
        <f ca="1">AVERAGE(OFFSET($BH$3,0,0,'Données projet'!$E$11+1,1))-AVERAGE(OFFSET($H$3,0,0,'Données projet'!$E$11+1,1))</f>
        <v>569.39473185784823</v>
      </c>
      <c r="BJ57" s="62">
        <f t="shared" si="38"/>
        <v>367.42881145517066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11</v>
      </c>
      <c r="BY57" s="13">
        <f>IF('Données projet'!$A$114&gt;35,BY56+BX57-CG56,IF(A57&lt;'Données projet'!$A$114,$BV$205^A57,IF(A57='Données projet'!$A$114,'Données projet'!$B$114,BY56+BX57-CG56)))</f>
        <v>233</v>
      </c>
      <c r="BZ57" s="14">
        <f>BY57*VLOOKUP('Données projet'!$B$12,Paramètres!$A$1:$I$89,3,0)*VLOOKUP('Données projet'!$B$12,Paramètres!$A$1:$I$89,5,0)</f>
        <v>199.91400000000002</v>
      </c>
      <c r="CA57" s="14">
        <f t="shared" si="39"/>
        <v>49.725267055272198</v>
      </c>
      <c r="CB57" s="22">
        <f t="shared" si="10"/>
        <v>434.78839012126582</v>
      </c>
      <c r="CC57" s="62">
        <f t="shared" si="11"/>
        <v>728.12172345459908</v>
      </c>
      <c r="CD57" s="62">
        <f ca="1">AVERAGE(OFFSET($CC$3,0,0,'Données projet'!$E$12+1,1))-AVERAGE(OFFSET($H$3,0,0,'Données projet'!$E$12+1,1))</f>
        <v>554.06253050955502</v>
      </c>
      <c r="CE57" s="62">
        <f t="shared" si="40"/>
        <v>269.71949336355789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9.375</v>
      </c>
      <c r="CT57" s="13">
        <f>IF('Données projet'!$A$140&gt;35,CT56+CS57-DB56,IF(A57&lt;'Données projet'!$A$140,$CQ$205^A57,IF(A57='Données projet'!$A$140,'Données projet'!$B$140,CT56+CS57-DB56)))</f>
        <v>240.74999999999994</v>
      </c>
      <c r="CU57" s="18">
        <f>CT57*VLOOKUP('Données projet'!$B$13,Paramètres!$A$1:$I$89,3,0)*VLOOKUP('Données projet'!$B$13,Paramètres!$A$1:$I$89,5,0)</f>
        <v>187.78499999999997</v>
      </c>
      <c r="CV57" s="14">
        <f t="shared" si="41"/>
        <v>47.049914090154054</v>
      </c>
      <c r="CW57" s="22">
        <f t="shared" si="13"/>
        <v>409.00414204035161</v>
      </c>
      <c r="CX57" s="62">
        <f t="shared" si="14"/>
        <v>702.33747537368492</v>
      </c>
      <c r="CY57" s="62">
        <f ca="1">AVERAGE(OFFSET($CX$3,0,0,'Données projet'!$E$13+1,1))-AVERAGE(OFFSET($H$3,0,0,'Données projet'!$E$13+1,1))</f>
        <v>292.21364130214391</v>
      </c>
      <c r="CZ57" s="62">
        <f t="shared" si="42"/>
        <v>283.48738729114024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5.8974358974359005</v>
      </c>
      <c r="DO57" s="13">
        <f>IF('Données projet'!$A$166&gt;35,DO56+DN57-DW56,IF(A57&lt;'Données projet'!$A$166,$DL$205^A57,IF(A57='Données projet'!$A$166,'Données projet'!$B$166,DO56+DN57-DW56)))</f>
        <v>204.35897435897436</v>
      </c>
      <c r="DP57" s="18">
        <f>DO57*VLOOKUP('Données projet'!$B$14,Paramètres!$A$1:$I$89,3,0)*VLOOKUP('Données projet'!$B$14,Paramètres!$A$1:$I$89,5,0)</f>
        <v>194.46800000000002</v>
      </c>
      <c r="DQ57" s="14">
        <f t="shared" si="43"/>
        <v>48.526423961998944</v>
      </c>
      <c r="DR57" s="22">
        <f t="shared" si="16"/>
        <v>423.21528840048148</v>
      </c>
      <c r="DS57" s="62">
        <f t="shared" si="17"/>
        <v>716.5486217338148</v>
      </c>
      <c r="DT57" s="62">
        <f ca="1">AVERAGE(OFFSET($DS$3,0,0,'Données projet'!$E$14+1,1))-AVERAGE(OFFSET($H$3,0,0,'Données projet'!$E$14+1,1))</f>
        <v>427.47603885390191</v>
      </c>
      <c r="DU57" s="62">
        <f t="shared" si="44"/>
        <v>350.88664394632116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8</v>
      </c>
      <c r="EJ57" s="13">
        <f>IF('Données projet'!$A$192&gt;35,EJ56+EI57-ER56,IF(A57&lt;'Données projet'!$A$192,$EG$205^A57,IF(A57='Données projet'!$A$192,'Données projet'!$B$192,EJ56+EI57-ER56)))</f>
        <v>189</v>
      </c>
      <c r="EK57" s="18">
        <f>EJ57*VLOOKUP('Données projet'!$B$15,Paramètres!$A$1:$I$89,3,0)*VLOOKUP('Données projet'!$B$15,Paramètres!$A$1:$I$89,5,0)</f>
        <v>182.80079999999998</v>
      </c>
      <c r="EL57" s="14">
        <f t="shared" si="45"/>
        <v>45.944751507471658</v>
      </c>
      <c r="EM57" s="22">
        <f t="shared" si="19"/>
        <v>398.39850220884642</v>
      </c>
      <c r="EN57" s="62">
        <f t="shared" si="20"/>
        <v>691.73183554217974</v>
      </c>
      <c r="EO57" s="62">
        <f ca="1">AVERAGE(OFFSET($EN$3,0,0,'Données projet'!$E$15+1,1))-AVERAGE(OFFSET($H$3,0,0,'Données projet'!$E$15+1,1))</f>
        <v>455.50822833641354</v>
      </c>
      <c r="EP57" s="62">
        <f t="shared" si="46"/>
        <v>261.14722581688039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6.6</v>
      </c>
      <c r="FE57" s="13">
        <f>IF('Données projet'!$A$218&gt;35,FE56+FD57-FM56,IF(A57&lt;'Données projet'!$A$218,$FB$205^A57,IF(A57='Données projet'!$A$218,'Données projet'!$B$218,FE56+FD57-FM56)))</f>
        <v>211.40000000000006</v>
      </c>
      <c r="FF57" s="18">
        <f>FE57*VLOOKUP('Données projet'!$B$16,Paramètres!$A$1:$I$89,3,0)*VLOOKUP('Données projet'!$B$16,Paramètres!$A$1:$I$89,5,0)</f>
        <v>184.67904000000007</v>
      </c>
      <c r="FG57" s="14">
        <f t="shared" si="47"/>
        <v>46.361626470742223</v>
      </c>
      <c r="FH57" s="22">
        <f t="shared" si="22"/>
        <v>402.39582743654279</v>
      </c>
      <c r="FI57" s="62">
        <f t="shared" si="23"/>
        <v>695.7291607698761</v>
      </c>
      <c r="FJ57" s="62">
        <f ca="1">AVERAGE(OFFSET($FI$3,0,0,'Données projet'!$E$16+1,1))-AVERAGE(OFFSET($H$3,0,0,'Données projet'!$E$16+1,1))</f>
        <v>369.34989412920129</v>
      </c>
      <c r="FK57" s="62">
        <f t="shared" si="48"/>
        <v>371.26234252426553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0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>
        <f>FZ57*VLOOKUP('Données projet'!$B$17,Paramètres!$A$1:$I$89,3,0)*VLOOKUP('Données projet'!$B$17,Paramètres!$A$1:$I$89,5,0)</f>
        <v>0</v>
      </c>
      <c r="GB57" s="14" t="e">
        <f t="shared" si="49"/>
        <v>#NUM!</v>
      </c>
      <c r="GC57" s="22" t="e">
        <f t="shared" si="25"/>
        <v>#NUM!</v>
      </c>
      <c r="GD57" s="62" t="e">
        <f t="shared" si="26"/>
        <v>#NUM!</v>
      </c>
      <c r="GE57" s="62">
        <f ca="1">AVERAGE(OFFSET($GD$3,0,0,'Données projet'!$E$17+1,1))-AVERAGE(OFFSET($H$3,0,0,'Données projet'!$E$17+1,1))</f>
        <v>324.4489531703187</v>
      </c>
      <c r="GF57" s="62">
        <f t="shared" si="50"/>
        <v>446.55019360848706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projet'!$B$17,Paramètres!$A$1:$I$89,3,0)*0.475*44/12</f>
        <v>0</v>
      </c>
      <c r="GM57" s="23">
        <f>EXP(-LN(2)/25)*GM56+(1-EXP(-LN(2)/25))/(LN(2)/25)*Calculateur!GH57*Calculateur!GJ57*VLOOKUP('Données projet'!$B$17,Paramètres!$A$1:$I$89,3,0)*0.475*44/12</f>
        <v>0</v>
      </c>
      <c r="GN57" s="23">
        <f>EXP(-LN(2)/2)*GN56+(1-EXP(-LN(2)/2))/(LN(2)/2)*GH57*GK57*VLOOKUP('Données projet'!$B$17,Paramètres!$A$1:$I$89,3,0)*0.475*44/12</f>
        <v>0</v>
      </c>
      <c r="GO57" s="23">
        <f t="shared" si="27"/>
        <v>0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5.7692307692307683</v>
      </c>
      <c r="GU57" s="13">
        <f>IF('Données projet'!$A$270&gt;35,GU56+GT57-HC56,IF(A57&lt;'Données projet'!$A$270,$GR$205^A57,IF(A57='Données projet'!$A$270,'Données projet'!$B$270,GU56+GT57-HC56)))</f>
        <v>212.17948717948718</v>
      </c>
      <c r="GV57" s="18">
        <f>GU57*VLOOKUP('Données projet'!$B$18,Paramètres!$A$1:$I$89,3,0)*VLOOKUP('Données projet'!$B$18,Paramètres!$A$1:$I$89,5,0)</f>
        <v>142.33000000000001</v>
      </c>
      <c r="GW57" s="14">
        <f t="shared" si="51"/>
        <v>36.830261932722308</v>
      </c>
      <c r="GX57" s="22">
        <f t="shared" si="28"/>
        <v>312.03745619949137</v>
      </c>
      <c r="GY57" s="62">
        <f t="shared" si="29"/>
        <v>605.37078953282469</v>
      </c>
      <c r="GZ57" s="62">
        <f ca="1">AVERAGE(OFFSET($GY$3,0,0,'Données projet'!$E$18+1,1))-AVERAGE(OFFSET($H$3,0,0,'Données projet'!$E$18+1,1))</f>
        <v>312.06797204903796</v>
      </c>
      <c r="HA57" s="62">
        <f t="shared" si="52"/>
        <v>258.20189001775151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>
        <f>EXP(-LN(2)/35)*HG56+(1-EXP(-LN(2)/35))/(LN(2)/35)*HC57*HD57*VLOOKUP('Données projet'!$B$18,Paramètres!$A$1:$I$89,3,0)*0.475*44/12</f>
        <v>0</v>
      </c>
      <c r="HH57" s="23">
        <f>EXP(-LN(2)/25)*HH56+(1-EXP(-LN(2)/25))/(LN(2)/25)*Calculateur!HC57*Calculateur!HE57*VLOOKUP('Données projet'!$B$18,Paramètres!$A$1:$I$89,3,0)*0.475*44/12</f>
        <v>0</v>
      </c>
      <c r="HI57" s="23">
        <f>EXP(-LN(2)/2)*HI56+(1-EXP(-LN(2)/2))/(LN(2)/2)*HC57*HF57*VLOOKUP('Données projet'!$B$18,Paramètres!$A$1:$I$89,3,0)*0.475*44/12</f>
        <v>0</v>
      </c>
      <c r="HJ57" s="24">
        <f t="shared" si="30"/>
        <v>0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254</v>
      </c>
      <c r="L58" s="13">
        <f>VLOOKUP(A58,'Données projet'!$A$35:$I$55,9,0)</f>
        <v>10.199999999999999</v>
      </c>
      <c r="M58" s="13">
        <f t="array" ref="M58">INDEX(L:L,MIN(IF(ISNUMBER(L58:L254),ROW(L58:L254),"")))</f>
        <v>10.199999999999999</v>
      </c>
      <c r="N58" s="14">
        <f>IF('Données projet'!$A$36&gt;35,N57+M58-V57,IF(A58&lt;'Données projet'!$A$36,$K$205^A58,IF(A58='Données projet'!$A$36,'Données projet'!$B$36,N57+M58-V57)))</f>
        <v>253.99999999999994</v>
      </c>
      <c r="O58" s="14">
        <f>N58*VLOOKUP('Données projet'!$B$9,Paramètres!$A$1:$I$89,3,0)*VLOOKUP('Données projet'!$B$9,Paramètres!$A$1:$I$89,5,0)</f>
        <v>229.81919999999997</v>
      </c>
      <c r="P58" s="14">
        <f t="shared" si="33"/>
        <v>56.243586554989342</v>
      </c>
      <c r="Q58" s="22">
        <f t="shared" si="53"/>
        <v>498.22601991660639</v>
      </c>
      <c r="R58" s="62">
        <f t="shared" si="0"/>
        <v>791.5593532499397</v>
      </c>
      <c r="S58" s="62">
        <f ca="1">AVERAGE(OFFSET($R$3,0,0,'Données projet'!$E$9+1,1))-AVERAGE(OFFSET($H$3,0,0,'Données projet'!$E$9+1,1))</f>
        <v>512.84819850818667</v>
      </c>
      <c r="T58" s="62">
        <f t="shared" si="34"/>
        <v>332.61387922152159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278.60000000000002</v>
      </c>
      <c r="AG58" s="13">
        <f>VLOOKUP(A58,'Données projet'!$A$61:$I$81,9,0)</f>
        <v>7.3600000000000083</v>
      </c>
      <c r="AH58" s="13">
        <f t="array" ref="AH58">INDEX(AG:AG,MIN(IF(ISNUMBER(AG58:AG254),ROW(AG58:AG254),"")))</f>
        <v>7.3600000000000083</v>
      </c>
      <c r="AI58" s="14">
        <f>IF('Données projet'!$A$62&gt;35,AI57+AH58-AQ57,IF(A58&lt;'Données projet'!$A$62,$AF$205^A58,IF(A58='Données projet'!$A$62,'Données projet'!$B$62,AI57+AH58-AQ57)))</f>
        <v>278.59999999999997</v>
      </c>
      <c r="AJ58" s="14">
        <f>AI58*VLOOKUP('Données projet'!$B$10,Paramètres!$A$1:$I$89,3,0)*VLOOKUP('Données projet'!$B$10,Paramètres!$A$1:$I$89,5,0)</f>
        <v>204.26951999999997</v>
      </c>
      <c r="AK58" s="14">
        <f t="shared" si="35"/>
        <v>50.681322367447613</v>
      </c>
      <c r="AL58" s="22">
        <f t="shared" si="4"/>
        <v>444.03938378997123</v>
      </c>
      <c r="AM58" s="62">
        <f t="shared" si="5"/>
        <v>737.37271712330448</v>
      </c>
      <c r="AN58" s="62">
        <f ca="1">AVERAGE(OFFSET($AM$3,0,0,'Données projet'!$E$10+1,1))-AVERAGE(OFFSET($H$3,0,0,'Données projet'!$E$10+1,1))</f>
        <v>344.45199703750711</v>
      </c>
      <c r="AO58" s="62">
        <f t="shared" si="36"/>
        <v>376.41441893222185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254</v>
      </c>
      <c r="BB58" s="13">
        <f>VLOOKUP(A58,'Données projet'!$A$87:$I$107,9,0)</f>
        <v>10.199999999999999</v>
      </c>
      <c r="BC58" s="13">
        <f t="array" ref="BC58">INDEX(BB:BB,MIN(IF(ISNUMBER(BB58:BB254),ROW(BB58:BB254),"")))</f>
        <v>10.199999999999999</v>
      </c>
      <c r="BD58" s="13">
        <f>IF('Données projet'!$A$88&gt;35,BD57+BC58-BL57,IF(A58&lt;'Données projet'!$A$88,$BA$205^A58,IF(A58='Données projet'!$A$88,'Données projet'!$B$88,BD57+BC58-BL57)))</f>
        <v>253.99999999999994</v>
      </c>
      <c r="BE58" s="14">
        <f>BD58*VLOOKUP('Données projet'!$B$11,Paramètres!$A$1:$I$89,3,0)*VLOOKUP('Données projet'!$B$11,Paramètres!$A$1:$I$89,5,0)</f>
        <v>257.55599999999998</v>
      </c>
      <c r="BF58" s="14">
        <f t="shared" si="37"/>
        <v>62.201129910568184</v>
      </c>
      <c r="BG58" s="22">
        <f t="shared" si="7"/>
        <v>556.91033459423954</v>
      </c>
      <c r="BH58" s="62">
        <f t="shared" si="8"/>
        <v>850.24366792757291</v>
      </c>
      <c r="BI58" s="62">
        <f ca="1">AVERAGE(OFFSET($BH$3,0,0,'Données projet'!$E$11+1,1))-AVERAGE(OFFSET($H$3,0,0,'Données projet'!$E$11+1,1))</f>
        <v>569.39473185784823</v>
      </c>
      <c r="BJ58" s="62">
        <f t="shared" si="38"/>
        <v>367.42881145517066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244</v>
      </c>
      <c r="BW58" s="13">
        <f>VLOOKUP(A58,'Données projet'!$A$113:$I$133,9,0)</f>
        <v>11</v>
      </c>
      <c r="BX58" s="13">
        <f t="array" ref="BX58">INDEX(BW:BW,MIN(IF(ISNUMBER(BW58:BW254),ROW(BW58:BW254),"")))</f>
        <v>11</v>
      </c>
      <c r="BY58" s="13">
        <f>IF('Données projet'!$A$114&gt;35,BY57+BX58-CG57,IF(A58&lt;'Données projet'!$A$114,$BV$205^A58,IF(A58='Données projet'!$A$114,'Données projet'!$B$114,BY57+BX58-CG57)))</f>
        <v>244</v>
      </c>
      <c r="BZ58" s="14">
        <f>BY58*VLOOKUP('Données projet'!$B$12,Paramètres!$A$1:$I$89,3,0)*VLOOKUP('Données projet'!$B$12,Paramètres!$A$1:$I$89,5,0)</f>
        <v>209.35200000000003</v>
      </c>
      <c r="CA58" s="14">
        <f t="shared" si="39"/>
        <v>51.79395593509436</v>
      </c>
      <c r="CB58" s="22">
        <f t="shared" si="10"/>
        <v>454.82920658695599</v>
      </c>
      <c r="CC58" s="62">
        <f t="shared" si="11"/>
        <v>748.1625399202893</v>
      </c>
      <c r="CD58" s="62">
        <f ca="1">AVERAGE(OFFSET($CC$3,0,0,'Données projet'!$E$12+1,1))-AVERAGE(OFFSET($H$3,0,0,'Données projet'!$E$12+1,1))</f>
        <v>554.06253050955502</v>
      </c>
      <c r="CE58" s="62">
        <f t="shared" si="40"/>
        <v>269.71949336355789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9.375</v>
      </c>
      <c r="CT58" s="13">
        <f>IF('Données projet'!$A$140&gt;35,CT57+CS58-DB57,IF(A58&lt;'Données projet'!$A$140,$CQ$205^A58,IF(A58='Données projet'!$A$140,'Données projet'!$B$140,CT57+CS58-DB57)))</f>
        <v>250.12499999999994</v>
      </c>
      <c r="CU58" s="18">
        <f>CT58*VLOOKUP('Données projet'!$B$13,Paramètres!$A$1:$I$89,3,0)*VLOOKUP('Données projet'!$B$13,Paramètres!$A$1:$I$89,5,0)</f>
        <v>195.09749999999997</v>
      </c>
      <c r="CV58" s="14">
        <f t="shared" si="41"/>
        <v>48.66519532492584</v>
      </c>
      <c r="CW58" s="22">
        <f t="shared" si="13"/>
        <v>424.55336102424576</v>
      </c>
      <c r="CX58" s="62">
        <f t="shared" si="14"/>
        <v>717.88669435757902</v>
      </c>
      <c r="CY58" s="62">
        <f ca="1">AVERAGE(OFFSET($CX$3,0,0,'Données projet'!$E$13+1,1))-AVERAGE(OFFSET($H$3,0,0,'Données projet'!$E$13+1,1))</f>
        <v>292.21364130214391</v>
      </c>
      <c r="CZ58" s="62">
        <f t="shared" si="42"/>
        <v>283.48738729114024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210.25641025641025</v>
      </c>
      <c r="DM58" s="13">
        <f>VLOOKUP(A58,'Données projet'!$A$165:$I$185,9,0)</f>
        <v>5.8974358974359005</v>
      </c>
      <c r="DN58" s="13">
        <f t="array" ref="DN58">INDEX(DM:DM,MIN(IF(ISNUMBER(DM58:DM254),ROW(DM58:DM254),"")))</f>
        <v>5.8974358974359005</v>
      </c>
      <c r="DO58" s="13">
        <f>IF('Données projet'!$A$166&gt;35,DO57+DN58-DW57,IF(A58&lt;'Données projet'!$A$166,$DL$205^A58,IF(A58='Données projet'!$A$166,'Données projet'!$B$166,DO57+DN58-DW57)))</f>
        <v>210.25641025641028</v>
      </c>
      <c r="DP58" s="18">
        <f>DO58*VLOOKUP('Données projet'!$B$14,Paramètres!$A$1:$I$89,3,0)*VLOOKUP('Données projet'!$B$14,Paramètres!$A$1:$I$89,5,0)</f>
        <v>200.08000000000004</v>
      </c>
      <c r="DQ58" s="14">
        <f t="shared" si="43"/>
        <v>49.761748894785782</v>
      </c>
      <c r="DR58" s="22">
        <f t="shared" si="16"/>
        <v>435.14104599175198</v>
      </c>
      <c r="DS58" s="62">
        <f t="shared" si="17"/>
        <v>728.47437932508524</v>
      </c>
      <c r="DT58" s="62">
        <f ca="1">AVERAGE(OFFSET($DS$3,0,0,'Données projet'!$E$14+1,1))-AVERAGE(OFFSET($H$3,0,0,'Données projet'!$E$14+1,1))</f>
        <v>427.47603885390191</v>
      </c>
      <c r="DU58" s="62">
        <f t="shared" si="44"/>
        <v>350.88664394632116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197</v>
      </c>
      <c r="EH58" s="13">
        <f>VLOOKUP(A58,'Données projet'!$A$191:$I$211,9,0)</f>
        <v>8</v>
      </c>
      <c r="EI58" s="13">
        <f t="array" ref="EI58">INDEX(EH:EH,MIN(IF(ISNUMBER(EH58:EH254),ROW(EH58:EH254),"")))</f>
        <v>8</v>
      </c>
      <c r="EJ58" s="13">
        <f>IF('Données projet'!$A$192&gt;35,EJ57+EI58-ER57,IF(A58&lt;'Données projet'!$A$192,$EG$205^A58,IF(A58='Données projet'!$A$192,'Données projet'!$B$192,EJ57+EI58-ER57)))</f>
        <v>197</v>
      </c>
      <c r="EK58" s="18">
        <f>EJ58*VLOOKUP('Données projet'!$B$15,Paramètres!$A$1:$I$89,3,0)*VLOOKUP('Données projet'!$B$15,Paramètres!$A$1:$I$89,5,0)</f>
        <v>190.5384</v>
      </c>
      <c r="EL58" s="14">
        <f t="shared" si="45"/>
        <v>47.658965836673829</v>
      </c>
      <c r="EM58" s="22">
        <f t="shared" si="19"/>
        <v>414.86041216554025</v>
      </c>
      <c r="EN58" s="62">
        <f t="shared" si="20"/>
        <v>708.19374549887357</v>
      </c>
      <c r="EO58" s="62">
        <f ca="1">AVERAGE(OFFSET($EN$3,0,0,'Données projet'!$E$15+1,1))-AVERAGE(OFFSET($H$3,0,0,'Données projet'!$E$15+1,1))</f>
        <v>455.50822833641354</v>
      </c>
      <c r="EP58" s="62">
        <f t="shared" si="46"/>
        <v>261.14722581688039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>
        <f>VLOOKUP(A58,'Données projet'!$A$217:$I$237,2,0)</f>
        <v>218</v>
      </c>
      <c r="FC58" s="13">
        <f>VLOOKUP(A58,'Données projet'!$A$217:$I$237,9,0)</f>
        <v>6.6</v>
      </c>
      <c r="FD58" s="13">
        <f t="array" ref="FD58">INDEX(FC:FC,MIN(IF(ISNUMBER(FC58:FC254),ROW(FC58:FC254),"")))</f>
        <v>6.6</v>
      </c>
      <c r="FE58" s="13">
        <f>IF('Données projet'!$A$218&gt;35,FE57+FD58-FM57,IF(A58&lt;'Données projet'!$A$218,$FB$205^A58,IF(A58='Données projet'!$A$218,'Données projet'!$B$218,FE57+FD58-FM57)))</f>
        <v>218.00000000000006</v>
      </c>
      <c r="FF58" s="18">
        <f>FE58*VLOOKUP('Données projet'!$B$16,Paramètres!$A$1:$I$89,3,0)*VLOOKUP('Données projet'!$B$16,Paramètres!$A$1:$I$89,5,0)</f>
        <v>190.44480000000007</v>
      </c>
      <c r="FG58" s="14">
        <f t="shared" si="47"/>
        <v>47.638278428909231</v>
      </c>
      <c r="FH58" s="22">
        <f t="shared" si="22"/>
        <v>414.66136159701699</v>
      </c>
      <c r="FI58" s="62">
        <f t="shared" si="23"/>
        <v>707.99469493035031</v>
      </c>
      <c r="FJ58" s="62">
        <f ca="1">AVERAGE(OFFSET($FI$3,0,0,'Données projet'!$E$16+1,1))-AVERAGE(OFFSET($H$3,0,0,'Données projet'!$E$16+1,1))</f>
        <v>369.34989412920129</v>
      </c>
      <c r="FK58" s="62">
        <f t="shared" si="48"/>
        <v>371.26234252426553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0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>
        <f>FZ58*VLOOKUP('Données projet'!$B$17,Paramètres!$A$1:$I$89,3,0)*VLOOKUP('Données projet'!$B$17,Paramètres!$A$1:$I$89,5,0)</f>
        <v>0</v>
      </c>
      <c r="GB58" s="14" t="e">
        <f t="shared" si="49"/>
        <v>#NUM!</v>
      </c>
      <c r="GC58" s="22" t="e">
        <f t="shared" si="25"/>
        <v>#NUM!</v>
      </c>
      <c r="GD58" s="62" t="e">
        <f t="shared" si="26"/>
        <v>#NUM!</v>
      </c>
      <c r="GE58" s="62">
        <f ca="1">AVERAGE(OFFSET($GD$3,0,0,'Données projet'!$E$17+1,1))-AVERAGE(OFFSET($H$3,0,0,'Données projet'!$E$17+1,1))</f>
        <v>324.4489531703187</v>
      </c>
      <c r="GF58" s="62">
        <f t="shared" si="50"/>
        <v>446.55019360848706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projet'!$B$17,Paramètres!$A$1:$I$89,3,0)*0.475*44/12</f>
        <v>0</v>
      </c>
      <c r="GM58" s="23">
        <f>EXP(-LN(2)/25)*GM57+(1-EXP(-LN(2)/25))/(LN(2)/25)*Calculateur!GH58*Calculateur!GJ58*VLOOKUP('Données projet'!$B$17,Paramètres!$A$1:$I$89,3,0)*0.475*44/12</f>
        <v>0</v>
      </c>
      <c r="GN58" s="23">
        <f>EXP(-LN(2)/2)*GN57+(1-EXP(-LN(2)/2))/(LN(2)/2)*GH58*GK58*VLOOKUP('Données projet'!$B$17,Paramètres!$A$1:$I$89,3,0)*0.475*44/12</f>
        <v>0</v>
      </c>
      <c r="GO58" s="23">
        <f t="shared" si="27"/>
        <v>0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>
        <f>VLOOKUP(A58,'Données projet'!$A$269:$I$289,2,0)</f>
        <v>217.94871794871793</v>
      </c>
      <c r="GS58" s="13">
        <f>VLOOKUP(A58,'Données projet'!$A$269:$I$289,9,0)</f>
        <v>5.7692307692307683</v>
      </c>
      <c r="GT58" s="13">
        <f t="array" ref="GT58">INDEX(GS:GS,MIN(IF(ISNUMBER(GS58:GS254),ROW(GS58:GS254),"")))</f>
        <v>5.7692307692307683</v>
      </c>
      <c r="GU58" s="13">
        <f>IF('Données projet'!$A$270&gt;35,GU57+GT58-HC57,IF(A58&lt;'Données projet'!$A$270,$GR$205^A58,IF(A58='Données projet'!$A$270,'Données projet'!$B$270,GU57+GT58-HC57)))</f>
        <v>217.94871794871796</v>
      </c>
      <c r="GV58" s="18">
        <f>GU58*VLOOKUP('Données projet'!$B$18,Paramètres!$A$1:$I$89,3,0)*VLOOKUP('Données projet'!$B$18,Paramètres!$A$1:$I$89,5,0)</f>
        <v>146.19999999999999</v>
      </c>
      <c r="GW58" s="14">
        <f t="shared" si="51"/>
        <v>37.713736580072478</v>
      </c>
      <c r="GX58" s="22">
        <f t="shared" si="28"/>
        <v>320.31642454362617</v>
      </c>
      <c r="GY58" s="62">
        <f t="shared" si="29"/>
        <v>613.64975787695948</v>
      </c>
      <c r="GZ58" s="62">
        <f ca="1">AVERAGE(OFFSET($GY$3,0,0,'Données projet'!$E$18+1,1))-AVERAGE(OFFSET($H$3,0,0,'Données projet'!$E$18+1,1))</f>
        <v>312.06797204903796</v>
      </c>
      <c r="HA58" s="62">
        <f t="shared" si="52"/>
        <v>258.20189001775151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>
        <f>EXP(-LN(2)/35)*HG57+(1-EXP(-LN(2)/35))/(LN(2)/35)*HC58*HD58*VLOOKUP('Données projet'!$B$18,Paramètres!$A$1:$I$89,3,0)*0.475*44/12</f>
        <v>0</v>
      </c>
      <c r="HH58" s="23">
        <f>EXP(-LN(2)/25)*HH57+(1-EXP(-LN(2)/25))/(LN(2)/25)*Calculateur!HC58*Calculateur!HE58*VLOOKUP('Données projet'!$B$18,Paramètres!$A$1:$I$89,3,0)*0.475*44/12</f>
        <v>0</v>
      </c>
      <c r="HI58" s="23">
        <f>EXP(-LN(2)/2)*HI57+(1-EXP(-LN(2)/2))/(LN(2)/2)*HC58*HF58*VLOOKUP('Données projet'!$B$18,Paramètres!$A$1:$I$89,3,0)*0.475*44/12</f>
        <v>0</v>
      </c>
      <c r="HJ58" s="24">
        <f t="shared" si="30"/>
        <v>0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9.4</v>
      </c>
      <c r="N59" s="14">
        <f>IF('Données projet'!$A$36&gt;35,N58+M59-V58,IF(A59&lt;'Données projet'!$A$36,$K$205^A59,IF(A59='Données projet'!$A$36,'Données projet'!$B$36,N58+M59-V58)))</f>
        <v>263.39999999999992</v>
      </c>
      <c r="O59" s="14">
        <f>N59*VLOOKUP('Données projet'!$B$9,Paramètres!$A$1:$I$89,3,0)*VLOOKUP('Données projet'!$B$9,Paramètres!$A$1:$I$89,5,0)</f>
        <v>238.32431999999991</v>
      </c>
      <c r="P59" s="14">
        <f t="shared" si="33"/>
        <v>58.078852882738758</v>
      </c>
      <c r="Q59" s="22">
        <f t="shared" si="53"/>
        <v>516.23552610410309</v>
      </c>
      <c r="R59" s="62">
        <f t="shared" si="0"/>
        <v>809.56885943743646</v>
      </c>
      <c r="S59" s="62">
        <f ca="1">AVERAGE(OFFSET($R$3,0,0,'Données projet'!$E$9+1,1))-AVERAGE(OFFSET($H$3,0,0,'Données projet'!$E$9+1,1))</f>
        <v>512.84819850818667</v>
      </c>
      <c r="T59" s="62">
        <f t="shared" si="34"/>
        <v>332.61387922152159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6.2799999999999958</v>
      </c>
      <c r="AI59" s="14">
        <f>IF('Données projet'!$A$62&gt;35,AI58+AH59-AQ58,IF(A59&lt;'Données projet'!$A$62,$AF$205^A59,IF(A59='Données projet'!$A$62,'Données projet'!$B$62,AI58+AH59-AQ58)))</f>
        <v>284.87999999999994</v>
      </c>
      <c r="AJ59" s="14">
        <f>AI59*VLOOKUP('Données projet'!$B$10,Paramètres!$A$1:$I$89,3,0)*VLOOKUP('Données projet'!$B$10,Paramètres!$A$1:$I$89,5,0)</f>
        <v>208.87401599999995</v>
      </c>
      <c r="AK59" s="14">
        <f t="shared" si="35"/>
        <v>51.689452927517024</v>
      </c>
      <c r="AL59" s="22">
        <f t="shared" si="4"/>
        <v>453.81470838209202</v>
      </c>
      <c r="AM59" s="62">
        <f t="shared" si="5"/>
        <v>747.14804171542528</v>
      </c>
      <c r="AN59" s="62">
        <f ca="1">AVERAGE(OFFSET($AM$3,0,0,'Données projet'!$E$10+1,1))-AVERAGE(OFFSET($H$3,0,0,'Données projet'!$E$10+1,1))</f>
        <v>344.45199703750711</v>
      </c>
      <c r="AO59" s="62">
        <f t="shared" si="36"/>
        <v>376.41441893222185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9.4</v>
      </c>
      <c r="BD59" s="13">
        <f>IF('Données projet'!$A$88&gt;35,BD58+BC59-BL58,IF(A59&lt;'Données projet'!$A$88,$BA$205^A59,IF(A59='Données projet'!$A$88,'Données projet'!$B$88,BD58+BC59-BL58)))</f>
        <v>263.39999999999992</v>
      </c>
      <c r="BE59" s="14">
        <f>BD59*VLOOKUP('Données projet'!$B$11,Paramètres!$A$1:$I$89,3,0)*VLOOKUP('Données projet'!$B$11,Paramètres!$A$1:$I$89,5,0)</f>
        <v>267.08759999999995</v>
      </c>
      <c r="BF59" s="14">
        <f t="shared" si="37"/>
        <v>64.230794913549857</v>
      </c>
      <c r="BG59" s="22">
        <f t="shared" si="7"/>
        <v>577.04620447443256</v>
      </c>
      <c r="BH59" s="62">
        <f t="shared" si="8"/>
        <v>870.37953780776593</v>
      </c>
      <c r="BI59" s="62">
        <f ca="1">AVERAGE(OFFSET($BH$3,0,0,'Données projet'!$E$11+1,1))-AVERAGE(OFFSET($H$3,0,0,'Données projet'!$E$11+1,1))</f>
        <v>569.39473185784823</v>
      </c>
      <c r="BJ59" s="62">
        <f t="shared" si="38"/>
        <v>367.42881145517066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10.8</v>
      </c>
      <c r="BY59" s="13">
        <f>IF('Données projet'!$A$114&gt;35,BY58+BX59-CG58,IF(A59&lt;'Données projet'!$A$114,$BV$205^A59,IF(A59='Données projet'!$A$114,'Données projet'!$B$114,BY58+BX59-CG58)))</f>
        <v>254.8</v>
      </c>
      <c r="BZ59" s="14">
        <f>BY59*VLOOKUP('Données projet'!$B$12,Paramètres!$A$1:$I$89,3,0)*VLOOKUP('Données projet'!$B$12,Paramètres!$A$1:$I$89,5,0)</f>
        <v>218.61840000000004</v>
      </c>
      <c r="CA59" s="14">
        <f t="shared" si="39"/>
        <v>53.814491776889589</v>
      </c>
      <c r="CB59" s="22">
        <f t="shared" si="10"/>
        <v>474.48728651141602</v>
      </c>
      <c r="CC59" s="62">
        <f t="shared" si="11"/>
        <v>767.82061984474933</v>
      </c>
      <c r="CD59" s="62">
        <f ca="1">AVERAGE(OFFSET($CC$3,0,0,'Données projet'!$E$12+1,1))-AVERAGE(OFFSET($H$3,0,0,'Données projet'!$E$12+1,1))</f>
        <v>554.06253050955502</v>
      </c>
      <c r="CE59" s="62">
        <f t="shared" si="40"/>
        <v>269.71949336355789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9.375</v>
      </c>
      <c r="CT59" s="13">
        <f>IF('Données projet'!$A$140&gt;35,CT58+CS59-DB58,IF(A59&lt;'Données projet'!$A$140,$CQ$205^A59,IF(A59='Données projet'!$A$140,'Données projet'!$B$140,CT58+CS59-DB58)))</f>
        <v>259.49999999999994</v>
      </c>
      <c r="CU59" s="18">
        <f>CT59*VLOOKUP('Données projet'!$B$13,Paramètres!$A$1:$I$89,3,0)*VLOOKUP('Données projet'!$B$13,Paramètres!$A$1:$I$89,5,0)</f>
        <v>202.40999999999997</v>
      </c>
      <c r="CV59" s="14">
        <f t="shared" si="41"/>
        <v>50.273442991661867</v>
      </c>
      <c r="CW59" s="22">
        <f t="shared" si="13"/>
        <v>440.09032987714431</v>
      </c>
      <c r="CX59" s="62">
        <f t="shared" si="14"/>
        <v>733.42366321047757</v>
      </c>
      <c r="CY59" s="62">
        <f ca="1">AVERAGE(OFFSET($CX$3,0,0,'Données projet'!$E$13+1,1))-AVERAGE(OFFSET($H$3,0,0,'Données projet'!$E$13+1,1))</f>
        <v>292.21364130214391</v>
      </c>
      <c r="CZ59" s="62">
        <f t="shared" si="42"/>
        <v>283.48738729114024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5.5128205128205137</v>
      </c>
      <c r="DO59" s="13">
        <f>IF('Données projet'!$A$166&gt;35,DO58+DN59-DW58,IF(A59&lt;'Données projet'!$A$166,$DL$205^A59,IF(A59='Données projet'!$A$166,'Données projet'!$B$166,DO58+DN59-DW58)))</f>
        <v>215.7692307692308</v>
      </c>
      <c r="DP59" s="18">
        <f>DO59*VLOOKUP('Données projet'!$B$14,Paramètres!$A$1:$I$89,3,0)*VLOOKUP('Données projet'!$B$14,Paramètres!$A$1:$I$89,5,0)</f>
        <v>205.32600000000005</v>
      </c>
      <c r="DQ59" s="14">
        <f t="shared" si="43"/>
        <v>50.912864943643207</v>
      </c>
      <c r="DR59" s="22">
        <f t="shared" si="16"/>
        <v>446.2826897768453</v>
      </c>
      <c r="DS59" s="62">
        <f t="shared" si="17"/>
        <v>739.61602311017862</v>
      </c>
      <c r="DT59" s="62">
        <f ca="1">AVERAGE(OFFSET($DS$3,0,0,'Données projet'!$E$14+1,1))-AVERAGE(OFFSET($H$3,0,0,'Données projet'!$E$14+1,1))</f>
        <v>427.47603885390191</v>
      </c>
      <c r="DU59" s="62">
        <f t="shared" si="44"/>
        <v>350.88664394632116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7.6</v>
      </c>
      <c r="EJ59" s="13">
        <f>IF('Données projet'!$A$192&gt;35,EJ58+EI59-ER58,IF(A59&lt;'Données projet'!$A$192,$EG$205^A59,IF(A59='Données projet'!$A$192,'Données projet'!$B$192,EJ58+EI59-ER58)))</f>
        <v>204.6</v>
      </c>
      <c r="EK59" s="18">
        <f>EJ59*VLOOKUP('Données projet'!$B$15,Paramètres!$A$1:$I$89,3,0)*VLOOKUP('Données projet'!$B$15,Paramètres!$A$1:$I$89,5,0)</f>
        <v>197.88911999999999</v>
      </c>
      <c r="EL59" s="14">
        <f t="shared" si="45"/>
        <v>49.279974103179534</v>
      </c>
      <c r="EM59" s="22">
        <f t="shared" si="19"/>
        <v>430.48617222970438</v>
      </c>
      <c r="EN59" s="62">
        <f t="shared" si="20"/>
        <v>723.81950556303764</v>
      </c>
      <c r="EO59" s="62">
        <f ca="1">AVERAGE(OFFSET($EN$3,0,0,'Données projet'!$E$15+1,1))-AVERAGE(OFFSET($H$3,0,0,'Données projet'!$E$15+1,1))</f>
        <v>455.50822833641354</v>
      </c>
      <c r="EP59" s="62">
        <f t="shared" si="46"/>
        <v>261.14722581688039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6</v>
      </c>
      <c r="FE59" s="13">
        <f>IF('Données projet'!$A$218&gt;35,FE58+FD59-FM58,IF(A59&lt;'Données projet'!$A$218,$FB$205^A59,IF(A59='Données projet'!$A$218,'Données projet'!$B$218,FE58+FD59-FM58)))</f>
        <v>224.00000000000006</v>
      </c>
      <c r="FF59" s="18">
        <f>FE59*VLOOKUP('Données projet'!$B$16,Paramètres!$A$1:$I$89,3,0)*VLOOKUP('Données projet'!$B$16,Paramètres!$A$1:$I$89,5,0)</f>
        <v>195.68640000000008</v>
      </c>
      <c r="FG59" s="14">
        <f t="shared" si="47"/>
        <v>48.794969360985156</v>
      </c>
      <c r="FH59" s="22">
        <f t="shared" si="22"/>
        <v>425.8050516370493</v>
      </c>
      <c r="FI59" s="62">
        <f t="shared" si="23"/>
        <v>719.13838497038262</v>
      </c>
      <c r="FJ59" s="62">
        <f ca="1">AVERAGE(OFFSET($FI$3,0,0,'Données projet'!$E$16+1,1))-AVERAGE(OFFSET($H$3,0,0,'Données projet'!$E$16+1,1))</f>
        <v>369.34989412920129</v>
      </c>
      <c r="FK59" s="62">
        <f t="shared" si="48"/>
        <v>371.26234252426553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0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>
        <f>FZ59*VLOOKUP('Données projet'!$B$17,Paramètres!$A$1:$I$89,3,0)*VLOOKUP('Données projet'!$B$17,Paramètres!$A$1:$I$89,5,0)</f>
        <v>0</v>
      </c>
      <c r="GB59" s="14" t="e">
        <f t="shared" si="49"/>
        <v>#NUM!</v>
      </c>
      <c r="GC59" s="22" t="e">
        <f t="shared" si="25"/>
        <v>#NUM!</v>
      </c>
      <c r="GD59" s="62" t="e">
        <f t="shared" si="26"/>
        <v>#NUM!</v>
      </c>
      <c r="GE59" s="62">
        <f ca="1">AVERAGE(OFFSET($GD$3,0,0,'Données projet'!$E$17+1,1))-AVERAGE(OFFSET($H$3,0,0,'Données projet'!$E$17+1,1))</f>
        <v>324.4489531703187</v>
      </c>
      <c r="GF59" s="62">
        <f t="shared" si="50"/>
        <v>446.55019360848706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projet'!$B$17,Paramètres!$A$1:$I$89,3,0)*0.475*44/12</f>
        <v>0</v>
      </c>
      <c r="GM59" s="23">
        <f>EXP(-LN(2)/25)*GM58+(1-EXP(-LN(2)/25))/(LN(2)/25)*Calculateur!GH59*Calculateur!GJ59*VLOOKUP('Données projet'!$B$17,Paramètres!$A$1:$I$89,3,0)*0.475*44/12</f>
        <v>0</v>
      </c>
      <c r="GN59" s="23">
        <f>EXP(-LN(2)/2)*GN58+(1-EXP(-LN(2)/2))/(LN(2)/2)*GH59*GK59*VLOOKUP('Données projet'!$B$17,Paramètres!$A$1:$I$89,3,0)*0.475*44/12</f>
        <v>0</v>
      </c>
      <c r="GO59" s="23">
        <f t="shared" si="27"/>
        <v>0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5.3846153846153868</v>
      </c>
      <c r="GU59" s="13">
        <f>IF('Données projet'!$A$270&gt;35,GU58+GT59-HC58,IF(A59&lt;'Données projet'!$A$270,$GR$205^A59,IF(A59='Données projet'!$A$270,'Données projet'!$B$270,GU58+GT59-HC58)))</f>
        <v>223.33333333333334</v>
      </c>
      <c r="GV59" s="18">
        <f>GU59*VLOOKUP('Données projet'!$B$18,Paramètres!$A$1:$I$89,3,0)*VLOOKUP('Données projet'!$B$18,Paramètres!$A$1:$I$89,5,0)</f>
        <v>149.81200000000001</v>
      </c>
      <c r="GW59" s="14">
        <f t="shared" si="51"/>
        <v>38.535858828351053</v>
      </c>
      <c r="GX59" s="22">
        <f t="shared" si="28"/>
        <v>328.03918745937807</v>
      </c>
      <c r="GY59" s="62">
        <f t="shared" si="29"/>
        <v>621.37252079271138</v>
      </c>
      <c r="GZ59" s="62">
        <f ca="1">AVERAGE(OFFSET($GY$3,0,0,'Données projet'!$E$18+1,1))-AVERAGE(OFFSET($H$3,0,0,'Données projet'!$E$18+1,1))</f>
        <v>312.06797204903796</v>
      </c>
      <c r="HA59" s="62">
        <f t="shared" si="52"/>
        <v>258.20189001775151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>
        <f>EXP(-LN(2)/35)*HG58+(1-EXP(-LN(2)/35))/(LN(2)/35)*HC59*HD59*VLOOKUP('Données projet'!$B$18,Paramètres!$A$1:$I$89,3,0)*0.475*44/12</f>
        <v>0</v>
      </c>
      <c r="HH59" s="23">
        <f>EXP(-LN(2)/25)*HH58+(1-EXP(-LN(2)/25))/(LN(2)/25)*Calculateur!HC59*Calculateur!HE59*VLOOKUP('Données projet'!$B$18,Paramètres!$A$1:$I$89,3,0)*0.475*44/12</f>
        <v>0</v>
      </c>
      <c r="HI59" s="23">
        <f>EXP(-LN(2)/2)*HI58+(1-EXP(-LN(2)/2))/(LN(2)/2)*HC59*HF59*VLOOKUP('Données projet'!$B$18,Paramètres!$A$1:$I$89,3,0)*0.475*44/12</f>
        <v>0</v>
      </c>
      <c r="HJ59" s="24">
        <f t="shared" si="30"/>
        <v>0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9.4</v>
      </c>
      <c r="N60" s="14">
        <f>IF('Données projet'!$A$36&gt;35,N59+M60-V59,IF(A60&lt;'Données projet'!$A$36,$K$205^A60,IF(A60='Données projet'!$A$36,'Données projet'!$B$36,N59+M60-V59)))</f>
        <v>272.7999999999999</v>
      </c>
      <c r="O60" s="14">
        <f>N60*VLOOKUP('Données projet'!$B$9,Paramètres!$A$1:$I$89,3,0)*VLOOKUP('Données projet'!$B$9,Paramètres!$A$1:$I$89,5,0)</f>
        <v>246.82943999999989</v>
      </c>
      <c r="P60" s="14">
        <f t="shared" si="33"/>
        <v>59.906509645447436</v>
      </c>
      <c r="Q60" s="22">
        <f t="shared" si="53"/>
        <v>534.23177896582058</v>
      </c>
      <c r="R60" s="62">
        <f t="shared" si="0"/>
        <v>827.56511229915395</v>
      </c>
      <c r="S60" s="62">
        <f ca="1">AVERAGE(OFFSET($R$3,0,0,'Données projet'!$E$9+1,1))-AVERAGE(OFFSET($H$3,0,0,'Données projet'!$E$9+1,1))</f>
        <v>512.84819850818667</v>
      </c>
      <c r="T60" s="62">
        <f t="shared" si="34"/>
        <v>332.61387922152159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6.2799999999999958</v>
      </c>
      <c r="AI60" s="14">
        <f>IF('Données projet'!$A$62&gt;35,AI59+AH60-AQ59,IF(A60&lt;'Données projet'!$A$62,$AF$205^A60,IF(A60='Données projet'!$A$62,'Données projet'!$B$62,AI59+AH60-AQ59)))</f>
        <v>291.15999999999991</v>
      </c>
      <c r="AJ60" s="14">
        <f>AI60*VLOOKUP('Données projet'!$B$10,Paramètres!$A$1:$I$89,3,0)*VLOOKUP('Données projet'!$B$10,Paramètres!$A$1:$I$89,5,0)</f>
        <v>213.47851199999994</v>
      </c>
      <c r="AK60" s="14">
        <f t="shared" si="35"/>
        <v>52.694999755073347</v>
      </c>
      <c r="AL60" s="22">
        <f t="shared" si="4"/>
        <v>463.58553297341928</v>
      </c>
      <c r="AM60" s="62">
        <f t="shared" si="5"/>
        <v>756.91886630675253</v>
      </c>
      <c r="AN60" s="62">
        <f ca="1">AVERAGE(OFFSET($AM$3,0,0,'Données projet'!$E$10+1,1))-AVERAGE(OFFSET($H$3,0,0,'Données projet'!$E$10+1,1))</f>
        <v>344.45199703750711</v>
      </c>
      <c r="AO60" s="62">
        <f t="shared" si="36"/>
        <v>376.41441893222185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9.4</v>
      </c>
      <c r="BD60" s="13">
        <f>IF('Données projet'!$A$88&gt;35,BD59+BC60-BL59,IF(A60&lt;'Données projet'!$A$88,$BA$205^A60,IF(A60='Données projet'!$A$88,'Données projet'!$B$88,BD59+BC60-BL59)))</f>
        <v>272.7999999999999</v>
      </c>
      <c r="BE60" s="14">
        <f>BD60*VLOOKUP('Données projet'!$B$11,Paramètres!$A$1:$I$89,3,0)*VLOOKUP('Données projet'!$B$11,Paramètres!$A$1:$I$89,5,0)</f>
        <v>276.61919999999992</v>
      </c>
      <c r="BF60" s="14">
        <f t="shared" si="37"/>
        <v>66.252044316235512</v>
      </c>
      <c r="BG60" s="22">
        <f t="shared" si="7"/>
        <v>597.16741718411004</v>
      </c>
      <c r="BH60" s="62">
        <f t="shared" si="8"/>
        <v>890.50075051744329</v>
      </c>
      <c r="BI60" s="62">
        <f ca="1">AVERAGE(OFFSET($BH$3,0,0,'Données projet'!$E$11+1,1))-AVERAGE(OFFSET($H$3,0,0,'Données projet'!$E$11+1,1))</f>
        <v>569.39473185784823</v>
      </c>
      <c r="BJ60" s="62">
        <f t="shared" si="38"/>
        <v>367.42881145517066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10.8</v>
      </c>
      <c r="BY60" s="13">
        <f>IF('Données projet'!$A$114&gt;35,BY59+BX60-CG59,IF(A60&lt;'Données projet'!$A$114,$BV$205^A60,IF(A60='Données projet'!$A$114,'Données projet'!$B$114,BY59+BX60-CG59)))</f>
        <v>265.60000000000002</v>
      </c>
      <c r="BZ60" s="14">
        <f>BY60*VLOOKUP('Données projet'!$B$12,Paramètres!$A$1:$I$89,3,0)*VLOOKUP('Données projet'!$B$12,Paramètres!$A$1:$I$89,5,0)</f>
        <v>227.88480000000004</v>
      </c>
      <c r="CA60" s="14">
        <f t="shared" si="39"/>
        <v>55.825080201942612</v>
      </c>
      <c r="CB60" s="22">
        <f t="shared" si="10"/>
        <v>494.12804135171677</v>
      </c>
      <c r="CC60" s="62">
        <f t="shared" si="11"/>
        <v>787.46137468505003</v>
      </c>
      <c r="CD60" s="62">
        <f ca="1">AVERAGE(OFFSET($CC$3,0,0,'Données projet'!$E$12+1,1))-AVERAGE(OFFSET($H$3,0,0,'Données projet'!$E$12+1,1))</f>
        <v>554.06253050955502</v>
      </c>
      <c r="CE60" s="62">
        <f t="shared" si="40"/>
        <v>269.71949336355789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9.375</v>
      </c>
      <c r="CT60" s="13">
        <f>IF('Données projet'!$A$140&gt;35,CT59+CS60-DB59,IF(A60&lt;'Données projet'!$A$140,$CQ$205^A60,IF(A60='Données projet'!$A$140,'Données projet'!$B$140,CT59+CS60-DB59)))</f>
        <v>268.87499999999994</v>
      </c>
      <c r="CU60" s="18">
        <f>CT60*VLOOKUP('Données projet'!$B$13,Paramètres!$A$1:$I$89,3,0)*VLOOKUP('Données projet'!$B$13,Paramètres!$A$1:$I$89,5,0)</f>
        <v>209.72249999999997</v>
      </c>
      <c r="CV60" s="14">
        <f t="shared" si="41"/>
        <v>51.874940300502296</v>
      </c>
      <c r="CW60" s="22">
        <f t="shared" si="13"/>
        <v>455.61554185670815</v>
      </c>
      <c r="CX60" s="62">
        <f t="shared" si="14"/>
        <v>748.94887519004146</v>
      </c>
      <c r="CY60" s="62">
        <f ca="1">AVERAGE(OFFSET($CX$3,0,0,'Données projet'!$E$13+1,1))-AVERAGE(OFFSET($H$3,0,0,'Données projet'!$E$13+1,1))</f>
        <v>292.21364130214391</v>
      </c>
      <c r="CZ60" s="62">
        <f t="shared" si="42"/>
        <v>283.48738729114024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5.5128205128205137</v>
      </c>
      <c r="DO60" s="13">
        <f>IF('Données projet'!$A$166&gt;35,DO59+DN60-DW59,IF(A60&lt;'Données projet'!$A$166,$DL$205^A60,IF(A60='Données projet'!$A$166,'Données projet'!$B$166,DO59+DN60-DW59)))</f>
        <v>221.28205128205133</v>
      </c>
      <c r="DP60" s="18">
        <f>DO60*VLOOKUP('Données projet'!$B$14,Paramètres!$A$1:$I$89,3,0)*VLOOKUP('Données projet'!$B$14,Paramètres!$A$1:$I$89,5,0)</f>
        <v>210.57200000000006</v>
      </c>
      <c r="DQ60" s="14">
        <f t="shared" si="43"/>
        <v>52.060562294525177</v>
      </c>
      <c r="DR60" s="22">
        <f t="shared" si="16"/>
        <v>457.41837932963148</v>
      </c>
      <c r="DS60" s="62">
        <f t="shared" si="17"/>
        <v>750.75171266296479</v>
      </c>
      <c r="DT60" s="62">
        <f ca="1">AVERAGE(OFFSET($DS$3,0,0,'Données projet'!$E$14+1,1))-AVERAGE(OFFSET($H$3,0,0,'Données projet'!$E$14+1,1))</f>
        <v>427.47603885390191</v>
      </c>
      <c r="DU60" s="62">
        <f t="shared" si="44"/>
        <v>350.88664394632116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7.6</v>
      </c>
      <c r="EJ60" s="13">
        <f>IF('Données projet'!$A$192&gt;35,EJ59+EI60-ER59,IF(A60&lt;'Données projet'!$A$192,$EG$205^A60,IF(A60='Données projet'!$A$192,'Données projet'!$B$192,EJ59+EI60-ER59)))</f>
        <v>212.2</v>
      </c>
      <c r="EK60" s="18">
        <f>EJ60*VLOOKUP('Données projet'!$B$15,Paramètres!$A$1:$I$89,3,0)*VLOOKUP('Données projet'!$B$15,Paramètres!$A$1:$I$89,5,0)</f>
        <v>205.23983999999999</v>
      </c>
      <c r="EL60" s="14">
        <f t="shared" si="45"/>
        <v>50.893986960458122</v>
      </c>
      <c r="EM60" s="22">
        <f t="shared" si="19"/>
        <v>446.0997486227979</v>
      </c>
      <c r="EN60" s="62">
        <f t="shared" si="20"/>
        <v>739.43308195613122</v>
      </c>
      <c r="EO60" s="62">
        <f ca="1">AVERAGE(OFFSET($EN$3,0,0,'Données projet'!$E$15+1,1))-AVERAGE(OFFSET($H$3,0,0,'Données projet'!$E$15+1,1))</f>
        <v>455.50822833641354</v>
      </c>
      <c r="EP60" s="62">
        <f t="shared" si="46"/>
        <v>261.14722581688039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6</v>
      </c>
      <c r="FE60" s="13">
        <f>IF('Données projet'!$A$218&gt;35,FE59+FD60-FM59,IF(A60&lt;'Données projet'!$A$218,$FB$205^A60,IF(A60='Données projet'!$A$218,'Données projet'!$B$218,FE59+FD60-FM59)))</f>
        <v>230.00000000000006</v>
      </c>
      <c r="FF60" s="18">
        <f>FE60*VLOOKUP('Données projet'!$B$16,Paramètres!$A$1:$I$89,3,0)*VLOOKUP('Données projet'!$B$16,Paramètres!$A$1:$I$89,5,0)</f>
        <v>200.92800000000008</v>
      </c>
      <c r="FG60" s="14">
        <f t="shared" si="47"/>
        <v>49.948059057189084</v>
      </c>
      <c r="FH60" s="22">
        <f t="shared" si="22"/>
        <v>436.94246952460441</v>
      </c>
      <c r="FI60" s="62">
        <f t="shared" si="23"/>
        <v>730.27580285793772</v>
      </c>
      <c r="FJ60" s="62">
        <f ca="1">AVERAGE(OFFSET($FI$3,0,0,'Données projet'!$E$16+1,1))-AVERAGE(OFFSET($H$3,0,0,'Données projet'!$E$16+1,1))</f>
        <v>369.34989412920129</v>
      </c>
      <c r="FK60" s="62">
        <f t="shared" si="48"/>
        <v>371.26234252426553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0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>
        <f>FZ60*VLOOKUP('Données projet'!$B$17,Paramètres!$A$1:$I$89,3,0)*VLOOKUP('Données projet'!$B$17,Paramètres!$A$1:$I$89,5,0)</f>
        <v>0</v>
      </c>
      <c r="GB60" s="14" t="e">
        <f t="shared" si="49"/>
        <v>#NUM!</v>
      </c>
      <c r="GC60" s="22" t="e">
        <f t="shared" si="25"/>
        <v>#NUM!</v>
      </c>
      <c r="GD60" s="62" t="e">
        <f t="shared" si="26"/>
        <v>#NUM!</v>
      </c>
      <c r="GE60" s="62">
        <f ca="1">AVERAGE(OFFSET($GD$3,0,0,'Données projet'!$E$17+1,1))-AVERAGE(OFFSET($H$3,0,0,'Données projet'!$E$17+1,1))</f>
        <v>324.4489531703187</v>
      </c>
      <c r="GF60" s="62">
        <f t="shared" si="50"/>
        <v>446.55019360848706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projet'!$B$17,Paramètres!$A$1:$I$89,3,0)*0.475*44/12</f>
        <v>0</v>
      </c>
      <c r="GM60" s="23">
        <f>EXP(-LN(2)/25)*GM59+(1-EXP(-LN(2)/25))/(LN(2)/25)*Calculateur!GH60*Calculateur!GJ60*VLOOKUP('Données projet'!$B$17,Paramètres!$A$1:$I$89,3,0)*0.475*44/12</f>
        <v>0</v>
      </c>
      <c r="GN60" s="23">
        <f>EXP(-LN(2)/2)*GN59+(1-EXP(-LN(2)/2))/(LN(2)/2)*GH60*GK60*VLOOKUP('Données projet'!$B$17,Paramètres!$A$1:$I$89,3,0)*0.475*44/12</f>
        <v>0</v>
      </c>
      <c r="GO60" s="23">
        <f t="shared" si="27"/>
        <v>0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5.3846153846153868</v>
      </c>
      <c r="GU60" s="13">
        <f>IF('Données projet'!$A$270&gt;35,GU59+GT60-HC59,IF(A60&lt;'Données projet'!$A$270,$GR$205^A60,IF(A60='Données projet'!$A$270,'Données projet'!$B$270,GU59+GT60-HC59)))</f>
        <v>228.71794871794873</v>
      </c>
      <c r="GV60" s="18">
        <f>GU60*VLOOKUP('Données projet'!$B$18,Paramètres!$A$1:$I$89,3,0)*VLOOKUP('Données projet'!$B$18,Paramètres!$A$1:$I$89,5,0)</f>
        <v>153.42400000000001</v>
      </c>
      <c r="GW60" s="14">
        <f t="shared" si="51"/>
        <v>39.355676847161391</v>
      </c>
      <c r="GX60" s="22">
        <f t="shared" si="28"/>
        <v>335.75793717547276</v>
      </c>
      <c r="GY60" s="62">
        <f t="shared" si="29"/>
        <v>629.09127050880602</v>
      </c>
      <c r="GZ60" s="62">
        <f ca="1">AVERAGE(OFFSET($GY$3,0,0,'Données projet'!$E$18+1,1))-AVERAGE(OFFSET($H$3,0,0,'Données projet'!$E$18+1,1))</f>
        <v>312.06797204903796</v>
      </c>
      <c r="HA60" s="62">
        <f t="shared" si="52"/>
        <v>258.20189001775151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>
        <f>EXP(-LN(2)/35)*HG59+(1-EXP(-LN(2)/35))/(LN(2)/35)*HC60*HD60*VLOOKUP('Données projet'!$B$18,Paramètres!$A$1:$I$89,3,0)*0.475*44/12</f>
        <v>0</v>
      </c>
      <c r="HH60" s="23">
        <f>EXP(-LN(2)/25)*HH59+(1-EXP(-LN(2)/25))/(LN(2)/25)*Calculateur!HC60*Calculateur!HE60*VLOOKUP('Données projet'!$B$18,Paramètres!$A$1:$I$89,3,0)*0.475*44/12</f>
        <v>0</v>
      </c>
      <c r="HI60" s="23">
        <f>EXP(-LN(2)/2)*HI59+(1-EXP(-LN(2)/2))/(LN(2)/2)*HC60*HF60*VLOOKUP('Données projet'!$B$18,Paramètres!$A$1:$I$89,3,0)*0.475*44/12</f>
        <v>0</v>
      </c>
      <c r="HJ60" s="24">
        <f t="shared" si="30"/>
        <v>0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9.4</v>
      </c>
      <c r="N61" s="14">
        <f>IF('Données projet'!$A$36&gt;35,N60+M61-V60,IF(A61&lt;'Données projet'!$A$36,$K$205^A61,IF(A61='Données projet'!$A$36,'Données projet'!$B$36,N60+M61-V60)))</f>
        <v>282.19999999999987</v>
      </c>
      <c r="O61" s="14">
        <f>N61*VLOOKUP('Données projet'!$B$9,Paramètres!$A$1:$I$89,3,0)*VLOOKUP('Données projet'!$B$9,Paramètres!$A$1:$I$89,5,0)</f>
        <v>255.33455999999987</v>
      </c>
      <c r="P61" s="14">
        <f t="shared" si="33"/>
        <v>61.726849101638756</v>
      </c>
      <c r="Q61" s="22">
        <f t="shared" si="53"/>
        <v>552.21528751868721</v>
      </c>
      <c r="R61" s="62">
        <f t="shared" si="0"/>
        <v>845.54862085202058</v>
      </c>
      <c r="S61" s="62">
        <f ca="1">AVERAGE(OFFSET($R$3,0,0,'Données projet'!$E$9+1,1))-AVERAGE(OFFSET($H$3,0,0,'Données projet'!$E$9+1,1))</f>
        <v>512.84819850818667</v>
      </c>
      <c r="T61" s="62">
        <f t="shared" si="34"/>
        <v>332.61387922152159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6.2799999999999958</v>
      </c>
      <c r="AI61" s="14">
        <f>IF('Données projet'!$A$62&gt;35,AI60+AH61-AQ60,IF(A61&lt;'Données projet'!$A$62,$AF$205^A61,IF(A61='Données projet'!$A$62,'Données projet'!$B$62,AI60+AH61-AQ60)))</f>
        <v>297.43999999999988</v>
      </c>
      <c r="AJ61" s="14">
        <f>AI61*VLOOKUP('Données projet'!$B$10,Paramètres!$A$1:$I$89,3,0)*VLOOKUP('Données projet'!$B$10,Paramètres!$A$1:$I$89,5,0)</f>
        <v>218.08300799999989</v>
      </c>
      <c r="AK61" s="14">
        <f t="shared" si="35"/>
        <v>53.698024996844545</v>
      </c>
      <c r="AL61" s="22">
        <f t="shared" si="4"/>
        <v>473.35196580283736</v>
      </c>
      <c r="AM61" s="62">
        <f t="shared" si="5"/>
        <v>766.68529913617067</v>
      </c>
      <c r="AN61" s="62">
        <f ca="1">AVERAGE(OFFSET($AM$3,0,0,'Données projet'!$E$10+1,1))-AVERAGE(OFFSET($H$3,0,0,'Données projet'!$E$10+1,1))</f>
        <v>344.45199703750711</v>
      </c>
      <c r="AO61" s="62">
        <f t="shared" si="36"/>
        <v>376.41441893222185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9.4</v>
      </c>
      <c r="BD61" s="13">
        <f>IF('Données projet'!$A$88&gt;35,BD60+BC61-BL60,IF(A61&lt;'Données projet'!$A$88,$BA$205^A61,IF(A61='Données projet'!$A$88,'Données projet'!$B$88,BD60+BC61-BL60)))</f>
        <v>282.19999999999987</v>
      </c>
      <c r="BE61" s="14">
        <f>BD61*VLOOKUP('Données projet'!$B$11,Paramètres!$A$1:$I$89,3,0)*VLOOKUP('Données projet'!$B$11,Paramètres!$A$1:$I$89,5,0)</f>
        <v>286.15079999999989</v>
      </c>
      <c r="BF61" s="14">
        <f t="shared" si="37"/>
        <v>68.265201334328424</v>
      </c>
      <c r="BG61" s="22">
        <f t="shared" si="7"/>
        <v>617.27453565728842</v>
      </c>
      <c r="BH61" s="62">
        <f t="shared" si="8"/>
        <v>910.60786899062168</v>
      </c>
      <c r="BI61" s="62">
        <f ca="1">AVERAGE(OFFSET($BH$3,0,0,'Données projet'!$E$11+1,1))-AVERAGE(OFFSET($H$3,0,0,'Données projet'!$E$11+1,1))</f>
        <v>569.39473185784823</v>
      </c>
      <c r="BJ61" s="62">
        <f t="shared" si="38"/>
        <v>367.42881145517066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10.8</v>
      </c>
      <c r="BY61" s="13">
        <f>IF('Données projet'!$A$114&gt;35,BY60+BX61-CG60,IF(A61&lt;'Données projet'!$A$114,$BV$205^A61,IF(A61='Données projet'!$A$114,'Données projet'!$B$114,BY60+BX61-CG60)))</f>
        <v>276.40000000000003</v>
      </c>
      <c r="BZ61" s="14">
        <f>BY61*VLOOKUP('Données projet'!$B$12,Paramètres!$A$1:$I$89,3,0)*VLOOKUP('Données projet'!$B$12,Paramètres!$A$1:$I$89,5,0)</f>
        <v>237.15120000000007</v>
      </c>
      <c r="CA61" s="14">
        <f t="shared" si="39"/>
        <v>57.826171967258674</v>
      </c>
      <c r="CB61" s="22">
        <f t="shared" si="10"/>
        <v>513.75225617630906</v>
      </c>
      <c r="CC61" s="62">
        <f t="shared" si="11"/>
        <v>807.08558950964243</v>
      </c>
      <c r="CD61" s="62">
        <f ca="1">AVERAGE(OFFSET($CC$3,0,0,'Données projet'!$E$12+1,1))-AVERAGE(OFFSET($H$3,0,0,'Données projet'!$E$12+1,1))</f>
        <v>554.06253050955502</v>
      </c>
      <c r="CE61" s="62">
        <f t="shared" si="40"/>
        <v>269.71949336355789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9.375</v>
      </c>
      <c r="CT61" s="13">
        <f>IF('Données projet'!$A$140&gt;35,CT60+CS61-DB60,IF(A61&lt;'Données projet'!$A$140,$CQ$205^A61,IF(A61='Données projet'!$A$140,'Données projet'!$B$140,CT60+CS61-DB60)))</f>
        <v>278.24999999999994</v>
      </c>
      <c r="CU61" s="18">
        <f>CT61*VLOOKUP('Données projet'!$B$13,Paramètres!$A$1:$I$89,3,0)*VLOOKUP('Données projet'!$B$13,Paramètres!$A$1:$I$89,5,0)</f>
        <v>217.03499999999997</v>
      </c>
      <c r="CV61" s="14">
        <f t="shared" si="41"/>
        <v>53.469949591969474</v>
      </c>
      <c r="CW61" s="22">
        <f t="shared" si="13"/>
        <v>471.12945387268002</v>
      </c>
      <c r="CX61" s="62">
        <f t="shared" si="14"/>
        <v>764.46278720601333</v>
      </c>
      <c r="CY61" s="62">
        <f ca="1">AVERAGE(OFFSET($CX$3,0,0,'Données projet'!$E$13+1,1))-AVERAGE(OFFSET($H$3,0,0,'Données projet'!$E$13+1,1))</f>
        <v>292.21364130214391</v>
      </c>
      <c r="CZ61" s="62">
        <f t="shared" si="42"/>
        <v>283.48738729114024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5.5128205128205137</v>
      </c>
      <c r="DO61" s="13">
        <f>IF('Données projet'!$A$166&gt;35,DO60+DN61-DW60,IF(A61&lt;'Données projet'!$A$166,$DL$205^A61,IF(A61='Données projet'!$A$166,'Données projet'!$B$166,DO60+DN61-DW60)))</f>
        <v>226.79487179487185</v>
      </c>
      <c r="DP61" s="18">
        <f>DO61*VLOOKUP('Données projet'!$B$14,Paramètres!$A$1:$I$89,3,0)*VLOOKUP('Données projet'!$B$14,Paramètres!$A$1:$I$89,5,0)</f>
        <v>215.81800000000007</v>
      </c>
      <c r="DQ61" s="14">
        <f t="shared" si="43"/>
        <v>53.204935913742531</v>
      </c>
      <c r="DR61" s="22">
        <f t="shared" si="16"/>
        <v>468.54828004976827</v>
      </c>
      <c r="DS61" s="62">
        <f t="shared" si="17"/>
        <v>761.88161338310158</v>
      </c>
      <c r="DT61" s="62">
        <f ca="1">AVERAGE(OFFSET($DS$3,0,0,'Données projet'!$E$14+1,1))-AVERAGE(OFFSET($H$3,0,0,'Données projet'!$E$14+1,1))</f>
        <v>427.47603885390191</v>
      </c>
      <c r="DU61" s="62">
        <f t="shared" si="44"/>
        <v>350.88664394632116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7.6</v>
      </c>
      <c r="EJ61" s="13">
        <f>IF('Données projet'!$A$192&gt;35,EJ60+EI61-ER60,IF(A61&lt;'Données projet'!$A$192,$EG$205^A61,IF(A61='Données projet'!$A$192,'Données projet'!$B$192,EJ60+EI61-ER60)))</f>
        <v>219.79999999999998</v>
      </c>
      <c r="EK61" s="18">
        <f>EJ61*VLOOKUP('Données projet'!$B$15,Paramètres!$A$1:$I$89,3,0)*VLOOKUP('Données projet'!$B$15,Paramètres!$A$1:$I$89,5,0)</f>
        <v>212.59055999999998</v>
      </c>
      <c r="EL61" s="14">
        <f t="shared" si="45"/>
        <v>52.501283653296404</v>
      </c>
      <c r="EM61" s="22">
        <f t="shared" si="19"/>
        <v>461.70162769615786</v>
      </c>
      <c r="EN61" s="62">
        <f t="shared" si="20"/>
        <v>755.03496102949111</v>
      </c>
      <c r="EO61" s="62">
        <f ca="1">AVERAGE(OFFSET($EN$3,0,0,'Données projet'!$E$15+1,1))-AVERAGE(OFFSET($H$3,0,0,'Données projet'!$E$15+1,1))</f>
        <v>455.50822833641354</v>
      </c>
      <c r="EP61" s="62">
        <f t="shared" si="46"/>
        <v>261.14722581688039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6</v>
      </c>
      <c r="FE61" s="13">
        <f>IF('Données projet'!$A$218&gt;35,FE60+FD61-FM60,IF(A61&lt;'Données projet'!$A$218,$FB$205^A61,IF(A61='Données projet'!$A$218,'Données projet'!$B$218,FE60+FD61-FM60)))</f>
        <v>236.00000000000006</v>
      </c>
      <c r="FF61" s="18">
        <f>FE61*VLOOKUP('Données projet'!$B$16,Paramètres!$A$1:$I$89,3,0)*VLOOKUP('Données projet'!$B$16,Paramètres!$A$1:$I$89,5,0)</f>
        <v>206.16960000000009</v>
      </c>
      <c r="FG61" s="14">
        <f t="shared" si="47"/>
        <v>51.097652263007333</v>
      </c>
      <c r="FH61" s="22">
        <f t="shared" si="22"/>
        <v>448.07379769140465</v>
      </c>
      <c r="FI61" s="62">
        <f t="shared" si="23"/>
        <v>741.40713102473796</v>
      </c>
      <c r="FJ61" s="62">
        <f ca="1">AVERAGE(OFFSET($FI$3,0,0,'Données projet'!$E$16+1,1))-AVERAGE(OFFSET($H$3,0,0,'Données projet'!$E$16+1,1))</f>
        <v>369.34989412920129</v>
      </c>
      <c r="FK61" s="62">
        <f t="shared" si="48"/>
        <v>371.26234252426553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0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>
        <f>FZ61*VLOOKUP('Données projet'!$B$17,Paramètres!$A$1:$I$89,3,0)*VLOOKUP('Données projet'!$B$17,Paramètres!$A$1:$I$89,5,0)</f>
        <v>0</v>
      </c>
      <c r="GB61" s="14" t="e">
        <f t="shared" si="49"/>
        <v>#NUM!</v>
      </c>
      <c r="GC61" s="22" t="e">
        <f t="shared" si="25"/>
        <v>#NUM!</v>
      </c>
      <c r="GD61" s="62" t="e">
        <f t="shared" si="26"/>
        <v>#NUM!</v>
      </c>
      <c r="GE61" s="62">
        <f ca="1">AVERAGE(OFFSET($GD$3,0,0,'Données projet'!$E$17+1,1))-AVERAGE(OFFSET($H$3,0,0,'Données projet'!$E$17+1,1))</f>
        <v>324.4489531703187</v>
      </c>
      <c r="GF61" s="62">
        <f t="shared" si="50"/>
        <v>446.55019360848706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projet'!$B$17,Paramètres!$A$1:$I$89,3,0)*0.475*44/12</f>
        <v>0</v>
      </c>
      <c r="GM61" s="23">
        <f>EXP(-LN(2)/25)*GM60+(1-EXP(-LN(2)/25))/(LN(2)/25)*Calculateur!GH61*Calculateur!GJ61*VLOOKUP('Données projet'!$B$17,Paramètres!$A$1:$I$89,3,0)*0.475*44/12</f>
        <v>0</v>
      </c>
      <c r="GN61" s="23">
        <f>EXP(-LN(2)/2)*GN60+(1-EXP(-LN(2)/2))/(LN(2)/2)*GH61*GK61*VLOOKUP('Données projet'!$B$17,Paramètres!$A$1:$I$89,3,0)*0.475*44/12</f>
        <v>0</v>
      </c>
      <c r="GO61" s="23">
        <f t="shared" si="27"/>
        <v>0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5.3846153846153868</v>
      </c>
      <c r="GU61" s="13">
        <f>IF('Données projet'!$A$270&gt;35,GU60+GT61-HC60,IF(A61&lt;'Données projet'!$A$270,$GR$205^A61,IF(A61='Données projet'!$A$270,'Données projet'!$B$270,GU60+GT61-HC60)))</f>
        <v>234.10256410256412</v>
      </c>
      <c r="GV61" s="18">
        <f>GU61*VLOOKUP('Données projet'!$B$18,Paramètres!$A$1:$I$89,3,0)*VLOOKUP('Données projet'!$B$18,Paramètres!$A$1:$I$89,5,0)</f>
        <v>157.036</v>
      </c>
      <c r="GW61" s="14">
        <f t="shared" si="51"/>
        <v>40.17325112686504</v>
      </c>
      <c r="GX61" s="22">
        <f t="shared" si="28"/>
        <v>343.47277904595654</v>
      </c>
      <c r="GY61" s="62">
        <f t="shared" si="29"/>
        <v>636.80611237928986</v>
      </c>
      <c r="GZ61" s="62">
        <f ca="1">AVERAGE(OFFSET($GY$3,0,0,'Données projet'!$E$18+1,1))-AVERAGE(OFFSET($H$3,0,0,'Données projet'!$E$18+1,1))</f>
        <v>312.06797204903796</v>
      </c>
      <c r="HA61" s="62">
        <f t="shared" si="52"/>
        <v>258.20189001775151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>
        <f>EXP(-LN(2)/35)*HG60+(1-EXP(-LN(2)/35))/(LN(2)/35)*HC61*HD61*VLOOKUP('Données projet'!$B$18,Paramètres!$A$1:$I$89,3,0)*0.475*44/12</f>
        <v>0</v>
      </c>
      <c r="HH61" s="23">
        <f>EXP(-LN(2)/25)*HH60+(1-EXP(-LN(2)/25))/(LN(2)/25)*Calculateur!HC61*Calculateur!HE61*VLOOKUP('Données projet'!$B$18,Paramètres!$A$1:$I$89,3,0)*0.475*44/12</f>
        <v>0</v>
      </c>
      <c r="HI61" s="23">
        <f>EXP(-LN(2)/2)*HI60+(1-EXP(-LN(2)/2))/(LN(2)/2)*HC61*HF61*VLOOKUP('Données projet'!$B$18,Paramètres!$A$1:$I$89,3,0)*0.475*44/12</f>
        <v>0</v>
      </c>
      <c r="HJ61" s="24">
        <f t="shared" si="30"/>
        <v>0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9.4</v>
      </c>
      <c r="N62" s="14">
        <f>IF('Données projet'!$A$36&gt;35,N61+M62-V61,IF(A62&lt;'Données projet'!$A$36,$K$205^A62,IF(A62='Données projet'!$A$36,'Données projet'!$B$36,N61+M62-V61)))</f>
        <v>291.59999999999985</v>
      </c>
      <c r="O62" s="14">
        <f>N62*VLOOKUP('Données projet'!$B$9,Paramètres!$A$1:$I$89,3,0)*VLOOKUP('Données projet'!$B$9,Paramètres!$A$1:$I$89,5,0)</f>
        <v>263.83967999999987</v>
      </c>
      <c r="P62" s="14">
        <f t="shared" si="33"/>
        <v>63.540142934904836</v>
      </c>
      <c r="Q62" s="22">
        <f t="shared" si="53"/>
        <v>570.18652494495905</v>
      </c>
      <c r="R62" s="62">
        <f t="shared" si="0"/>
        <v>863.5198582782923</v>
      </c>
      <c r="S62" s="62">
        <f ca="1">AVERAGE(OFFSET($R$3,0,0,'Données projet'!$E$9+1,1))-AVERAGE(OFFSET($H$3,0,0,'Données projet'!$E$9+1,1))</f>
        <v>512.84819850818667</v>
      </c>
      <c r="T62" s="62">
        <f t="shared" si="34"/>
        <v>332.61387922152159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6.2799999999999958</v>
      </c>
      <c r="AI62" s="14">
        <f>IF('Données projet'!$A$62&gt;35,AI61+AH62-AQ61,IF(A62&lt;'Données projet'!$A$62,$AF$205^A62,IF(A62='Données projet'!$A$62,'Données projet'!$B$62,AI61+AH62-AQ61)))</f>
        <v>303.71999999999986</v>
      </c>
      <c r="AJ62" s="14">
        <f>AI62*VLOOKUP('Données projet'!$B$10,Paramètres!$A$1:$I$89,3,0)*VLOOKUP('Données projet'!$B$10,Paramètres!$A$1:$I$89,5,0)</f>
        <v>222.68750399999988</v>
      </c>
      <c r="AK62" s="14">
        <f t="shared" si="35"/>
        <v>54.698588025346766</v>
      </c>
      <c r="AL62" s="22">
        <f t="shared" si="4"/>
        <v>483.1141102774788</v>
      </c>
      <c r="AM62" s="62">
        <f t="shared" si="5"/>
        <v>776.44744361081212</v>
      </c>
      <c r="AN62" s="62">
        <f ca="1">AVERAGE(OFFSET($AM$3,0,0,'Données projet'!$E$10+1,1))-AVERAGE(OFFSET($H$3,0,0,'Données projet'!$E$10+1,1))</f>
        <v>344.45199703750711</v>
      </c>
      <c r="AO62" s="62">
        <f t="shared" si="36"/>
        <v>376.41441893222185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9.4</v>
      </c>
      <c r="BD62" s="13">
        <f>IF('Données projet'!$A$88&gt;35,BD61+BC62-BL61,IF(A62&lt;'Données projet'!$A$88,$BA$205^A62,IF(A62='Données projet'!$A$88,'Données projet'!$B$88,BD61+BC62-BL61)))</f>
        <v>291.59999999999985</v>
      </c>
      <c r="BE62" s="14">
        <f>BD62*VLOOKUP('Données projet'!$B$11,Paramètres!$A$1:$I$89,3,0)*VLOOKUP('Données projet'!$B$11,Paramètres!$A$1:$I$89,5,0)</f>
        <v>295.68239999999986</v>
      </c>
      <c r="BF62" s="14">
        <f t="shared" si="37"/>
        <v>70.2705664292222</v>
      </c>
      <c r="BG62" s="22">
        <f t="shared" si="7"/>
        <v>637.36808319756176</v>
      </c>
      <c r="BH62" s="62">
        <f t="shared" si="8"/>
        <v>930.70141653089513</v>
      </c>
      <c r="BI62" s="62">
        <f ca="1">AVERAGE(OFFSET($BH$3,0,0,'Données projet'!$E$11+1,1))-AVERAGE(OFFSET($H$3,0,0,'Données projet'!$E$11+1,1))</f>
        <v>569.39473185784823</v>
      </c>
      <c r="BJ62" s="62">
        <f t="shared" si="38"/>
        <v>367.42881145517066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10.8</v>
      </c>
      <c r="BY62" s="13">
        <f>IF('Données projet'!$A$114&gt;35,BY61+BX62-CG61,IF(A62&lt;'Données projet'!$A$114,$BV$205^A62,IF(A62='Données projet'!$A$114,'Données projet'!$B$114,BY61+BX62-CG61)))</f>
        <v>287.20000000000005</v>
      </c>
      <c r="BZ62" s="14">
        <f>BY62*VLOOKUP('Données projet'!$B$12,Paramètres!$A$1:$I$89,3,0)*VLOOKUP('Données projet'!$B$12,Paramètres!$A$1:$I$89,5,0)</f>
        <v>246.41760000000008</v>
      </c>
      <c r="CA62" s="14">
        <f t="shared" si="39"/>
        <v>59.818180609795213</v>
      </c>
      <c r="CB62" s="22">
        <f t="shared" si="10"/>
        <v>533.36065122872685</v>
      </c>
      <c r="CC62" s="62">
        <f t="shared" si="11"/>
        <v>826.69398456206022</v>
      </c>
      <c r="CD62" s="62">
        <f ca="1">AVERAGE(OFFSET($CC$3,0,0,'Données projet'!$E$12+1,1))-AVERAGE(OFFSET($H$3,0,0,'Données projet'!$E$12+1,1))</f>
        <v>554.06253050955502</v>
      </c>
      <c r="CE62" s="62">
        <f t="shared" si="40"/>
        <v>269.71949336355789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9.375</v>
      </c>
      <c r="CT62" s="13">
        <f>IF('Données projet'!$A$140&gt;35,CT61+CS62-DB61,IF(A62&lt;'Données projet'!$A$140,$CQ$205^A62,IF(A62='Données projet'!$A$140,'Données projet'!$B$140,CT61+CS62-DB61)))</f>
        <v>287.62499999999994</v>
      </c>
      <c r="CU62" s="18">
        <f>CT62*VLOOKUP('Données projet'!$B$13,Paramètres!$A$1:$I$89,3,0)*VLOOKUP('Données projet'!$B$13,Paramètres!$A$1:$I$89,5,0)</f>
        <v>224.34749999999997</v>
      </c>
      <c r="CV62" s="14">
        <f t="shared" si="41"/>
        <v>55.058714525680479</v>
      </c>
      <c r="CW62" s="22">
        <f t="shared" si="13"/>
        <v>486.63249029889352</v>
      </c>
      <c r="CX62" s="62">
        <f t="shared" si="14"/>
        <v>779.96582363222683</v>
      </c>
      <c r="CY62" s="62">
        <f ca="1">AVERAGE(OFFSET($CX$3,0,0,'Données projet'!$E$13+1,1))-AVERAGE(OFFSET($H$3,0,0,'Données projet'!$E$13+1,1))</f>
        <v>292.21364130214391</v>
      </c>
      <c r="CZ62" s="62">
        <f t="shared" si="42"/>
        <v>283.48738729114024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5.5128205128205137</v>
      </c>
      <c r="DO62" s="13">
        <f>IF('Données projet'!$A$166&gt;35,DO61+DN62-DW61,IF(A62&lt;'Données projet'!$A$166,$DL$205^A62,IF(A62='Données projet'!$A$166,'Données projet'!$B$166,DO61+DN62-DW61)))</f>
        <v>232.30769230769238</v>
      </c>
      <c r="DP62" s="18">
        <f>DO62*VLOOKUP('Données projet'!$B$14,Paramètres!$A$1:$I$89,3,0)*VLOOKUP('Données projet'!$B$14,Paramètres!$A$1:$I$89,5,0)</f>
        <v>221.06400000000008</v>
      </c>
      <c r="DQ62" s="14">
        <f t="shared" si="43"/>
        <v>54.346075887575317</v>
      </c>
      <c r="DR62" s="22">
        <f t="shared" si="16"/>
        <v>479.67254883752707</v>
      </c>
      <c r="DS62" s="62">
        <f t="shared" si="17"/>
        <v>773.00588217086033</v>
      </c>
      <c r="DT62" s="62">
        <f ca="1">AVERAGE(OFFSET($DS$3,0,0,'Données projet'!$E$14+1,1))-AVERAGE(OFFSET($H$3,0,0,'Données projet'!$E$14+1,1))</f>
        <v>427.47603885390191</v>
      </c>
      <c r="DU62" s="62">
        <f t="shared" si="44"/>
        <v>350.88664394632116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7.6</v>
      </c>
      <c r="EJ62" s="13">
        <f>IF('Données projet'!$A$192&gt;35,EJ61+EI62-ER61,IF(A62&lt;'Données projet'!$A$192,$EG$205^A62,IF(A62='Données projet'!$A$192,'Données projet'!$B$192,EJ61+EI62-ER61)))</f>
        <v>227.39999999999998</v>
      </c>
      <c r="EK62" s="18">
        <f>EJ62*VLOOKUP('Données projet'!$B$15,Paramètres!$A$1:$I$89,3,0)*VLOOKUP('Données projet'!$B$15,Paramètres!$A$1:$I$89,5,0)</f>
        <v>219.94127999999995</v>
      </c>
      <c r="EL62" s="14">
        <f t="shared" si="45"/>
        <v>54.102123020446285</v>
      </c>
      <c r="EM62" s="22">
        <f t="shared" si="19"/>
        <v>477.29226026061059</v>
      </c>
      <c r="EN62" s="62">
        <f t="shared" si="20"/>
        <v>770.6255935939439</v>
      </c>
      <c r="EO62" s="62">
        <f ca="1">AVERAGE(OFFSET($EN$3,0,0,'Données projet'!$E$15+1,1))-AVERAGE(OFFSET($H$3,0,0,'Données projet'!$E$15+1,1))</f>
        <v>455.50822833641354</v>
      </c>
      <c r="EP62" s="62">
        <f t="shared" si="46"/>
        <v>261.14722581688039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6</v>
      </c>
      <c r="FE62" s="13">
        <f>IF('Données projet'!$A$218&gt;35,FE61+FD62-FM61,IF(A62&lt;'Données projet'!$A$218,$FB$205^A62,IF(A62='Données projet'!$A$218,'Données projet'!$B$218,FE61+FD62-FM61)))</f>
        <v>242.00000000000006</v>
      </c>
      <c r="FF62" s="18">
        <f>FE62*VLOOKUP('Données projet'!$B$16,Paramètres!$A$1:$I$89,3,0)*VLOOKUP('Données projet'!$B$16,Paramètres!$A$1:$I$89,5,0)</f>
        <v>211.41120000000006</v>
      </c>
      <c r="FG62" s="14">
        <f t="shared" si="47"/>
        <v>52.243848094411156</v>
      </c>
      <c r="FH62" s="22">
        <f t="shared" si="22"/>
        <v>459.19920876443285</v>
      </c>
      <c r="FI62" s="62">
        <f t="shared" si="23"/>
        <v>752.53254209776617</v>
      </c>
      <c r="FJ62" s="62">
        <f ca="1">AVERAGE(OFFSET($FI$3,0,0,'Données projet'!$E$16+1,1))-AVERAGE(OFFSET($H$3,0,0,'Données projet'!$E$16+1,1))</f>
        <v>369.34989412920129</v>
      </c>
      <c r="FK62" s="62">
        <f t="shared" si="48"/>
        <v>371.26234252426553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0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>
        <f>FZ62*VLOOKUP('Données projet'!$B$17,Paramètres!$A$1:$I$89,3,0)*VLOOKUP('Données projet'!$B$17,Paramètres!$A$1:$I$89,5,0)</f>
        <v>0</v>
      </c>
      <c r="GB62" s="14" t="e">
        <f t="shared" si="49"/>
        <v>#NUM!</v>
      </c>
      <c r="GC62" s="22" t="e">
        <f t="shared" si="25"/>
        <v>#NUM!</v>
      </c>
      <c r="GD62" s="62" t="e">
        <f t="shared" si="26"/>
        <v>#NUM!</v>
      </c>
      <c r="GE62" s="62">
        <f ca="1">AVERAGE(OFFSET($GD$3,0,0,'Données projet'!$E$17+1,1))-AVERAGE(OFFSET($H$3,0,0,'Données projet'!$E$17+1,1))</f>
        <v>324.4489531703187</v>
      </c>
      <c r="GF62" s="62">
        <f t="shared" si="50"/>
        <v>446.55019360848706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projet'!$B$17,Paramètres!$A$1:$I$89,3,0)*0.475*44/12</f>
        <v>0</v>
      </c>
      <c r="GM62" s="23">
        <f>EXP(-LN(2)/25)*GM61+(1-EXP(-LN(2)/25))/(LN(2)/25)*Calculateur!GH62*Calculateur!GJ62*VLOOKUP('Données projet'!$B$17,Paramètres!$A$1:$I$89,3,0)*0.475*44/12</f>
        <v>0</v>
      </c>
      <c r="GN62" s="23">
        <f>EXP(-LN(2)/2)*GN61+(1-EXP(-LN(2)/2))/(LN(2)/2)*GH62*GK62*VLOOKUP('Données projet'!$B$17,Paramètres!$A$1:$I$89,3,0)*0.475*44/12</f>
        <v>0</v>
      </c>
      <c r="GO62" s="23">
        <f t="shared" si="27"/>
        <v>0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5.3846153846153868</v>
      </c>
      <c r="GU62" s="13">
        <f>IF('Données projet'!$A$270&gt;35,GU61+GT62-HC61,IF(A62&lt;'Données projet'!$A$270,$GR$205^A62,IF(A62='Données projet'!$A$270,'Données projet'!$B$270,GU61+GT62-HC61)))</f>
        <v>239.4871794871795</v>
      </c>
      <c r="GV62" s="18">
        <f>GU62*VLOOKUP('Données projet'!$B$18,Paramètres!$A$1:$I$89,3,0)*VLOOKUP('Données projet'!$B$18,Paramètres!$A$1:$I$89,5,0)</f>
        <v>160.648</v>
      </c>
      <c r="GW62" s="14">
        <f t="shared" si="51"/>
        <v>40.988639216339969</v>
      </c>
      <c r="GX62" s="22">
        <f t="shared" si="28"/>
        <v>351.1838133017921</v>
      </c>
      <c r="GY62" s="62">
        <f t="shared" si="29"/>
        <v>644.51714663512541</v>
      </c>
      <c r="GZ62" s="62">
        <f ca="1">AVERAGE(OFFSET($GY$3,0,0,'Données projet'!$E$18+1,1))-AVERAGE(OFFSET($H$3,0,0,'Données projet'!$E$18+1,1))</f>
        <v>312.06797204903796</v>
      </c>
      <c r="HA62" s="62">
        <f t="shared" si="52"/>
        <v>258.20189001775151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>
        <f>EXP(-LN(2)/35)*HG61+(1-EXP(-LN(2)/35))/(LN(2)/35)*HC62*HD62*VLOOKUP('Données projet'!$B$18,Paramètres!$A$1:$I$89,3,0)*0.475*44/12</f>
        <v>0</v>
      </c>
      <c r="HH62" s="23">
        <f>EXP(-LN(2)/25)*HH61+(1-EXP(-LN(2)/25))/(LN(2)/25)*Calculateur!HC62*Calculateur!HE62*VLOOKUP('Données projet'!$B$18,Paramètres!$A$1:$I$89,3,0)*0.475*44/12</f>
        <v>0</v>
      </c>
      <c r="HI62" s="23">
        <f>EXP(-LN(2)/2)*HI61+(1-EXP(-LN(2)/2))/(LN(2)/2)*HC62*HF62*VLOOKUP('Données projet'!$B$18,Paramètres!$A$1:$I$89,3,0)*0.475*44/12</f>
        <v>0</v>
      </c>
      <c r="HJ62" s="24">
        <f t="shared" si="30"/>
        <v>0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301</v>
      </c>
      <c r="L63" s="13">
        <f>VLOOKUP(A63,'Données projet'!$A$35:$I$55,9,0)</f>
        <v>9.4</v>
      </c>
      <c r="M63" s="13">
        <f t="array" ref="M63">INDEX(L:L,MIN(IF(ISNUMBER(L63:L259),ROW(L63:L259),"")))</f>
        <v>9.4</v>
      </c>
      <c r="N63" s="14">
        <f>IF('Données projet'!$A$36&gt;35,N62+M63-V62,IF(A63&lt;'Données projet'!$A$36,$K$205^A63,IF(A63='Données projet'!$A$36,'Données projet'!$B$36,N62+M63-V62)))</f>
        <v>300.99999999999983</v>
      </c>
      <c r="O63" s="14">
        <f>N63*VLOOKUP('Données projet'!$B$9,Paramètres!$A$1:$I$89,3,0)*VLOOKUP('Données projet'!$B$9,Paramètres!$A$1:$I$89,5,0)</f>
        <v>272.34479999999985</v>
      </c>
      <c r="P63" s="14">
        <f t="shared" si="33"/>
        <v>65.346644318451652</v>
      </c>
      <c r="Q63" s="22">
        <f t="shared" si="53"/>
        <v>588.14593218796961</v>
      </c>
      <c r="R63" s="62">
        <f t="shared" si="0"/>
        <v>881.47926552130298</v>
      </c>
      <c r="S63" s="62">
        <f ca="1">AVERAGE(OFFSET($R$3,0,0,'Données projet'!$E$9+1,1))-AVERAGE(OFFSET($H$3,0,0,'Données projet'!$E$9+1,1))</f>
        <v>512.84819850818667</v>
      </c>
      <c r="T63" s="62">
        <f t="shared" si="34"/>
        <v>332.61387922152159</v>
      </c>
      <c r="U63" s="16">
        <f>IF(ISNA(VLOOKUP(A63,'Données projet'!$A$35:$I$55,3,0)),0,VLOOKUP(A63,'Données projet'!$A$35:$I$55,3,0))</f>
        <v>5</v>
      </c>
      <c r="V63" s="16">
        <f>IF(ISNA(VLOOKUP(A63,'Données projet'!$A$35:$I$55,4,0)),0,VLOOKUP(A63,'Données projet'!$A$35:$I$55,4,0))</f>
        <v>56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310</v>
      </c>
      <c r="AG63" s="13">
        <f>VLOOKUP(A63,'Données projet'!$A$61:$I$81,9,0)</f>
        <v>6.2799999999999958</v>
      </c>
      <c r="AH63" s="13">
        <f t="array" ref="AH63">INDEX(AG:AG,MIN(IF(ISNUMBER(AG63:AG259),ROW(AG63:AG259),"")))</f>
        <v>6.2799999999999958</v>
      </c>
      <c r="AI63" s="14">
        <f>IF('Données projet'!$A$62&gt;35,AI62+AH63-AQ62,IF(A63&lt;'Données projet'!$A$62,$AF$205^A63,IF(A63='Données projet'!$A$62,'Données projet'!$B$62,AI62+AH63-AQ62)))</f>
        <v>309.99999999999983</v>
      </c>
      <c r="AJ63" s="14">
        <f>AI63*VLOOKUP('Données projet'!$B$10,Paramètres!$A$1:$I$89,3,0)*VLOOKUP('Données projet'!$B$10,Paramètres!$A$1:$I$89,5,0)</f>
        <v>227.29199999999986</v>
      </c>
      <c r="AK63" s="14">
        <f t="shared" si="35"/>
        <v>55.69674561748365</v>
      </c>
      <c r="AL63" s="22">
        <f t="shared" si="4"/>
        <v>492.8720652837838</v>
      </c>
      <c r="AM63" s="62">
        <f t="shared" si="5"/>
        <v>786.20539861711711</v>
      </c>
      <c r="AN63" s="62">
        <f ca="1">AVERAGE(OFFSET($AM$3,0,0,'Données projet'!$E$10+1,1))-AVERAGE(OFFSET($H$3,0,0,'Données projet'!$E$10+1,1))</f>
        <v>344.45199703750711</v>
      </c>
      <c r="AO63" s="62">
        <f t="shared" si="36"/>
        <v>376.41441893222185</v>
      </c>
      <c r="AP63" s="16">
        <f>IF(ISNA(VLOOKUP(A63,'Données projet'!$A$61:$I$81,3,0)),0,VLOOKUP(A63,'Données projet'!$A$61:$I$81,3,0))</f>
        <v>5</v>
      </c>
      <c r="AQ63" s="16">
        <f>IF(ISNA(VLOOKUP(A63,'Données projet'!$A$61:$I$81,4,0)),0,VLOOKUP(A63,'Données projet'!$A$61:$I$81,4,0))</f>
        <v>30.2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301</v>
      </c>
      <c r="BB63" s="13">
        <f>VLOOKUP(A63,'Données projet'!$A$87:$I$107,9,0)</f>
        <v>9.4</v>
      </c>
      <c r="BC63" s="13">
        <f t="array" ref="BC63">INDEX(BB:BB,MIN(IF(ISNUMBER(BB63:BB259),ROW(BB63:BB259),"")))</f>
        <v>9.4</v>
      </c>
      <c r="BD63" s="13">
        <f>IF('Données projet'!$A$88&gt;35,BD62+BC63-BL62,IF(A63&lt;'Données projet'!$A$88,$BA$205^A63,IF(A63='Données projet'!$A$88,'Données projet'!$B$88,BD62+BC63-BL62)))</f>
        <v>300.99999999999983</v>
      </c>
      <c r="BE63" s="14">
        <f>BD63*VLOOKUP('Données projet'!$B$11,Paramètres!$A$1:$I$89,3,0)*VLOOKUP('Données projet'!$B$11,Paramètres!$A$1:$I$89,5,0)</f>
        <v>305.21399999999983</v>
      </c>
      <c r="BF63" s="14">
        <f t="shared" si="37"/>
        <v>72.268419591231265</v>
      </c>
      <c r="BG63" s="22">
        <f t="shared" si="7"/>
        <v>657.44854745472742</v>
      </c>
      <c r="BH63" s="62">
        <f t="shared" si="8"/>
        <v>950.78188078806079</v>
      </c>
      <c r="BI63" s="62">
        <f ca="1">AVERAGE(OFFSET($BH$3,0,0,'Données projet'!$E$11+1,1))-AVERAGE(OFFSET($H$3,0,0,'Données projet'!$E$11+1,1))</f>
        <v>569.39473185784823</v>
      </c>
      <c r="BJ63" s="62">
        <f t="shared" si="38"/>
        <v>367.42881145517066</v>
      </c>
      <c r="BK63" s="16">
        <f>IF(ISNA(VLOOKUP(A63,'Données projet'!$A$87:$I$107,3,0)),0,VLOOKUP(A63,'Données projet'!$A$87:$I$107,3,0))</f>
        <v>5</v>
      </c>
      <c r="BL63" s="16">
        <f>IF(ISNA(VLOOKUP(A63,'Données projet'!$A$87:$I$107,4,0)),0,VLOOKUP(A63,'Données projet'!$A$87:$I$107,4,0))</f>
        <v>56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298</v>
      </c>
      <c r="BW63" s="13">
        <f>VLOOKUP(A63,'Données projet'!$A$113:$I$133,9,0)</f>
        <v>10.8</v>
      </c>
      <c r="BX63" s="13">
        <f t="array" ref="BX63">INDEX(BW:BW,MIN(IF(ISNUMBER(BW63:BW259),ROW(BW63:BW259),"")))</f>
        <v>10.8</v>
      </c>
      <c r="BY63" s="13">
        <f>IF('Données projet'!$A$114&gt;35,BY62+BX63-CG62,IF(A63&lt;'Données projet'!$A$114,$BV$205^A63,IF(A63='Données projet'!$A$114,'Données projet'!$B$114,BY62+BX63-CG62)))</f>
        <v>298.00000000000006</v>
      </c>
      <c r="BZ63" s="14">
        <f>BY63*VLOOKUP('Données projet'!$B$12,Paramètres!$A$1:$I$89,3,0)*VLOOKUP('Données projet'!$B$12,Paramètres!$A$1:$I$89,5,0)</f>
        <v>255.68400000000005</v>
      </c>
      <c r="CA63" s="14">
        <f t="shared" si="39"/>
        <v>61.801486802994056</v>
      </c>
      <c r="CB63" s="22">
        <f t="shared" si="10"/>
        <v>552.95388951521466</v>
      </c>
      <c r="CC63" s="62">
        <f t="shared" si="11"/>
        <v>846.28722284854803</v>
      </c>
      <c r="CD63" s="62">
        <f ca="1">AVERAGE(OFFSET($CC$3,0,0,'Données projet'!$E$12+1,1))-AVERAGE(OFFSET($H$3,0,0,'Données projet'!$E$12+1,1))</f>
        <v>554.06253050955502</v>
      </c>
      <c r="CE63" s="62">
        <f t="shared" si="40"/>
        <v>269.71949336355789</v>
      </c>
      <c r="CF63" s="16">
        <f>IF(ISNA(VLOOKUP(A63,'Données projet'!$A$113:$I$133,3,0)),0,VLOOKUP(A63,'Données projet'!$A$113:$I$133,3,0))</f>
        <v>4</v>
      </c>
      <c r="CG63" s="16">
        <f>IF(ISNA(VLOOKUP(A63,'Données projet'!$A$113:$I$133,4,0)),0,VLOOKUP(A63,'Données projet'!$A$113:$I$133,4,0))</f>
        <v>56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297</v>
      </c>
      <c r="CR63" s="13">
        <f>VLOOKUP(A63,'Données projet'!$A$139:$I$159,9,0)</f>
        <v>9.375</v>
      </c>
      <c r="CS63" s="13">
        <f t="array" ref="CS63">INDEX(CR:CR,MIN(IF(ISNUMBER(CR63:CR259),ROW(CR63:CR259),"")))</f>
        <v>9.375</v>
      </c>
      <c r="CT63" s="13">
        <f>IF('Données projet'!$A$140&gt;35,CT62+CS63-DB62,IF(A63&lt;'Données projet'!$A$140,$CQ$205^A63,IF(A63='Données projet'!$A$140,'Données projet'!$B$140,CT62+CS63-DB62)))</f>
        <v>296.99999999999994</v>
      </c>
      <c r="CU63" s="18">
        <f>CT63*VLOOKUP('Données projet'!$B$13,Paramètres!$A$1:$I$89,3,0)*VLOOKUP('Données projet'!$B$13,Paramètres!$A$1:$I$89,5,0)</f>
        <v>231.65999999999997</v>
      </c>
      <c r="CV63" s="14">
        <f t="shared" si="41"/>
        <v>56.641461975682766</v>
      </c>
      <c r="CW63" s="22">
        <f t="shared" si="13"/>
        <v>502.12504627431412</v>
      </c>
      <c r="CX63" s="62">
        <f t="shared" si="14"/>
        <v>795.45837960764743</v>
      </c>
      <c r="CY63" s="62">
        <f ca="1">AVERAGE(OFFSET($CX$3,0,0,'Données projet'!$E$13+1,1))-AVERAGE(OFFSET($H$3,0,0,'Données projet'!$E$13+1,1))</f>
        <v>292.21364130214391</v>
      </c>
      <c r="CZ63" s="62">
        <f t="shared" si="42"/>
        <v>283.48738729114024</v>
      </c>
      <c r="DA63" s="16">
        <f>IF(ISNA(VLOOKUP(A63,'Données projet'!$A$139:$I$159,3,0)),0,VLOOKUP(A63,'Données projet'!$A$139:$I$159,3,0))</f>
        <v>7</v>
      </c>
      <c r="DB63" s="16">
        <f>IF(ISNA(VLOOKUP(A63,'Données projet'!$A$139:$I$159,4,0)),0,VLOOKUP(A63,'Données projet'!$A$139:$I$159,4,0))</f>
        <v>47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237.82051282051282</v>
      </c>
      <c r="DM63" s="13">
        <f>VLOOKUP(A63,'Données projet'!$A$165:$I$185,9,0)</f>
        <v>5.5128205128205137</v>
      </c>
      <c r="DN63" s="13">
        <f t="array" ref="DN63">INDEX(DM:DM,MIN(IF(ISNUMBER(DM63:DM259),ROW(DM63:DM259),"")))</f>
        <v>5.5128205128205137</v>
      </c>
      <c r="DO63" s="13">
        <f>IF('Données projet'!$A$166&gt;35,DO62+DN63-DW62,IF(A63&lt;'Données projet'!$A$166,$DL$205^A63,IF(A63='Données projet'!$A$166,'Données projet'!$B$166,DO62+DN63-DW62)))</f>
        <v>237.8205128205129</v>
      </c>
      <c r="DP63" s="18">
        <f>DO63*VLOOKUP('Données projet'!$B$14,Paramètres!$A$1:$I$89,3,0)*VLOOKUP('Données projet'!$B$14,Paramètres!$A$1:$I$89,5,0)</f>
        <v>226.31000000000009</v>
      </c>
      <c r="DQ63" s="14">
        <f t="shared" si="43"/>
        <v>55.484067782810527</v>
      </c>
      <c r="DR63" s="22">
        <f t="shared" si="16"/>
        <v>490.79133472172845</v>
      </c>
      <c r="DS63" s="62">
        <f t="shared" si="17"/>
        <v>784.12466805506176</v>
      </c>
      <c r="DT63" s="62">
        <f ca="1">AVERAGE(OFFSET($DS$3,0,0,'Données projet'!$E$14+1,1))-AVERAGE(OFFSET($H$3,0,0,'Données projet'!$E$14+1,1))</f>
        <v>427.47603885390191</v>
      </c>
      <c r="DU63" s="62">
        <f t="shared" si="44"/>
        <v>350.88664394632116</v>
      </c>
      <c r="DV63" s="16">
        <f>IF(ISNA(VLOOKUP(A63,'Données projet'!$A$165:$I$185,3,0)),0,VLOOKUP(A63,'Données projet'!$A$165:$I$185,3,0))</f>
        <v>5</v>
      </c>
      <c r="DW63" s="16">
        <f>IF(ISNA(VLOOKUP(A63,'Données projet'!$A$165:$I$185,4,0)),0,VLOOKUP(A63,'Données projet'!$A$165:$I$185,4,0))</f>
        <v>35.256410256410255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235</v>
      </c>
      <c r="EH63" s="13">
        <f>VLOOKUP(A63,'Données projet'!$A$191:$I$211,9,0)</f>
        <v>7.6</v>
      </c>
      <c r="EI63" s="13">
        <f t="array" ref="EI63">INDEX(EH:EH,MIN(IF(ISNUMBER(EH63:EH259),ROW(EH63:EH259),"")))</f>
        <v>7.6</v>
      </c>
      <c r="EJ63" s="13">
        <f>IF('Données projet'!$A$192&gt;35,EJ62+EI63-ER62,IF(A63&lt;'Données projet'!$A$192,$EG$205^A63,IF(A63='Données projet'!$A$192,'Données projet'!$B$192,EJ62+EI63-ER62)))</f>
        <v>234.99999999999997</v>
      </c>
      <c r="EK63" s="18">
        <f>EJ63*VLOOKUP('Données projet'!$B$15,Paramètres!$A$1:$I$89,3,0)*VLOOKUP('Données projet'!$B$15,Paramètres!$A$1:$I$89,5,0)</f>
        <v>227.292</v>
      </c>
      <c r="EL63" s="14">
        <f t="shared" si="45"/>
        <v>55.6967456174837</v>
      </c>
      <c r="EM63" s="22">
        <f t="shared" si="19"/>
        <v>492.87206528378402</v>
      </c>
      <c r="EN63" s="62">
        <f t="shared" si="20"/>
        <v>786.20539861711734</v>
      </c>
      <c r="EO63" s="62">
        <f ca="1">AVERAGE(OFFSET($EN$3,0,0,'Données projet'!$E$15+1,1))-AVERAGE(OFFSET($H$3,0,0,'Données projet'!$E$15+1,1))</f>
        <v>455.50822833641354</v>
      </c>
      <c r="EP63" s="62">
        <f t="shared" si="46"/>
        <v>261.14722581688039</v>
      </c>
      <c r="EQ63" s="16">
        <f>IF(ISNA(VLOOKUP(A63,'Données projet'!$A$191:$I$211,3,0)),0,VLOOKUP(A63,'Données projet'!$A$191:$I$211,3,0))</f>
        <v>4</v>
      </c>
      <c r="ER63" s="16">
        <f>IF(ISNA(VLOOKUP(A63,'Données projet'!$A$191:$I$211,4,0)),0,VLOOKUP(A63,'Données projet'!$A$191:$I$211,4,0))</f>
        <v>42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248</v>
      </c>
      <c r="FC63" s="13">
        <f>VLOOKUP(A63,'Données projet'!$A$217:$I$237,9,0)</f>
        <v>6</v>
      </c>
      <c r="FD63" s="13">
        <f t="array" ref="FD63">INDEX(FC:FC,MIN(IF(ISNUMBER(FC63:FC259),ROW(FC63:FC259),"")))</f>
        <v>6</v>
      </c>
      <c r="FE63" s="13">
        <f>IF('Données projet'!$A$218&gt;35,FE62+FD63-FM62,IF(A63&lt;'Données projet'!$A$218,$FB$205^A63,IF(A63='Données projet'!$A$218,'Données projet'!$B$218,FE62+FD63-FM62)))</f>
        <v>248.00000000000006</v>
      </c>
      <c r="FF63" s="18">
        <f>FE63*VLOOKUP('Données projet'!$B$16,Paramètres!$A$1:$I$89,3,0)*VLOOKUP('Données projet'!$B$16,Paramètres!$A$1:$I$89,5,0)</f>
        <v>216.6528000000001</v>
      </c>
      <c r="FG63" s="14">
        <f t="shared" si="47"/>
        <v>53.38674047237987</v>
      </c>
      <c r="FH63" s="22">
        <f t="shared" si="22"/>
        <v>470.31886632272835</v>
      </c>
      <c r="FI63" s="62">
        <f t="shared" si="23"/>
        <v>763.65219965606161</v>
      </c>
      <c r="FJ63" s="62">
        <f ca="1">AVERAGE(OFFSET($FI$3,0,0,'Données projet'!$E$16+1,1))-AVERAGE(OFFSET($H$3,0,0,'Données projet'!$E$16+1,1))</f>
        <v>369.34989412920129</v>
      </c>
      <c r="FK63" s="62">
        <f t="shared" si="48"/>
        <v>371.26234252426553</v>
      </c>
      <c r="FL63" s="16">
        <f>IF(ISNA(VLOOKUP(A63,'Données projet'!$A$217:$I$237,3,0)),0,VLOOKUP(A63,'Données projet'!$A$217:$I$237,3,0))</f>
        <v>5</v>
      </c>
      <c r="FM63" s="16">
        <f>IF(ISNA(VLOOKUP(A63,'Données projet'!$A$217:$I$237,4,0)),0,VLOOKUP(A63,'Données projet'!$A$217:$I$237,4,0))</f>
        <v>44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0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>
        <f>FZ63*VLOOKUP('Données projet'!$B$17,Paramètres!$A$1:$I$89,3,0)*VLOOKUP('Données projet'!$B$17,Paramètres!$A$1:$I$89,5,0)</f>
        <v>0</v>
      </c>
      <c r="GB63" s="14" t="e">
        <f t="shared" si="49"/>
        <v>#NUM!</v>
      </c>
      <c r="GC63" s="22" t="e">
        <f t="shared" si="25"/>
        <v>#NUM!</v>
      </c>
      <c r="GD63" s="62" t="e">
        <f t="shared" si="26"/>
        <v>#NUM!</v>
      </c>
      <c r="GE63" s="62">
        <f ca="1">AVERAGE(OFFSET($GD$3,0,0,'Données projet'!$E$17+1,1))-AVERAGE(OFFSET($H$3,0,0,'Données projet'!$E$17+1,1))</f>
        <v>324.4489531703187</v>
      </c>
      <c r="GF63" s="62">
        <f t="shared" si="50"/>
        <v>446.55019360848706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projet'!$B$17,Paramètres!$A$1:$I$89,3,0)*0.475*44/12</f>
        <v>0</v>
      </c>
      <c r="GM63" s="23">
        <f>EXP(-LN(2)/25)*GM62+(1-EXP(-LN(2)/25))/(LN(2)/25)*Calculateur!GH63*Calculateur!GJ63*VLOOKUP('Données projet'!$B$17,Paramètres!$A$1:$I$89,3,0)*0.475*44/12</f>
        <v>0</v>
      </c>
      <c r="GN63" s="23">
        <f>EXP(-LN(2)/2)*GN62+(1-EXP(-LN(2)/2))/(LN(2)/2)*GH63*GK63*VLOOKUP('Données projet'!$B$17,Paramètres!$A$1:$I$89,3,0)*0.475*44/12</f>
        <v>0</v>
      </c>
      <c r="GO63" s="23">
        <f t="shared" si="27"/>
        <v>0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>
        <f>VLOOKUP(A63,'Données projet'!$A$269:$I$289,2,0)</f>
        <v>244.87179487179486</v>
      </c>
      <c r="GS63" s="13">
        <f>VLOOKUP(A63,'Données projet'!$A$269:$I$289,9,0)</f>
        <v>5.3846153846153868</v>
      </c>
      <c r="GT63" s="13">
        <f t="array" ref="GT63">INDEX(GS:GS,MIN(IF(ISNUMBER(GS63:GS259),ROW(GS63:GS259),"")))</f>
        <v>5.3846153846153868</v>
      </c>
      <c r="GU63" s="13">
        <f>IF('Données projet'!$A$270&gt;35,GU62+GT63-HC62,IF(A63&lt;'Données projet'!$A$270,$GR$205^A63,IF(A63='Données projet'!$A$270,'Données projet'!$B$270,GU62+GT63-HC62)))</f>
        <v>244.87179487179489</v>
      </c>
      <c r="GV63" s="18">
        <f>GU63*VLOOKUP('Données projet'!$B$18,Paramètres!$A$1:$I$89,3,0)*VLOOKUP('Données projet'!$B$18,Paramètres!$A$1:$I$89,5,0)</f>
        <v>164.26000000000002</v>
      </c>
      <c r="GW63" s="14">
        <f t="shared" si="51"/>
        <v>41.801895928887475</v>
      </c>
      <c r="GX63" s="22">
        <f t="shared" si="28"/>
        <v>358.89113540947909</v>
      </c>
      <c r="GY63" s="62">
        <f t="shared" si="29"/>
        <v>652.22446874281241</v>
      </c>
      <c r="GZ63" s="62">
        <f ca="1">AVERAGE(OFFSET($GY$3,0,0,'Données projet'!$E$18+1,1))-AVERAGE(OFFSET($H$3,0,0,'Données projet'!$E$18+1,1))</f>
        <v>312.06797204903796</v>
      </c>
      <c r="HA63" s="62">
        <f t="shared" si="52"/>
        <v>258.20189001775151</v>
      </c>
      <c r="HB63" s="16">
        <f>IF(ISNA(VLOOKUP(A63,'Données projet'!$A$269:$I$289,3,0)),0,VLOOKUP(A63,'Données projet'!$A$269:$I$289,3,0))</f>
        <v>5</v>
      </c>
      <c r="HC63" s="16">
        <f>IF(ISNA(VLOOKUP(A63,'Données projet'!$A$269:$I$289,4,0)),0,VLOOKUP(A63,'Données projet'!$A$269:$I$289,4,0))</f>
        <v>30.128205128205128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>
        <f>EXP(-LN(2)/35)*HG62+(1-EXP(-LN(2)/35))/(LN(2)/35)*HC63*HD63*VLOOKUP('Données projet'!$B$18,Paramètres!$A$1:$I$89,3,0)*0.475*44/12</f>
        <v>0</v>
      </c>
      <c r="HH63" s="23">
        <f>EXP(-LN(2)/25)*HH62+(1-EXP(-LN(2)/25))/(LN(2)/25)*Calculateur!HC63*Calculateur!HE63*VLOOKUP('Données projet'!$B$18,Paramètres!$A$1:$I$89,3,0)*0.475*44/12</f>
        <v>0</v>
      </c>
      <c r="HI63" s="23">
        <f>EXP(-LN(2)/2)*HI62+(1-EXP(-LN(2)/2))/(LN(2)/2)*HC63*HF63*VLOOKUP('Données projet'!$B$18,Paramètres!$A$1:$I$89,3,0)*0.475*44/12</f>
        <v>0</v>
      </c>
      <c r="HJ63" s="24">
        <f t="shared" si="30"/>
        <v>0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8.8000000000000007</v>
      </c>
      <c r="N64" s="14">
        <f>IF('Données projet'!$A$36&gt;35,N63+M64-V63,IF(A64&lt;'Données projet'!$A$36,$K$205^A64,IF(A64='Données projet'!$A$36,'Données projet'!$B$36,N63+M64-V63)))</f>
        <v>253.79999999999984</v>
      </c>
      <c r="O64" s="14">
        <f>N64*VLOOKUP('Données projet'!$B$9,Paramètres!$A$1:$I$89,3,0)*VLOOKUP('Données projet'!$B$9,Paramètres!$A$1:$I$89,5,0)</f>
        <v>229.63823999999985</v>
      </c>
      <c r="P64" s="14">
        <f t="shared" si="33"/>
        <v>56.204453396569633</v>
      </c>
      <c r="Q64" s="22">
        <f t="shared" si="53"/>
        <v>497.84269099902514</v>
      </c>
      <c r="R64" s="62">
        <f t="shared" si="0"/>
        <v>791.17602433235845</v>
      </c>
      <c r="S64" s="62">
        <f ca="1">AVERAGE(OFFSET($R$3,0,0,'Données projet'!$E$9+1,1))-AVERAGE(OFFSET($H$3,0,0,'Données projet'!$E$9+1,1))</f>
        <v>512.84819850818667</v>
      </c>
      <c r="T64" s="62">
        <f t="shared" si="34"/>
        <v>332.61387922152159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5.2399999999999975</v>
      </c>
      <c r="AI64" s="14">
        <f>IF('Données projet'!$A$62&gt;35,AI63+AH64-AQ63,IF(A64&lt;'Données projet'!$A$62,$AF$205^A64,IF(A64='Données projet'!$A$62,'Données projet'!$B$62,AI63+AH64-AQ63)))</f>
        <v>285.03999999999985</v>
      </c>
      <c r="AJ64" s="14">
        <f>AI64*VLOOKUP('Données projet'!$B$10,Paramètres!$A$1:$I$89,3,0)*VLOOKUP('Données projet'!$B$10,Paramètres!$A$1:$I$89,5,0)</f>
        <v>208.9913279999999</v>
      </c>
      <c r="AK64" s="14">
        <f t="shared" si="35"/>
        <v>51.715103760424256</v>
      </c>
      <c r="AL64" s="22">
        <f t="shared" si="4"/>
        <v>454.06370198273868</v>
      </c>
      <c r="AM64" s="62">
        <f t="shared" si="5"/>
        <v>747.39703531607199</v>
      </c>
      <c r="AN64" s="62">
        <f ca="1">AVERAGE(OFFSET($AM$3,0,0,'Données projet'!$E$10+1,1))-AVERAGE(OFFSET($H$3,0,0,'Données projet'!$E$10+1,1))</f>
        <v>344.45199703750711</v>
      </c>
      <c r="AO64" s="62">
        <f t="shared" si="36"/>
        <v>376.41441893222185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8.8000000000000007</v>
      </c>
      <c r="BD64" s="13">
        <f>IF('Données projet'!$A$88&gt;35,BD63+BC64-BL63,IF(A64&lt;'Données projet'!$A$88,$BA$205^A64,IF(A64='Données projet'!$A$88,'Données projet'!$B$88,BD63+BC64-BL63)))</f>
        <v>253.79999999999984</v>
      </c>
      <c r="BE64" s="14">
        <f>BD64*VLOOKUP('Données projet'!$B$11,Paramètres!$A$1:$I$89,3,0)*VLOOKUP('Données projet'!$B$11,Paramètres!$A$1:$I$89,5,0)</f>
        <v>257.3531999999999</v>
      </c>
      <c r="BF64" s="14">
        <f t="shared" si="37"/>
        <v>62.157851613080908</v>
      </c>
      <c r="BG64" s="22">
        <f t="shared" si="7"/>
        <v>556.48174822611566</v>
      </c>
      <c r="BH64" s="62">
        <f t="shared" si="8"/>
        <v>849.81508155944903</v>
      </c>
      <c r="BI64" s="62">
        <f ca="1">AVERAGE(OFFSET($BH$3,0,0,'Données projet'!$E$11+1,1))-AVERAGE(OFFSET($H$3,0,0,'Données projet'!$E$11+1,1))</f>
        <v>569.39473185784823</v>
      </c>
      <c r="BJ64" s="62">
        <f t="shared" si="38"/>
        <v>367.42881145517066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10.4</v>
      </c>
      <c r="BY64" s="13">
        <f>IF('Données projet'!$A$114&gt;35,BY63+BX64-CG63,IF(A64&lt;'Données projet'!$A$114,$BV$205^A64,IF(A64='Données projet'!$A$114,'Données projet'!$B$114,BY63+BX64-CG63)))</f>
        <v>252.40000000000003</v>
      </c>
      <c r="BZ64" s="14">
        <f>BY64*VLOOKUP('Données projet'!$B$12,Paramètres!$A$1:$I$89,3,0)*VLOOKUP('Données projet'!$B$12,Paramètres!$A$1:$I$89,5,0)</f>
        <v>216.55920000000003</v>
      </c>
      <c r="CA64" s="14">
        <f t="shared" si="39"/>
        <v>53.366360125240483</v>
      </c>
      <c r="CB64" s="22">
        <f t="shared" si="10"/>
        <v>470.12035055146049</v>
      </c>
      <c r="CC64" s="62">
        <f t="shared" si="11"/>
        <v>763.4536838847938</v>
      </c>
      <c r="CD64" s="62">
        <f ca="1">AVERAGE(OFFSET($CC$3,0,0,'Données projet'!$E$12+1,1))-AVERAGE(OFFSET($H$3,0,0,'Données projet'!$E$12+1,1))</f>
        <v>554.06253050955502</v>
      </c>
      <c r="CE64" s="62">
        <f t="shared" si="40"/>
        <v>269.71949336355789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8.6666666666666661</v>
      </c>
      <c r="CT64" s="13">
        <f>IF('Données projet'!$A$140&gt;35,CT63+CS64-DB63,IF(A64&lt;'Données projet'!$A$140,$CQ$205^A64,IF(A64='Données projet'!$A$140,'Données projet'!$B$140,CT63+CS64-DB63)))</f>
        <v>258.66666666666663</v>
      </c>
      <c r="CU64" s="18">
        <f>CT64*VLOOKUP('Données projet'!$B$13,Paramètres!$A$1:$I$89,3,0)*VLOOKUP('Données projet'!$B$13,Paramètres!$A$1:$I$89,5,0)</f>
        <v>201.76</v>
      </c>
      <c r="CV64" s="14">
        <f t="shared" si="41"/>
        <v>50.130765000424212</v>
      </c>
      <c r="CW64" s="22">
        <f t="shared" si="13"/>
        <v>438.70974904240546</v>
      </c>
      <c r="CX64" s="62">
        <f t="shared" si="14"/>
        <v>732.04308237573878</v>
      </c>
      <c r="CY64" s="62">
        <f ca="1">AVERAGE(OFFSET($CX$3,0,0,'Données projet'!$E$13+1,1))-AVERAGE(OFFSET($H$3,0,0,'Données projet'!$E$13+1,1))</f>
        <v>292.21364130214391</v>
      </c>
      <c r="CZ64" s="62">
        <f t="shared" si="42"/>
        <v>283.48738729114024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5.2564102564102537</v>
      </c>
      <c r="DO64" s="13">
        <f>IF('Données projet'!$A$166&gt;35,DO63+DN64-DW63,IF(A64&lt;'Données projet'!$A$166,$DL$205^A64,IF(A64='Données projet'!$A$166,'Données projet'!$B$166,DO63+DN64-DW63)))</f>
        <v>207.8205128205129</v>
      </c>
      <c r="DP64" s="18">
        <f>DO64*VLOOKUP('Données projet'!$B$14,Paramètres!$A$1:$I$89,3,0)*VLOOKUP('Données projet'!$B$14,Paramètres!$A$1:$I$89,5,0)</f>
        <v>197.76200000000009</v>
      </c>
      <c r="DQ64" s="14">
        <f t="shared" si="43"/>
        <v>49.252001403322879</v>
      </c>
      <c r="DR64" s="22">
        <f t="shared" si="16"/>
        <v>430.21605244412081</v>
      </c>
      <c r="DS64" s="62">
        <f t="shared" si="17"/>
        <v>723.54938577745406</v>
      </c>
      <c r="DT64" s="62">
        <f ca="1">AVERAGE(OFFSET($DS$3,0,0,'Données projet'!$E$14+1,1))-AVERAGE(OFFSET($H$3,0,0,'Données projet'!$E$14+1,1))</f>
        <v>427.47603885390191</v>
      </c>
      <c r="DU64" s="62">
        <f t="shared" si="44"/>
        <v>350.88664394632116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7.2</v>
      </c>
      <c r="EJ64" s="13">
        <f>IF('Données projet'!$A$192&gt;35,EJ63+EI64-ER63,IF(A64&lt;'Données projet'!$A$192,$EG$205^A64,IF(A64='Données projet'!$A$192,'Données projet'!$B$192,EJ63+EI64-ER63)))</f>
        <v>200.19999999999996</v>
      </c>
      <c r="EK64" s="18">
        <f>EJ64*VLOOKUP('Données projet'!$B$15,Paramètres!$A$1:$I$89,3,0)*VLOOKUP('Données projet'!$B$15,Paramètres!$A$1:$I$89,5,0)</f>
        <v>193.63343999999998</v>
      </c>
      <c r="EL64" s="14">
        <f t="shared" si="45"/>
        <v>48.342367086681229</v>
      </c>
      <c r="EM64" s="22">
        <f t="shared" si="19"/>
        <v>421.44119734263637</v>
      </c>
      <c r="EN64" s="62">
        <f t="shared" si="20"/>
        <v>714.77453067596969</v>
      </c>
      <c r="EO64" s="62">
        <f ca="1">AVERAGE(OFFSET($EN$3,0,0,'Données projet'!$E$15+1,1))-AVERAGE(OFFSET($H$3,0,0,'Données projet'!$E$15+1,1))</f>
        <v>455.50822833641354</v>
      </c>
      <c r="EP64" s="62">
        <f t="shared" si="46"/>
        <v>261.14722581688039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5.6</v>
      </c>
      <c r="FE64" s="13">
        <f>IF('Données projet'!$A$218&gt;35,FE63+FD64-FM63,IF(A64&lt;'Données projet'!$A$218,$FB$205^A64,IF(A64='Données projet'!$A$218,'Données projet'!$B$218,FE63+FD64-FM63)))</f>
        <v>209.60000000000005</v>
      </c>
      <c r="FF64" s="18">
        <f>FE64*VLOOKUP('Données projet'!$B$16,Paramètres!$A$1:$I$89,3,0)*VLOOKUP('Données projet'!$B$16,Paramètres!$A$1:$I$89,5,0)</f>
        <v>183.10656000000006</v>
      </c>
      <c r="FG64" s="14">
        <f t="shared" si="47"/>
        <v>46.012648718992089</v>
      </c>
      <c r="FH64" s="22">
        <f t="shared" si="22"/>
        <v>399.04928851891128</v>
      </c>
      <c r="FI64" s="62">
        <f t="shared" si="23"/>
        <v>692.3826218522446</v>
      </c>
      <c r="FJ64" s="62">
        <f ca="1">AVERAGE(OFFSET($FI$3,0,0,'Données projet'!$E$16+1,1))-AVERAGE(OFFSET($H$3,0,0,'Données projet'!$E$16+1,1))</f>
        <v>369.34989412920129</v>
      </c>
      <c r="FK64" s="62">
        <f t="shared" si="48"/>
        <v>371.26234252426553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0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>
        <f>FZ64*VLOOKUP('Données projet'!$B$17,Paramètres!$A$1:$I$89,3,0)*VLOOKUP('Données projet'!$B$17,Paramètres!$A$1:$I$89,5,0)</f>
        <v>0</v>
      </c>
      <c r="GB64" s="14" t="e">
        <f t="shared" si="49"/>
        <v>#NUM!</v>
      </c>
      <c r="GC64" s="22" t="e">
        <f t="shared" si="25"/>
        <v>#NUM!</v>
      </c>
      <c r="GD64" s="62" t="e">
        <f t="shared" si="26"/>
        <v>#NUM!</v>
      </c>
      <c r="GE64" s="62">
        <f ca="1">AVERAGE(OFFSET($GD$3,0,0,'Données projet'!$E$17+1,1))-AVERAGE(OFFSET($H$3,0,0,'Données projet'!$E$17+1,1))</f>
        <v>324.4489531703187</v>
      </c>
      <c r="GF64" s="62">
        <f t="shared" si="50"/>
        <v>446.55019360848706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projet'!$B$17,Paramètres!$A$1:$I$89,3,0)*0.475*44/12</f>
        <v>0</v>
      </c>
      <c r="GM64" s="23">
        <f>EXP(-LN(2)/25)*GM63+(1-EXP(-LN(2)/25))/(LN(2)/25)*Calculateur!GH64*Calculateur!GJ64*VLOOKUP('Données projet'!$B$17,Paramètres!$A$1:$I$89,3,0)*0.475*44/12</f>
        <v>0</v>
      </c>
      <c r="GN64" s="23">
        <f>EXP(-LN(2)/2)*GN63+(1-EXP(-LN(2)/2))/(LN(2)/2)*GH64*GK64*VLOOKUP('Données projet'!$B$17,Paramètres!$A$1:$I$89,3,0)*0.475*44/12</f>
        <v>0</v>
      </c>
      <c r="GO64" s="23">
        <f t="shared" si="27"/>
        <v>0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5.1282051282051331</v>
      </c>
      <c r="GU64" s="13">
        <f>IF('Données projet'!$A$270&gt;35,GU63+GT64-HC63,IF(A64&lt;'Données projet'!$A$270,$GR$205^A64,IF(A64='Données projet'!$A$270,'Données projet'!$B$270,GU63+GT64-HC63)))</f>
        <v>219.87179487179489</v>
      </c>
      <c r="GV64" s="18">
        <f>GU64*VLOOKUP('Données projet'!$B$18,Paramètres!$A$1:$I$89,3,0)*VLOOKUP('Données projet'!$B$18,Paramètres!$A$1:$I$89,5,0)</f>
        <v>147.49</v>
      </c>
      <c r="GW64" s="14">
        <f t="shared" si="51"/>
        <v>38.007620116459833</v>
      </c>
      <c r="GX64" s="22">
        <f t="shared" si="28"/>
        <v>323.07502170283419</v>
      </c>
      <c r="GY64" s="62">
        <f t="shared" si="29"/>
        <v>616.40835503616745</v>
      </c>
      <c r="GZ64" s="62">
        <f ca="1">AVERAGE(OFFSET($GY$3,0,0,'Données projet'!$E$18+1,1))-AVERAGE(OFFSET($H$3,0,0,'Données projet'!$E$18+1,1))</f>
        <v>312.06797204903796</v>
      </c>
      <c r="HA64" s="62">
        <f t="shared" si="52"/>
        <v>258.20189001775151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>
        <f>EXP(-LN(2)/35)*HG63+(1-EXP(-LN(2)/35))/(LN(2)/35)*HC64*HD64*VLOOKUP('Données projet'!$B$18,Paramètres!$A$1:$I$89,3,0)*0.475*44/12</f>
        <v>0</v>
      </c>
      <c r="HH64" s="23">
        <f>EXP(-LN(2)/25)*HH63+(1-EXP(-LN(2)/25))/(LN(2)/25)*Calculateur!HC64*Calculateur!HE64*VLOOKUP('Données projet'!$B$18,Paramètres!$A$1:$I$89,3,0)*0.475*44/12</f>
        <v>0</v>
      </c>
      <c r="HI64" s="23">
        <f>EXP(-LN(2)/2)*HI63+(1-EXP(-LN(2)/2))/(LN(2)/2)*HC64*HF64*VLOOKUP('Données projet'!$B$18,Paramètres!$A$1:$I$89,3,0)*0.475*44/12</f>
        <v>0</v>
      </c>
      <c r="HJ64" s="24">
        <f t="shared" si="30"/>
        <v>0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8.8000000000000007</v>
      </c>
      <c r="N65" s="14">
        <f>IF('Données projet'!$A$36&gt;35,N64+M65-V64,IF(A65&lt;'Données projet'!$A$36,$K$205^A65,IF(A65='Données projet'!$A$36,'Données projet'!$B$36,N64+M65-V64)))</f>
        <v>262.59999999999985</v>
      </c>
      <c r="O65" s="14">
        <f>N65*VLOOKUP('Données projet'!$B$9,Paramètres!$A$1:$I$89,3,0)*VLOOKUP('Données projet'!$B$9,Paramètres!$A$1:$I$89,5,0)</f>
        <v>237.60047999999986</v>
      </c>
      <c r="P65" s="14">
        <f t="shared" si="33"/>
        <v>57.922960533442058</v>
      </c>
      <c r="Q65" s="22">
        <f t="shared" si="53"/>
        <v>514.70332559574479</v>
      </c>
      <c r="R65" s="62">
        <f t="shared" si="0"/>
        <v>808.03665892907816</v>
      </c>
      <c r="S65" s="62">
        <f ca="1">AVERAGE(OFFSET($R$3,0,0,'Données projet'!$E$9+1,1))-AVERAGE(OFFSET($H$3,0,0,'Données projet'!$E$9+1,1))</f>
        <v>512.84819850818667</v>
      </c>
      <c r="T65" s="62">
        <f t="shared" si="34"/>
        <v>332.61387922152159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5.2399999999999975</v>
      </c>
      <c r="AI65" s="14">
        <f>IF('Données projet'!$A$62&gt;35,AI64+AH65-AQ64,IF(A65&lt;'Données projet'!$A$62,$AF$205^A65,IF(A65='Données projet'!$A$62,'Données projet'!$B$62,AI64+AH65-AQ64)))</f>
        <v>290.27999999999986</v>
      </c>
      <c r="AJ65" s="14">
        <f>AI65*VLOOKUP('Données projet'!$B$10,Paramètres!$A$1:$I$89,3,0)*VLOOKUP('Données projet'!$B$10,Paramètres!$A$1:$I$89,5,0)</f>
        <v>212.83329599999988</v>
      </c>
      <c r="AK65" s="14">
        <f t="shared" si="35"/>
        <v>52.554248411686309</v>
      </c>
      <c r="AL65" s="22">
        <f t="shared" si="4"/>
        <v>462.21663985035343</v>
      </c>
      <c r="AM65" s="62">
        <f t="shared" si="5"/>
        <v>755.54997318368669</v>
      </c>
      <c r="AN65" s="62">
        <f ca="1">AVERAGE(OFFSET($AM$3,0,0,'Données projet'!$E$10+1,1))-AVERAGE(OFFSET($H$3,0,0,'Données projet'!$E$10+1,1))</f>
        <v>344.45199703750711</v>
      </c>
      <c r="AO65" s="62">
        <f t="shared" si="36"/>
        <v>376.41441893222185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8.8000000000000007</v>
      </c>
      <c r="BD65" s="13">
        <f>IF('Données projet'!$A$88&gt;35,BD64+BC65-BL64,IF(A65&lt;'Données projet'!$A$88,$BA$205^A65,IF(A65='Données projet'!$A$88,'Données projet'!$B$88,BD64+BC65-BL64)))</f>
        <v>262.59999999999985</v>
      </c>
      <c r="BE65" s="14">
        <f>BD65*VLOOKUP('Données projet'!$B$11,Paramètres!$A$1:$I$89,3,0)*VLOOKUP('Données projet'!$B$11,Paramètres!$A$1:$I$89,5,0)</f>
        <v>266.27639999999985</v>
      </c>
      <c r="BF65" s="14">
        <f t="shared" si="37"/>
        <v>64.05838982943969</v>
      </c>
      <c r="BG65" s="22">
        <f t="shared" si="7"/>
        <v>575.33309228627388</v>
      </c>
      <c r="BH65" s="62">
        <f t="shared" si="8"/>
        <v>868.66642561960725</v>
      </c>
      <c r="BI65" s="62">
        <f ca="1">AVERAGE(OFFSET($BH$3,0,0,'Données projet'!$E$11+1,1))-AVERAGE(OFFSET($H$3,0,0,'Données projet'!$E$11+1,1))</f>
        <v>569.39473185784823</v>
      </c>
      <c r="BJ65" s="62">
        <f t="shared" si="38"/>
        <v>367.42881145517066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10.4</v>
      </c>
      <c r="BY65" s="13">
        <f>IF('Données projet'!$A$114&gt;35,BY64+BX65-CG64,IF(A65&lt;'Données projet'!$A$114,$BV$205^A65,IF(A65='Données projet'!$A$114,'Données projet'!$B$114,BY64+BX65-CG64)))</f>
        <v>262.8</v>
      </c>
      <c r="BZ65" s="14">
        <f>BY65*VLOOKUP('Données projet'!$B$12,Paramètres!$A$1:$I$89,3,0)*VLOOKUP('Données projet'!$B$12,Paramètres!$A$1:$I$89,5,0)</f>
        <v>225.48240000000004</v>
      </c>
      <c r="CA65" s="14">
        <f t="shared" si="39"/>
        <v>55.304745901414371</v>
      </c>
      <c r="CB65" s="22">
        <f t="shared" si="10"/>
        <v>489.03761244496349</v>
      </c>
      <c r="CC65" s="62">
        <f t="shared" si="11"/>
        <v>782.3709457782968</v>
      </c>
      <c r="CD65" s="62">
        <f ca="1">AVERAGE(OFFSET($CC$3,0,0,'Données projet'!$E$12+1,1))-AVERAGE(OFFSET($H$3,0,0,'Données projet'!$E$12+1,1))</f>
        <v>554.06253050955502</v>
      </c>
      <c r="CE65" s="62">
        <f t="shared" si="40"/>
        <v>269.71949336355789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8.6666666666666661</v>
      </c>
      <c r="CT65" s="13">
        <f>IF('Données projet'!$A$140&gt;35,CT64+CS65-DB64,IF(A65&lt;'Données projet'!$A$140,$CQ$205^A65,IF(A65='Données projet'!$A$140,'Données projet'!$B$140,CT64+CS65-DB64)))</f>
        <v>267.33333333333331</v>
      </c>
      <c r="CU65" s="18">
        <f>CT65*VLOOKUP('Données projet'!$B$13,Paramètres!$A$1:$I$89,3,0)*VLOOKUP('Données projet'!$B$13,Paramètres!$A$1:$I$89,5,0)</f>
        <v>208.51999999999998</v>
      </c>
      <c r="CV65" s="14">
        <f t="shared" si="41"/>
        <v>51.612035456318509</v>
      </c>
      <c r="CW65" s="22">
        <f t="shared" si="13"/>
        <v>453.06329508642131</v>
      </c>
      <c r="CX65" s="62">
        <f t="shared" si="14"/>
        <v>746.39662841975462</v>
      </c>
      <c r="CY65" s="62">
        <f ca="1">AVERAGE(OFFSET($CX$3,0,0,'Données projet'!$E$13+1,1))-AVERAGE(OFFSET($H$3,0,0,'Données projet'!$E$13+1,1))</f>
        <v>292.21364130214391</v>
      </c>
      <c r="CZ65" s="62">
        <f t="shared" si="42"/>
        <v>283.48738729114024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5.2564102564102537</v>
      </c>
      <c r="DO65" s="13">
        <f>IF('Données projet'!$A$166&gt;35,DO64+DN65-DW64,IF(A65&lt;'Données projet'!$A$166,$DL$205^A65,IF(A65='Données projet'!$A$166,'Données projet'!$B$166,DO64+DN65-DW64)))</f>
        <v>213.07692307692315</v>
      </c>
      <c r="DP65" s="18">
        <f>DO65*VLOOKUP('Données projet'!$B$14,Paramètres!$A$1:$I$89,3,0)*VLOOKUP('Données projet'!$B$14,Paramètres!$A$1:$I$89,5,0)</f>
        <v>202.7640000000001</v>
      </c>
      <c r="DQ65" s="14">
        <f t="shared" si="43"/>
        <v>50.351125180505704</v>
      </c>
      <c r="DR65" s="22">
        <f t="shared" si="16"/>
        <v>440.84217635604756</v>
      </c>
      <c r="DS65" s="62">
        <f t="shared" si="17"/>
        <v>734.17550968938087</v>
      </c>
      <c r="DT65" s="62">
        <f ca="1">AVERAGE(OFFSET($DS$3,0,0,'Données projet'!$E$14+1,1))-AVERAGE(OFFSET($H$3,0,0,'Données projet'!$E$14+1,1))</f>
        <v>427.47603885390191</v>
      </c>
      <c r="DU65" s="62">
        <f t="shared" si="44"/>
        <v>350.88664394632116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7.2</v>
      </c>
      <c r="EJ65" s="13">
        <f>IF('Données projet'!$A$192&gt;35,EJ64+EI65-ER64,IF(A65&lt;'Données projet'!$A$192,$EG$205^A65,IF(A65='Données projet'!$A$192,'Données projet'!$B$192,EJ64+EI65-ER64)))</f>
        <v>207.39999999999995</v>
      </c>
      <c r="EK65" s="18">
        <f>EJ65*VLOOKUP('Données projet'!$B$15,Paramètres!$A$1:$I$89,3,0)*VLOOKUP('Données projet'!$B$15,Paramètres!$A$1:$I$89,5,0)</f>
        <v>200.59727999999996</v>
      </c>
      <c r="EL65" s="14">
        <f t="shared" si="45"/>
        <v>49.875409002022977</v>
      </c>
      <c r="EM65" s="22">
        <f t="shared" si="19"/>
        <v>436.23993334518991</v>
      </c>
      <c r="EN65" s="62">
        <f t="shared" si="20"/>
        <v>729.57326667852317</v>
      </c>
      <c r="EO65" s="62">
        <f ca="1">AVERAGE(OFFSET($EN$3,0,0,'Données projet'!$E$15+1,1))-AVERAGE(OFFSET($H$3,0,0,'Données projet'!$E$15+1,1))</f>
        <v>455.50822833641354</v>
      </c>
      <c r="EP65" s="62">
        <f t="shared" si="46"/>
        <v>261.14722581688039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5.6</v>
      </c>
      <c r="FE65" s="13">
        <f>IF('Données projet'!$A$218&gt;35,FE64+FD65-FM64,IF(A65&lt;'Données projet'!$A$218,$FB$205^A65,IF(A65='Données projet'!$A$218,'Données projet'!$B$218,FE64+FD65-FM64)))</f>
        <v>215.20000000000005</v>
      </c>
      <c r="FF65" s="18">
        <f>FE65*VLOOKUP('Données projet'!$B$16,Paramètres!$A$1:$I$89,3,0)*VLOOKUP('Données projet'!$B$16,Paramètres!$A$1:$I$89,5,0)</f>
        <v>187.99872000000008</v>
      </c>
      <c r="FG65" s="14">
        <f t="shared" si="47"/>
        <v>47.097225953569499</v>
      </c>
      <c r="FH65" s="22">
        <f t="shared" si="22"/>
        <v>409.45877253580034</v>
      </c>
      <c r="FI65" s="62">
        <f t="shared" si="23"/>
        <v>702.79210586913359</v>
      </c>
      <c r="FJ65" s="62">
        <f ca="1">AVERAGE(OFFSET($FI$3,0,0,'Données projet'!$E$16+1,1))-AVERAGE(OFFSET($H$3,0,0,'Données projet'!$E$16+1,1))</f>
        <v>369.34989412920129</v>
      </c>
      <c r="FK65" s="62">
        <f t="shared" si="48"/>
        <v>371.26234252426553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0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>
        <f>FZ65*VLOOKUP('Données projet'!$B$17,Paramètres!$A$1:$I$89,3,0)*VLOOKUP('Données projet'!$B$17,Paramètres!$A$1:$I$89,5,0)</f>
        <v>0</v>
      </c>
      <c r="GB65" s="14" t="e">
        <f t="shared" si="49"/>
        <v>#NUM!</v>
      </c>
      <c r="GC65" s="22" t="e">
        <f t="shared" si="25"/>
        <v>#NUM!</v>
      </c>
      <c r="GD65" s="62" t="e">
        <f t="shared" si="26"/>
        <v>#NUM!</v>
      </c>
      <c r="GE65" s="62">
        <f ca="1">AVERAGE(OFFSET($GD$3,0,0,'Données projet'!$E$17+1,1))-AVERAGE(OFFSET($H$3,0,0,'Données projet'!$E$17+1,1))</f>
        <v>324.4489531703187</v>
      </c>
      <c r="GF65" s="62">
        <f t="shared" si="50"/>
        <v>446.55019360848706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projet'!$B$17,Paramètres!$A$1:$I$89,3,0)*0.475*44/12</f>
        <v>0</v>
      </c>
      <c r="GM65" s="23">
        <f>EXP(-LN(2)/25)*GM64+(1-EXP(-LN(2)/25))/(LN(2)/25)*Calculateur!GH65*Calculateur!GJ65*VLOOKUP('Données projet'!$B$17,Paramètres!$A$1:$I$89,3,0)*0.475*44/12</f>
        <v>0</v>
      </c>
      <c r="GN65" s="23">
        <f>EXP(-LN(2)/2)*GN64+(1-EXP(-LN(2)/2))/(LN(2)/2)*GH65*GK65*VLOOKUP('Données projet'!$B$17,Paramètres!$A$1:$I$89,3,0)*0.475*44/12</f>
        <v>0</v>
      </c>
      <c r="GO65" s="23">
        <f t="shared" si="27"/>
        <v>0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5.1282051282051331</v>
      </c>
      <c r="GU65" s="13">
        <f>IF('Données projet'!$A$270&gt;35,GU64+GT65-HC64,IF(A65&lt;'Données projet'!$A$270,$GR$205^A65,IF(A65='Données projet'!$A$270,'Données projet'!$B$270,GU64+GT65-HC64)))</f>
        <v>225.00000000000003</v>
      </c>
      <c r="GV65" s="18">
        <f>GU65*VLOOKUP('Données projet'!$B$18,Paramètres!$A$1:$I$89,3,0)*VLOOKUP('Données projet'!$B$18,Paramètres!$A$1:$I$89,5,0)</f>
        <v>150.93000000000004</v>
      </c>
      <c r="GW65" s="14">
        <f t="shared" si="51"/>
        <v>38.789855371379076</v>
      </c>
      <c r="GX65" s="22">
        <f t="shared" si="28"/>
        <v>330.42874810515195</v>
      </c>
      <c r="GY65" s="62">
        <f t="shared" si="29"/>
        <v>623.76208143848521</v>
      </c>
      <c r="GZ65" s="62">
        <f ca="1">AVERAGE(OFFSET($GY$3,0,0,'Données projet'!$E$18+1,1))-AVERAGE(OFFSET($H$3,0,0,'Données projet'!$E$18+1,1))</f>
        <v>312.06797204903796</v>
      </c>
      <c r="HA65" s="62">
        <f t="shared" si="52"/>
        <v>258.20189001775151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>
        <f>EXP(-LN(2)/35)*HG64+(1-EXP(-LN(2)/35))/(LN(2)/35)*HC65*HD65*VLOOKUP('Données projet'!$B$18,Paramètres!$A$1:$I$89,3,0)*0.475*44/12</f>
        <v>0</v>
      </c>
      <c r="HH65" s="23">
        <f>EXP(-LN(2)/25)*HH64+(1-EXP(-LN(2)/25))/(LN(2)/25)*Calculateur!HC65*Calculateur!HE65*VLOOKUP('Données projet'!$B$18,Paramètres!$A$1:$I$89,3,0)*0.475*44/12</f>
        <v>0</v>
      </c>
      <c r="HI65" s="23">
        <f>EXP(-LN(2)/2)*HI64+(1-EXP(-LN(2)/2))/(LN(2)/2)*HC65*HF65*VLOOKUP('Données projet'!$B$18,Paramètres!$A$1:$I$89,3,0)*0.475*44/12</f>
        <v>0</v>
      </c>
      <c r="HJ65" s="24">
        <f t="shared" si="30"/>
        <v>0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8.8000000000000007</v>
      </c>
      <c r="N66" s="14">
        <f>IF('Données projet'!$A$36&gt;35,N65+M66-V65,IF(A66&lt;'Données projet'!$A$36,$K$205^A66,IF(A66='Données projet'!$A$36,'Données projet'!$B$36,N65+M66-V65)))</f>
        <v>271.39999999999986</v>
      </c>
      <c r="O66" s="14">
        <f>N66*VLOOKUP('Données projet'!$B$9,Paramètres!$A$1:$I$89,3,0)*VLOOKUP('Données projet'!$B$9,Paramètres!$A$1:$I$89,5,0)</f>
        <v>245.56271999999987</v>
      </c>
      <c r="P66" s="14">
        <f t="shared" si="33"/>
        <v>59.634776048276848</v>
      </c>
      <c r="Q66" s="22">
        <f t="shared" si="53"/>
        <v>531.5523056174153</v>
      </c>
      <c r="R66" s="62">
        <f t="shared" si="0"/>
        <v>824.88563895074867</v>
      </c>
      <c r="S66" s="62">
        <f ca="1">AVERAGE(OFFSET($R$3,0,0,'Données projet'!$E$9+1,1))-AVERAGE(OFFSET($H$3,0,0,'Données projet'!$E$9+1,1))</f>
        <v>512.84819850818667</v>
      </c>
      <c r="T66" s="62">
        <f t="shared" si="34"/>
        <v>332.61387922152159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5.2399999999999975</v>
      </c>
      <c r="AI66" s="14">
        <f>IF('Données projet'!$A$62&gt;35,AI65+AH66-AQ65,IF(A66&lt;'Données projet'!$A$62,$AF$205^A66,IF(A66='Données projet'!$A$62,'Données projet'!$B$62,AI65+AH66-AQ65)))</f>
        <v>295.51999999999987</v>
      </c>
      <c r="AJ66" s="14">
        <f>AI66*VLOOKUP('Données projet'!$B$10,Paramètres!$A$1:$I$89,3,0)*VLOOKUP('Données projet'!$B$10,Paramètres!$A$1:$I$89,5,0)</f>
        <v>216.67526399999991</v>
      </c>
      <c r="AK66" s="14">
        <f t="shared" si="35"/>
        <v>53.391631603175213</v>
      </c>
      <c r="AL66" s="22">
        <f t="shared" si="4"/>
        <v>470.36650984219659</v>
      </c>
      <c r="AM66" s="62">
        <f t="shared" si="5"/>
        <v>763.69984317552985</v>
      </c>
      <c r="AN66" s="62">
        <f ca="1">AVERAGE(OFFSET($AM$3,0,0,'Données projet'!$E$10+1,1))-AVERAGE(OFFSET($H$3,0,0,'Données projet'!$E$10+1,1))</f>
        <v>344.45199703750711</v>
      </c>
      <c r="AO66" s="62">
        <f t="shared" si="36"/>
        <v>376.41441893222185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8.8000000000000007</v>
      </c>
      <c r="BD66" s="13">
        <f>IF('Données projet'!$A$88&gt;35,BD65+BC66-BL65,IF(A66&lt;'Données projet'!$A$88,$BA$205^A66,IF(A66='Données projet'!$A$88,'Données projet'!$B$88,BD65+BC66-BL65)))</f>
        <v>271.39999999999986</v>
      </c>
      <c r="BE66" s="14">
        <f>BD66*VLOOKUP('Données projet'!$B$11,Paramètres!$A$1:$I$89,3,0)*VLOOKUP('Données projet'!$B$11,Paramètres!$A$1:$I$89,5,0)</f>
        <v>275.19959999999986</v>
      </c>
      <c r="BF66" s="14">
        <f t="shared" si="37"/>
        <v>65.951527620662617</v>
      </c>
      <c r="BG66" s="22">
        <f t="shared" si="7"/>
        <v>594.17154727265381</v>
      </c>
      <c r="BH66" s="62">
        <f t="shared" si="8"/>
        <v>887.50488060598718</v>
      </c>
      <c r="BI66" s="62">
        <f ca="1">AVERAGE(OFFSET($BH$3,0,0,'Données projet'!$E$11+1,1))-AVERAGE(OFFSET($H$3,0,0,'Données projet'!$E$11+1,1))</f>
        <v>569.39473185784823</v>
      </c>
      <c r="BJ66" s="62">
        <f t="shared" si="38"/>
        <v>367.42881145517066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10.4</v>
      </c>
      <c r="BY66" s="13">
        <f>IF('Données projet'!$A$114&gt;35,BY65+BX66-CG65,IF(A66&lt;'Données projet'!$A$114,$BV$205^A66,IF(A66='Données projet'!$A$114,'Données projet'!$B$114,BY65+BX66-CG65)))</f>
        <v>273.2</v>
      </c>
      <c r="BZ66" s="14">
        <f>BY66*VLOOKUP('Données projet'!$B$12,Paramètres!$A$1:$I$89,3,0)*VLOOKUP('Données projet'!$B$12,Paramètres!$A$1:$I$89,5,0)</f>
        <v>234.40560000000005</v>
      </c>
      <c r="CA66" s="14">
        <f t="shared" si="39"/>
        <v>57.234220788626125</v>
      </c>
      <c r="CB66" s="22">
        <f t="shared" si="10"/>
        <v>507.93935454019061</v>
      </c>
      <c r="CC66" s="62">
        <f t="shared" si="11"/>
        <v>801.27268787352386</v>
      </c>
      <c r="CD66" s="62">
        <f ca="1">AVERAGE(OFFSET($CC$3,0,0,'Données projet'!$E$12+1,1))-AVERAGE(OFFSET($H$3,0,0,'Données projet'!$E$12+1,1))</f>
        <v>554.06253050955502</v>
      </c>
      <c r="CE66" s="62">
        <f t="shared" si="40"/>
        <v>269.71949336355789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8.6666666666666661</v>
      </c>
      <c r="CT66" s="13">
        <f>IF('Données projet'!$A$140&gt;35,CT65+CS66-DB65,IF(A66&lt;'Données projet'!$A$140,$CQ$205^A66,IF(A66='Données projet'!$A$140,'Données projet'!$B$140,CT65+CS66-DB65)))</f>
        <v>276</v>
      </c>
      <c r="CU66" s="18">
        <f>CT66*VLOOKUP('Données projet'!$B$13,Paramètres!$A$1:$I$89,3,0)*VLOOKUP('Données projet'!$B$13,Paramètres!$A$1:$I$89,5,0)</f>
        <v>215.28</v>
      </c>
      <c r="CV66" s="14">
        <f t="shared" si="41"/>
        <v>53.087725740853138</v>
      </c>
      <c r="CW66" s="22">
        <f t="shared" si="13"/>
        <v>467.40712233198587</v>
      </c>
      <c r="CX66" s="62">
        <f t="shared" si="14"/>
        <v>760.74045566531913</v>
      </c>
      <c r="CY66" s="62">
        <f ca="1">AVERAGE(OFFSET($CX$3,0,0,'Données projet'!$E$13+1,1))-AVERAGE(OFFSET($H$3,0,0,'Données projet'!$E$13+1,1))</f>
        <v>292.21364130214391</v>
      </c>
      <c r="CZ66" s="62">
        <f t="shared" si="42"/>
        <v>283.48738729114024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5.2564102564102537</v>
      </c>
      <c r="DO66" s="13">
        <f>IF('Données projet'!$A$166&gt;35,DO65+DN66-DW65,IF(A66&lt;'Données projet'!$A$166,$DL$205^A66,IF(A66='Données projet'!$A$166,'Données projet'!$B$166,DO65+DN66-DW65)))</f>
        <v>218.3333333333334</v>
      </c>
      <c r="DP66" s="18">
        <f>DO66*VLOOKUP('Données projet'!$B$14,Paramètres!$A$1:$I$89,3,0)*VLOOKUP('Données projet'!$B$14,Paramètres!$A$1:$I$89,5,0)</f>
        <v>207.76600000000005</v>
      </c>
      <c r="DQ66" s="14">
        <f t="shared" si="43"/>
        <v>51.447097034747465</v>
      </c>
      <c r="DR66" s="22">
        <f t="shared" si="16"/>
        <v>451.46281066885194</v>
      </c>
      <c r="DS66" s="62">
        <f t="shared" si="17"/>
        <v>744.7961440021852</v>
      </c>
      <c r="DT66" s="62">
        <f ca="1">AVERAGE(OFFSET($DS$3,0,0,'Données projet'!$E$14+1,1))-AVERAGE(OFFSET($H$3,0,0,'Données projet'!$E$14+1,1))</f>
        <v>427.47603885390191</v>
      </c>
      <c r="DU66" s="62">
        <f t="shared" si="44"/>
        <v>350.88664394632116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7.2</v>
      </c>
      <c r="EJ66" s="13">
        <f>IF('Données projet'!$A$192&gt;35,EJ65+EI66-ER65,IF(A66&lt;'Données projet'!$A$192,$EG$205^A66,IF(A66='Données projet'!$A$192,'Données projet'!$B$192,EJ65+EI66-ER65)))</f>
        <v>214.59999999999994</v>
      </c>
      <c r="EK66" s="18">
        <f>EJ66*VLOOKUP('Données projet'!$B$15,Paramètres!$A$1:$I$89,3,0)*VLOOKUP('Données projet'!$B$15,Paramètres!$A$1:$I$89,5,0)</f>
        <v>207.56111999999996</v>
      </c>
      <c r="EL66" s="14">
        <f t="shared" si="45"/>
        <v>51.40226725537714</v>
      </c>
      <c r="EM66" s="22">
        <f t="shared" si="19"/>
        <v>451.02789946978169</v>
      </c>
      <c r="EN66" s="62">
        <f t="shared" si="20"/>
        <v>744.36123280311494</v>
      </c>
      <c r="EO66" s="62">
        <f ca="1">AVERAGE(OFFSET($EN$3,0,0,'Données projet'!$E$15+1,1))-AVERAGE(OFFSET($H$3,0,0,'Données projet'!$E$15+1,1))</f>
        <v>455.50822833641354</v>
      </c>
      <c r="EP66" s="62">
        <f t="shared" si="46"/>
        <v>261.14722581688039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5.6</v>
      </c>
      <c r="FE66" s="13">
        <f>IF('Données projet'!$A$218&gt;35,FE65+FD66-FM65,IF(A66&lt;'Données projet'!$A$218,$FB$205^A66,IF(A66='Données projet'!$A$218,'Données projet'!$B$218,FE65+FD66-FM65)))</f>
        <v>220.80000000000004</v>
      </c>
      <c r="FF66" s="18">
        <f>FE66*VLOOKUP('Données projet'!$B$16,Paramètres!$A$1:$I$89,3,0)*VLOOKUP('Données projet'!$B$16,Paramètres!$A$1:$I$89,5,0)</f>
        <v>192.89088000000007</v>
      </c>
      <c r="FG66" s="14">
        <f t="shared" si="47"/>
        <v>48.178522586846704</v>
      </c>
      <c r="FH66" s="22">
        <f t="shared" si="22"/>
        <v>419.86254283875809</v>
      </c>
      <c r="FI66" s="62">
        <f t="shared" si="23"/>
        <v>713.1958761720914</v>
      </c>
      <c r="FJ66" s="62">
        <f ca="1">AVERAGE(OFFSET($FI$3,0,0,'Données projet'!$E$16+1,1))-AVERAGE(OFFSET($H$3,0,0,'Données projet'!$E$16+1,1))</f>
        <v>369.34989412920129</v>
      </c>
      <c r="FK66" s="62">
        <f t="shared" si="48"/>
        <v>371.26234252426553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0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>
        <f>FZ66*VLOOKUP('Données projet'!$B$17,Paramètres!$A$1:$I$89,3,0)*VLOOKUP('Données projet'!$B$17,Paramètres!$A$1:$I$89,5,0)</f>
        <v>0</v>
      </c>
      <c r="GB66" s="14" t="e">
        <f t="shared" si="49"/>
        <v>#NUM!</v>
      </c>
      <c r="GC66" s="22" t="e">
        <f t="shared" si="25"/>
        <v>#NUM!</v>
      </c>
      <c r="GD66" s="62" t="e">
        <f t="shared" si="26"/>
        <v>#NUM!</v>
      </c>
      <c r="GE66" s="62">
        <f ca="1">AVERAGE(OFFSET($GD$3,0,0,'Données projet'!$E$17+1,1))-AVERAGE(OFFSET($H$3,0,0,'Données projet'!$E$17+1,1))</f>
        <v>324.4489531703187</v>
      </c>
      <c r="GF66" s="62">
        <f t="shared" si="50"/>
        <v>446.55019360848706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projet'!$B$17,Paramètres!$A$1:$I$89,3,0)*0.475*44/12</f>
        <v>0</v>
      </c>
      <c r="GM66" s="23">
        <f>EXP(-LN(2)/25)*GM65+(1-EXP(-LN(2)/25))/(LN(2)/25)*Calculateur!GH66*Calculateur!GJ66*VLOOKUP('Données projet'!$B$17,Paramètres!$A$1:$I$89,3,0)*0.475*44/12</f>
        <v>0</v>
      </c>
      <c r="GN66" s="23">
        <f>EXP(-LN(2)/2)*GN65+(1-EXP(-LN(2)/2))/(LN(2)/2)*GH66*GK66*VLOOKUP('Données projet'!$B$17,Paramètres!$A$1:$I$89,3,0)*0.475*44/12</f>
        <v>0</v>
      </c>
      <c r="GO66" s="23">
        <f t="shared" si="27"/>
        <v>0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5.1282051282051331</v>
      </c>
      <c r="GU66" s="13">
        <f>IF('Données projet'!$A$270&gt;35,GU65+GT66-HC65,IF(A66&lt;'Données projet'!$A$270,$GR$205^A66,IF(A66='Données projet'!$A$270,'Données projet'!$B$270,GU65+GT66-HC65)))</f>
        <v>230.12820512820517</v>
      </c>
      <c r="GV66" s="18">
        <f>GU66*VLOOKUP('Données projet'!$B$18,Paramètres!$A$1:$I$89,3,0)*VLOOKUP('Données projet'!$B$18,Paramètres!$A$1:$I$89,5,0)</f>
        <v>154.37000000000003</v>
      </c>
      <c r="GW66" s="14">
        <f t="shared" si="51"/>
        <v>39.570017923578433</v>
      </c>
      <c r="GX66" s="22">
        <f t="shared" si="28"/>
        <v>337.77886455023247</v>
      </c>
      <c r="GY66" s="62">
        <f t="shared" si="29"/>
        <v>631.11219788356584</v>
      </c>
      <c r="GZ66" s="62">
        <f ca="1">AVERAGE(OFFSET($GY$3,0,0,'Données projet'!$E$18+1,1))-AVERAGE(OFFSET($H$3,0,0,'Données projet'!$E$18+1,1))</f>
        <v>312.06797204903796</v>
      </c>
      <c r="HA66" s="62">
        <f t="shared" si="52"/>
        <v>258.20189001775151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>
        <f>EXP(-LN(2)/35)*HG65+(1-EXP(-LN(2)/35))/(LN(2)/35)*HC66*HD66*VLOOKUP('Données projet'!$B$18,Paramètres!$A$1:$I$89,3,0)*0.475*44/12</f>
        <v>0</v>
      </c>
      <c r="HH66" s="23">
        <f>EXP(-LN(2)/25)*HH65+(1-EXP(-LN(2)/25))/(LN(2)/25)*Calculateur!HC66*Calculateur!HE66*VLOOKUP('Données projet'!$B$18,Paramètres!$A$1:$I$89,3,0)*0.475*44/12</f>
        <v>0</v>
      </c>
      <c r="HI66" s="23">
        <f>EXP(-LN(2)/2)*HI65+(1-EXP(-LN(2)/2))/(LN(2)/2)*HC66*HF66*VLOOKUP('Données projet'!$B$18,Paramètres!$A$1:$I$89,3,0)*0.475*44/12</f>
        <v>0</v>
      </c>
      <c r="HJ66" s="24">
        <f t="shared" si="30"/>
        <v>0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8.8000000000000007</v>
      </c>
      <c r="N67" s="14">
        <f>IF('Données projet'!$A$36&gt;35,N66+M67-V66,IF(A67&lt;'Données projet'!$A$36,$K$205^A67,IF(A67='Données projet'!$A$36,'Données projet'!$B$36,N66+M67-V66)))</f>
        <v>280.19999999999987</v>
      </c>
      <c r="O67" s="14">
        <f>N67*VLOOKUP('Données projet'!$B$9,Paramètres!$A$1:$I$89,3,0)*VLOOKUP('Données projet'!$B$9,Paramètres!$A$1:$I$89,5,0)</f>
        <v>253.52495999999985</v>
      </c>
      <c r="P67" s="14">
        <f t="shared" si="33"/>
        <v>61.34014179842216</v>
      </c>
      <c r="Q67" s="22">
        <f t="shared" ref="Q67:Q98" si="54">(O67+P67)*0.475*44/12</f>
        <v>548.39005229891836</v>
      </c>
      <c r="R67" s="62">
        <f t="shared" ref="R67:R130" si="55">Q67+(I67+J67)*44/12</f>
        <v>841.72338563225162</v>
      </c>
      <c r="S67" s="62">
        <f ca="1">AVERAGE(OFFSET($R$3,0,0,'Données projet'!$E$9+1,1))-AVERAGE(OFFSET($H$3,0,0,'Données projet'!$E$9+1,1))</f>
        <v>512.84819850818667</v>
      </c>
      <c r="T67" s="62">
        <f t="shared" si="34"/>
        <v>332.61387922152159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5.2399999999999975</v>
      </c>
      <c r="AI67" s="14">
        <f>IF('Données projet'!$A$62&gt;35,AI66+AH67-AQ66,IF(A67&lt;'Données projet'!$A$62,$AF$205^A67,IF(A67='Données projet'!$A$62,'Données projet'!$B$62,AI66+AH67-AQ66)))</f>
        <v>300.75999999999988</v>
      </c>
      <c r="AJ67" s="14">
        <f>AI67*VLOOKUP('Données projet'!$B$10,Paramètres!$A$1:$I$89,3,0)*VLOOKUP('Données projet'!$B$10,Paramètres!$A$1:$I$89,5,0)</f>
        <v>220.51723199999989</v>
      </c>
      <c r="AK67" s="14">
        <f t="shared" si="35"/>
        <v>54.22728817140964</v>
      </c>
      <c r="AL67" s="22">
        <f t="shared" si="4"/>
        <v>478.51337263187162</v>
      </c>
      <c r="AM67" s="62">
        <f t="shared" si="5"/>
        <v>771.84670596520493</v>
      </c>
      <c r="AN67" s="62">
        <f ca="1">AVERAGE(OFFSET($AM$3,0,0,'Données projet'!$E$10+1,1))-AVERAGE(OFFSET($H$3,0,0,'Données projet'!$E$10+1,1))</f>
        <v>344.45199703750711</v>
      </c>
      <c r="AO67" s="62">
        <f t="shared" si="36"/>
        <v>376.41441893222185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8.8000000000000007</v>
      </c>
      <c r="BD67" s="13">
        <f>IF('Données projet'!$A$88&gt;35,BD66+BC67-BL66,IF(A67&lt;'Données projet'!$A$88,$BA$205^A67,IF(A67='Données projet'!$A$88,'Données projet'!$B$88,BD66+BC67-BL66)))</f>
        <v>280.19999999999987</v>
      </c>
      <c r="BE67" s="14">
        <f>BD67*VLOOKUP('Données projet'!$B$11,Paramètres!$A$1:$I$89,3,0)*VLOOKUP('Données projet'!$B$11,Paramètres!$A$1:$I$89,5,0)</f>
        <v>284.12279999999993</v>
      </c>
      <c r="BF67" s="14">
        <f t="shared" si="37"/>
        <v>67.837532462585557</v>
      </c>
      <c r="BG67" s="22">
        <f t="shared" si="7"/>
        <v>612.99757903900297</v>
      </c>
      <c r="BH67" s="62">
        <f t="shared" si="8"/>
        <v>906.33091237233634</v>
      </c>
      <c r="BI67" s="62">
        <f ca="1">AVERAGE(OFFSET($BH$3,0,0,'Données projet'!$E$11+1,1))-AVERAGE(OFFSET($H$3,0,0,'Données projet'!$E$11+1,1))</f>
        <v>569.39473185784823</v>
      </c>
      <c r="BJ67" s="62">
        <f t="shared" si="38"/>
        <v>367.42881145517066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10.4</v>
      </c>
      <c r="BY67" s="13">
        <f>IF('Données projet'!$A$114&gt;35,BY66+BX67-CG66,IF(A67&lt;'Données projet'!$A$114,$BV$205^A67,IF(A67='Données projet'!$A$114,'Données projet'!$B$114,BY66+BX67-CG66)))</f>
        <v>283.59999999999997</v>
      </c>
      <c r="BZ67" s="14">
        <f>BY67*VLOOKUP('Données projet'!$B$12,Paramètres!$A$1:$I$89,3,0)*VLOOKUP('Données projet'!$B$12,Paramètres!$A$1:$I$89,5,0)</f>
        <v>243.3288</v>
      </c>
      <c r="CA67" s="14">
        <f t="shared" si="39"/>
        <v>59.155162833418565</v>
      </c>
      <c r="CB67" s="22">
        <f t="shared" si="10"/>
        <v>526.82623526820396</v>
      </c>
      <c r="CC67" s="62">
        <f t="shared" si="11"/>
        <v>820.15956860153733</v>
      </c>
      <c r="CD67" s="62">
        <f ca="1">AVERAGE(OFFSET($CC$3,0,0,'Données projet'!$E$12+1,1))-AVERAGE(OFFSET($H$3,0,0,'Données projet'!$E$12+1,1))</f>
        <v>554.06253050955502</v>
      </c>
      <c r="CE67" s="62">
        <f t="shared" si="40"/>
        <v>269.71949336355789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8.6666666666666661</v>
      </c>
      <c r="CT67" s="13">
        <f>IF('Données projet'!$A$140&gt;35,CT66+CS67-DB66,IF(A67&lt;'Données projet'!$A$140,$CQ$205^A67,IF(A67='Données projet'!$A$140,'Données projet'!$B$140,CT66+CS67-DB66)))</f>
        <v>284.66666666666669</v>
      </c>
      <c r="CU67" s="18">
        <f>CT67*VLOOKUP('Données projet'!$B$13,Paramètres!$A$1:$I$89,3,0)*VLOOKUP('Données projet'!$B$13,Paramètres!$A$1:$I$89,5,0)</f>
        <v>222.04000000000002</v>
      </c>
      <c r="CV67" s="14">
        <f t="shared" si="41"/>
        <v>54.558031180803596</v>
      </c>
      <c r="CW67" s="22">
        <f t="shared" si="13"/>
        <v>481.74157097323291</v>
      </c>
      <c r="CX67" s="62">
        <f t="shared" si="14"/>
        <v>775.07490430656617</v>
      </c>
      <c r="CY67" s="62">
        <f ca="1">AVERAGE(OFFSET($CX$3,0,0,'Données projet'!$E$13+1,1))-AVERAGE(OFFSET($H$3,0,0,'Données projet'!$E$13+1,1))</f>
        <v>292.21364130214391</v>
      </c>
      <c r="CZ67" s="62">
        <f t="shared" si="42"/>
        <v>283.48738729114024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5.2564102564102537</v>
      </c>
      <c r="DO67" s="13">
        <f>IF('Données projet'!$A$166&gt;35,DO66+DN67-DW66,IF(A67&lt;'Données projet'!$A$166,$DL$205^A67,IF(A67='Données projet'!$A$166,'Données projet'!$B$166,DO66+DN67-DW66)))</f>
        <v>223.58974358974365</v>
      </c>
      <c r="DP67" s="18">
        <f>DO67*VLOOKUP('Données projet'!$B$14,Paramètres!$A$1:$I$89,3,0)*VLOOKUP('Données projet'!$B$14,Paramètres!$A$1:$I$89,5,0)</f>
        <v>212.76800000000006</v>
      </c>
      <c r="DQ67" s="14">
        <f t="shared" si="43"/>
        <v>52.540001579827276</v>
      </c>
      <c r="DR67" s="22">
        <f t="shared" si="16"/>
        <v>462.07810275153253</v>
      </c>
      <c r="DS67" s="62">
        <f t="shared" si="17"/>
        <v>755.41143608486584</v>
      </c>
      <c r="DT67" s="62">
        <f ca="1">AVERAGE(OFFSET($DS$3,0,0,'Données projet'!$E$14+1,1))-AVERAGE(OFFSET($H$3,0,0,'Données projet'!$E$14+1,1))</f>
        <v>427.47603885390191</v>
      </c>
      <c r="DU67" s="62">
        <f t="shared" si="44"/>
        <v>350.88664394632116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7.2</v>
      </c>
      <c r="EJ67" s="13">
        <f>IF('Données projet'!$A$192&gt;35,EJ66+EI67-ER66,IF(A67&lt;'Données projet'!$A$192,$EG$205^A67,IF(A67='Données projet'!$A$192,'Données projet'!$B$192,EJ66+EI67-ER66)))</f>
        <v>221.79999999999993</v>
      </c>
      <c r="EK67" s="18">
        <f>EJ67*VLOOKUP('Données projet'!$B$15,Paramètres!$A$1:$I$89,3,0)*VLOOKUP('Données projet'!$B$15,Paramètres!$A$1:$I$89,5,0)</f>
        <v>214.52495999999994</v>
      </c>
      <c r="EL67" s="14">
        <f t="shared" si="45"/>
        <v>52.923173099085716</v>
      </c>
      <c r="EM67" s="22">
        <f t="shared" si="19"/>
        <v>465.80549848090754</v>
      </c>
      <c r="EN67" s="62">
        <f t="shared" si="20"/>
        <v>759.1388318142408</v>
      </c>
      <c r="EO67" s="62">
        <f ca="1">AVERAGE(OFFSET($EN$3,0,0,'Données projet'!$E$15+1,1))-AVERAGE(OFFSET($H$3,0,0,'Données projet'!$E$15+1,1))</f>
        <v>455.50822833641354</v>
      </c>
      <c r="EP67" s="62">
        <f t="shared" si="46"/>
        <v>261.14722581688039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5.6</v>
      </c>
      <c r="FE67" s="13">
        <f>IF('Données projet'!$A$218&gt;35,FE66+FD67-FM66,IF(A67&lt;'Données projet'!$A$218,$FB$205^A67,IF(A67='Données projet'!$A$218,'Données projet'!$B$218,FE66+FD67-FM66)))</f>
        <v>226.40000000000003</v>
      </c>
      <c r="FF67" s="18">
        <f>FE67*VLOOKUP('Données projet'!$B$16,Paramètres!$A$1:$I$89,3,0)*VLOOKUP('Données projet'!$B$16,Paramètres!$A$1:$I$89,5,0)</f>
        <v>197.78304000000006</v>
      </c>
      <c r="FG67" s="14">
        <f t="shared" si="47"/>
        <v>49.25663139053286</v>
      </c>
      <c r="FH67" s="22">
        <f t="shared" si="22"/>
        <v>430.26076100517821</v>
      </c>
      <c r="FI67" s="62">
        <f t="shared" si="23"/>
        <v>723.59409433851147</v>
      </c>
      <c r="FJ67" s="62">
        <f ca="1">AVERAGE(OFFSET($FI$3,0,0,'Données projet'!$E$16+1,1))-AVERAGE(OFFSET($H$3,0,0,'Données projet'!$E$16+1,1))</f>
        <v>369.34989412920129</v>
      </c>
      <c r="FK67" s="62">
        <f t="shared" si="48"/>
        <v>371.26234252426553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0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>
        <f>FZ67*VLOOKUP('Données projet'!$B$17,Paramètres!$A$1:$I$89,3,0)*VLOOKUP('Données projet'!$B$17,Paramètres!$A$1:$I$89,5,0)</f>
        <v>0</v>
      </c>
      <c r="GB67" s="14" t="e">
        <f t="shared" si="49"/>
        <v>#NUM!</v>
      </c>
      <c r="GC67" s="22" t="e">
        <f t="shared" si="25"/>
        <v>#NUM!</v>
      </c>
      <c r="GD67" s="62" t="e">
        <f t="shared" si="26"/>
        <v>#NUM!</v>
      </c>
      <c r="GE67" s="62">
        <f ca="1">AVERAGE(OFFSET($GD$3,0,0,'Données projet'!$E$17+1,1))-AVERAGE(OFFSET($H$3,0,0,'Données projet'!$E$17+1,1))</f>
        <v>324.4489531703187</v>
      </c>
      <c r="GF67" s="62">
        <f t="shared" si="50"/>
        <v>446.55019360848706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projet'!$B$17,Paramètres!$A$1:$I$89,3,0)*0.475*44/12</f>
        <v>0</v>
      </c>
      <c r="GM67" s="23">
        <f>EXP(-LN(2)/25)*GM66+(1-EXP(-LN(2)/25))/(LN(2)/25)*Calculateur!GH67*Calculateur!GJ67*VLOOKUP('Données projet'!$B$17,Paramètres!$A$1:$I$89,3,0)*0.475*44/12</f>
        <v>0</v>
      </c>
      <c r="GN67" s="23">
        <f>EXP(-LN(2)/2)*GN66+(1-EXP(-LN(2)/2))/(LN(2)/2)*GH67*GK67*VLOOKUP('Données projet'!$B$17,Paramètres!$A$1:$I$89,3,0)*0.475*44/12</f>
        <v>0</v>
      </c>
      <c r="GO67" s="23">
        <f t="shared" si="27"/>
        <v>0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5.1282051282051331</v>
      </c>
      <c r="GU67" s="13">
        <f>IF('Données projet'!$A$270&gt;35,GU66+GT67-HC66,IF(A67&lt;'Données projet'!$A$270,$GR$205^A67,IF(A67='Données projet'!$A$270,'Données projet'!$B$270,GU66+GT67-HC66)))</f>
        <v>235.25641025641031</v>
      </c>
      <c r="GV67" s="18">
        <f>GU67*VLOOKUP('Données projet'!$B$18,Paramètres!$A$1:$I$89,3,0)*VLOOKUP('Données projet'!$B$18,Paramètres!$A$1:$I$89,5,0)</f>
        <v>157.81000000000003</v>
      </c>
      <c r="GW67" s="14">
        <f t="shared" si="51"/>
        <v>40.348159279539125</v>
      </c>
      <c r="GX67" s="22">
        <f t="shared" si="28"/>
        <v>345.12546074519736</v>
      </c>
      <c r="GY67" s="62">
        <f t="shared" si="29"/>
        <v>638.45879407853067</v>
      </c>
      <c r="GZ67" s="62">
        <f ca="1">AVERAGE(OFFSET($GY$3,0,0,'Données projet'!$E$18+1,1))-AVERAGE(OFFSET($H$3,0,0,'Données projet'!$E$18+1,1))</f>
        <v>312.06797204903796</v>
      </c>
      <c r="HA67" s="62">
        <f t="shared" si="52"/>
        <v>258.20189001775151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>
        <f>EXP(-LN(2)/35)*HG66+(1-EXP(-LN(2)/35))/(LN(2)/35)*HC67*HD67*VLOOKUP('Données projet'!$B$18,Paramètres!$A$1:$I$89,3,0)*0.475*44/12</f>
        <v>0</v>
      </c>
      <c r="HH67" s="23">
        <f>EXP(-LN(2)/25)*HH66+(1-EXP(-LN(2)/25))/(LN(2)/25)*Calculateur!HC67*Calculateur!HE67*VLOOKUP('Données projet'!$B$18,Paramètres!$A$1:$I$89,3,0)*0.475*44/12</f>
        <v>0</v>
      </c>
      <c r="HI67" s="23">
        <f>EXP(-LN(2)/2)*HI66+(1-EXP(-LN(2)/2))/(LN(2)/2)*HC67*HF67*VLOOKUP('Données projet'!$B$18,Paramètres!$A$1:$I$89,3,0)*0.475*44/12</f>
        <v>0</v>
      </c>
      <c r="HJ67" s="24">
        <f t="shared" si="30"/>
        <v>0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289</v>
      </c>
      <c r="L68" s="13">
        <f>VLOOKUP(A68,'Données projet'!$A$35:$I$55,9,0)</f>
        <v>8.8000000000000007</v>
      </c>
      <c r="M68" s="13">
        <f t="array" ref="M68">INDEX(L:L,MIN(IF(ISNUMBER(L68:L264),ROW(L68:L264),"")))</f>
        <v>8.8000000000000007</v>
      </c>
      <c r="N68" s="14">
        <f>IF('Données projet'!$A$36&gt;35,N67+M68-V67,IF(A68&lt;'Données projet'!$A$36,$K$205^A68,IF(A68='Données projet'!$A$36,'Données projet'!$B$36,N67+M68-V67)))</f>
        <v>288.99999999999989</v>
      </c>
      <c r="O68" s="14">
        <f>N68*VLOOKUP('Données projet'!$B$9,Paramètres!$A$1:$I$89,3,0)*VLOOKUP('Données projet'!$B$9,Paramètres!$A$1:$I$89,5,0)</f>
        <v>261.48719999999986</v>
      </c>
      <c r="P68" s="14">
        <f t="shared" si="33"/>
        <v>63.039283586802334</v>
      </c>
      <c r="Q68" s="22">
        <f t="shared" si="54"/>
        <v>565.21695891368051</v>
      </c>
      <c r="R68" s="62">
        <f t="shared" si="55"/>
        <v>858.55029224701389</v>
      </c>
      <c r="S68" s="62">
        <f ca="1">AVERAGE(OFFSET($R$3,0,0,'Données projet'!$E$9+1,1))-AVERAGE(OFFSET($H$3,0,0,'Données projet'!$E$9+1,1))</f>
        <v>512.84819850818667</v>
      </c>
      <c r="T68" s="62">
        <f t="shared" si="34"/>
        <v>332.61387922152159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306</v>
      </c>
      <c r="AG68" s="13">
        <f>VLOOKUP(A68,'Données projet'!$A$61:$I$81,9,0)</f>
        <v>5.2399999999999975</v>
      </c>
      <c r="AH68" s="13">
        <f t="array" ref="AH68">INDEX(AG:AG,MIN(IF(ISNUMBER(AG68:AG264),ROW(AG68:AG264),"")))</f>
        <v>5.2399999999999975</v>
      </c>
      <c r="AI68" s="14">
        <f>IF('Données projet'!$A$62&gt;35,AI67+AH68-AQ67,IF(A68&lt;'Données projet'!$A$62,$AF$205^A68,IF(A68='Données projet'!$A$62,'Données projet'!$B$62,AI67+AH68-AQ67)))</f>
        <v>305.99999999999989</v>
      </c>
      <c r="AJ68" s="14">
        <f>AI68*VLOOKUP('Données projet'!$B$10,Paramètres!$A$1:$I$89,3,0)*VLOOKUP('Données projet'!$B$10,Paramètres!$A$1:$I$89,5,0)</f>
        <v>224.3591999999999</v>
      </c>
      <c r="AK68" s="14">
        <f t="shared" si="35"/>
        <v>55.061251669487255</v>
      </c>
      <c r="AL68" s="22">
        <f t="shared" ref="AL68:AL131" si="58">(AJ68+AK68)*0.475*44/12</f>
        <v>486.65728665769001</v>
      </c>
      <c r="AM68" s="62">
        <f t="shared" ref="AM68:AM131" si="59">AL68+(AD68+AE68)*44/12</f>
        <v>779.99061999102332</v>
      </c>
      <c r="AN68" s="62">
        <f ca="1">AVERAGE(OFFSET($AM$3,0,0,'Données projet'!$E$10+1,1))-AVERAGE(OFFSET($H$3,0,0,'Données projet'!$E$10+1,1))</f>
        <v>344.45199703750711</v>
      </c>
      <c r="AO68" s="62">
        <f t="shared" si="36"/>
        <v>376.41441893222185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289</v>
      </c>
      <c r="BB68" s="13">
        <f>VLOOKUP(A68,'Données projet'!$A$87:$I$107,9,0)</f>
        <v>8.8000000000000007</v>
      </c>
      <c r="BC68" s="13">
        <f t="array" ref="BC68">INDEX(BB:BB,MIN(IF(ISNUMBER(BB68:BB264),ROW(BB68:BB264),"")))</f>
        <v>8.8000000000000007</v>
      </c>
      <c r="BD68" s="13">
        <f>IF('Données projet'!$A$88&gt;35,BD67+BC68-BL67,IF(A68&lt;'Données projet'!$A$88,$BA$205^A68,IF(A68='Données projet'!$A$88,'Données projet'!$B$88,BD67+BC68-BL67)))</f>
        <v>288.99999999999989</v>
      </c>
      <c r="BE68" s="14">
        <f>BD68*VLOOKUP('Données projet'!$B$11,Paramètres!$A$1:$I$89,3,0)*VLOOKUP('Données projet'!$B$11,Paramètres!$A$1:$I$89,5,0)</f>
        <v>293.04599999999994</v>
      </c>
      <c r="BF68" s="14">
        <f t="shared" si="37"/>
        <v>69.716654076072615</v>
      </c>
      <c r="BG68" s="22">
        <f t="shared" ref="BG68:BG131" si="61">(BE68+BF68)*0.475*44/12</f>
        <v>631.81162251582634</v>
      </c>
      <c r="BH68" s="62">
        <f t="shared" ref="BH68:BH131" si="62">BG68+(AY68+AZ68)*44/12</f>
        <v>925.14495584915971</v>
      </c>
      <c r="BI68" s="62">
        <f ca="1">AVERAGE(OFFSET($BH$3,0,0,'Données projet'!$E$11+1,1))-AVERAGE(OFFSET($H$3,0,0,'Données projet'!$E$11+1,1))</f>
        <v>569.39473185784823</v>
      </c>
      <c r="BJ68" s="62">
        <f t="shared" si="38"/>
        <v>367.42881145517066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294</v>
      </c>
      <c r="BW68" s="13">
        <f>VLOOKUP(A68,'Données projet'!$A$113:$I$133,9,0)</f>
        <v>10.4</v>
      </c>
      <c r="BX68" s="13">
        <f t="array" ref="BX68">INDEX(BW:BW,MIN(IF(ISNUMBER(BW68:BW264),ROW(BW68:BW264),"")))</f>
        <v>10.4</v>
      </c>
      <c r="BY68" s="13">
        <f>IF('Données projet'!$A$114&gt;35,BY67+BX68-CG67,IF(A68&lt;'Données projet'!$A$114,$BV$205^A68,IF(A68='Données projet'!$A$114,'Données projet'!$B$114,BY67+BX68-CG67)))</f>
        <v>293.99999999999994</v>
      </c>
      <c r="BZ68" s="14">
        <f>BY68*VLOOKUP('Données projet'!$B$12,Paramètres!$A$1:$I$89,3,0)*VLOOKUP('Données projet'!$B$12,Paramètres!$A$1:$I$89,5,0)</f>
        <v>252.25199999999998</v>
      </c>
      <c r="CA68" s="14">
        <f t="shared" si="39"/>
        <v>61.067920784150822</v>
      </c>
      <c r="CB68" s="22">
        <f t="shared" ref="CB68:CB131" si="64">(BZ68+CA68)*0.475*44/12</f>
        <v>545.69886203239594</v>
      </c>
      <c r="CC68" s="62">
        <f t="shared" ref="CC68:CC131" si="65">CB68+(BT68+BU68)*44/12</f>
        <v>839.03219536572919</v>
      </c>
      <c r="CD68" s="62">
        <f ca="1">AVERAGE(OFFSET($CC$3,0,0,'Données projet'!$E$12+1,1))-AVERAGE(OFFSET($H$3,0,0,'Données projet'!$E$12+1,1))</f>
        <v>554.06253050955502</v>
      </c>
      <c r="CE68" s="62">
        <f t="shared" si="40"/>
        <v>269.71949336355789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8.6666666666666661</v>
      </c>
      <c r="CT68" s="13">
        <f>IF('Données projet'!$A$140&gt;35,CT67+CS68-DB67,IF(A68&lt;'Données projet'!$A$140,$CQ$205^A68,IF(A68='Données projet'!$A$140,'Données projet'!$B$140,CT67+CS68-DB67)))</f>
        <v>293.33333333333337</v>
      </c>
      <c r="CU68" s="18">
        <f>CT68*VLOOKUP('Données projet'!$B$13,Paramètres!$A$1:$I$89,3,0)*VLOOKUP('Données projet'!$B$13,Paramètres!$A$1:$I$89,5,0)</f>
        <v>228.80000000000004</v>
      </c>
      <c r="CV68" s="14">
        <f t="shared" si="41"/>
        <v>56.023134533701196</v>
      </c>
      <c r="CW68" s="22">
        <f t="shared" ref="CW68:CW131" si="67">(CU68+CV68)*0.475*44/12</f>
        <v>496.06695931286299</v>
      </c>
      <c r="CX68" s="62">
        <f t="shared" ref="CX68:CX131" si="68">CW68+(CO68+CP68)*44/12</f>
        <v>789.40029264619625</v>
      </c>
      <c r="CY68" s="62">
        <f ca="1">AVERAGE(OFFSET($CX$3,0,0,'Données projet'!$E$13+1,1))-AVERAGE(OFFSET($H$3,0,0,'Données projet'!$E$13+1,1))</f>
        <v>292.21364130214391</v>
      </c>
      <c r="CZ68" s="62">
        <f t="shared" si="42"/>
        <v>283.48738729114024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228.84615384615384</v>
      </c>
      <c r="DM68" s="13">
        <f>VLOOKUP(A68,'Données projet'!$A$165:$I$185,9,0)</f>
        <v>5.2564102564102537</v>
      </c>
      <c r="DN68" s="13">
        <f t="array" ref="DN68">INDEX(DM:DM,MIN(IF(ISNUMBER(DM68:DM264),ROW(DM68:DM264),"")))</f>
        <v>5.2564102564102537</v>
      </c>
      <c r="DO68" s="13">
        <f>IF('Données projet'!$A$166&gt;35,DO67+DN68-DW67,IF(A68&lt;'Données projet'!$A$166,$DL$205^A68,IF(A68='Données projet'!$A$166,'Données projet'!$B$166,DO67+DN68-DW67)))</f>
        <v>228.8461538461539</v>
      </c>
      <c r="DP68" s="18">
        <f>DO68*VLOOKUP('Données projet'!$B$14,Paramètres!$A$1:$I$89,3,0)*VLOOKUP('Données projet'!$B$14,Paramètres!$A$1:$I$89,5,0)</f>
        <v>217.77000000000004</v>
      </c>
      <c r="DQ68" s="14">
        <f t="shared" si="43"/>
        <v>53.629919224169953</v>
      </c>
      <c r="DR68" s="22">
        <f t="shared" ref="DR68:DR131" si="70">(DP68+DQ68)*0.475*44/12</f>
        <v>472.68819264876271</v>
      </c>
      <c r="DS68" s="62">
        <f t="shared" ref="DS68:DS131" si="71">DR68+(DJ68+DK68)*44/12</f>
        <v>766.02152598209602</v>
      </c>
      <c r="DT68" s="62">
        <f ca="1">AVERAGE(OFFSET($DS$3,0,0,'Données projet'!$E$14+1,1))-AVERAGE(OFFSET($H$3,0,0,'Données projet'!$E$14+1,1))</f>
        <v>427.47603885390191</v>
      </c>
      <c r="DU68" s="62">
        <f t="shared" si="44"/>
        <v>350.88664394632116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229</v>
      </c>
      <c r="EH68" s="13">
        <f>VLOOKUP(A68,'Données projet'!$A$191:$I$211,9,0)</f>
        <v>7.2</v>
      </c>
      <c r="EI68" s="13">
        <f t="array" ref="EI68">INDEX(EH:EH,MIN(IF(ISNUMBER(EH68:EH264),ROW(EH68:EH264),"")))</f>
        <v>7.2</v>
      </c>
      <c r="EJ68" s="13">
        <f>IF('Données projet'!$A$192&gt;35,EJ67+EI68-ER67,IF(A68&lt;'Données projet'!$A$192,$EG$205^A68,IF(A68='Données projet'!$A$192,'Données projet'!$B$192,EJ67+EI68-ER67)))</f>
        <v>228.99999999999991</v>
      </c>
      <c r="EK68" s="18">
        <f>EJ68*VLOOKUP('Données projet'!$B$15,Paramètres!$A$1:$I$89,3,0)*VLOOKUP('Données projet'!$B$15,Paramètres!$A$1:$I$89,5,0)</f>
        <v>221.48879999999991</v>
      </c>
      <c r="EL68" s="14">
        <f t="shared" si="45"/>
        <v>54.43834191952984</v>
      </c>
      <c r="EM68" s="22">
        <f t="shared" ref="EM68:EM131" si="73">(EK68+EL68)*0.475*44/12</f>
        <v>480.57310550984766</v>
      </c>
      <c r="EN68" s="62">
        <f t="shared" ref="EN68:EN131" si="74">EM68+(EE68+EF68)*44/12</f>
        <v>773.90643884318092</v>
      </c>
      <c r="EO68" s="62">
        <f ca="1">AVERAGE(OFFSET($EN$3,0,0,'Données projet'!$E$15+1,1))-AVERAGE(OFFSET($H$3,0,0,'Données projet'!$E$15+1,1))</f>
        <v>455.50822833641354</v>
      </c>
      <c r="EP68" s="62">
        <f t="shared" si="46"/>
        <v>261.14722581688039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>
        <f>VLOOKUP(A68,'Données projet'!$A$217:$I$237,2,0)</f>
        <v>232</v>
      </c>
      <c r="FC68" s="13">
        <f>VLOOKUP(A68,'Données projet'!$A$217:$I$237,9,0)</f>
        <v>5.6</v>
      </c>
      <c r="FD68" s="13">
        <f t="array" ref="FD68">INDEX(FC:FC,MIN(IF(ISNUMBER(FC68:FC264),ROW(FC68:FC264),"")))</f>
        <v>5.6</v>
      </c>
      <c r="FE68" s="13">
        <f>IF('Données projet'!$A$218&gt;35,FE67+FD68-FM67,IF(A68&lt;'Données projet'!$A$218,$FB$205^A68,IF(A68='Données projet'!$A$218,'Données projet'!$B$218,FE67+FD68-FM67)))</f>
        <v>232.00000000000003</v>
      </c>
      <c r="FF68" s="18">
        <f>FE68*VLOOKUP('Données projet'!$B$16,Paramètres!$A$1:$I$89,3,0)*VLOOKUP('Données projet'!$B$16,Paramètres!$A$1:$I$89,5,0)</f>
        <v>202.67520000000002</v>
      </c>
      <c r="FG68" s="14">
        <f t="shared" si="47"/>
        <v>50.331640285313689</v>
      </c>
      <c r="FH68" s="22">
        <f t="shared" ref="FH68:FH131" si="76">(FF68+FG68)*0.475*44/12</f>
        <v>440.653580163588</v>
      </c>
      <c r="FI68" s="62">
        <f t="shared" ref="FI68:FI131" si="77">FH68+(EZ68+FA68)*44/12</f>
        <v>733.98691349692126</v>
      </c>
      <c r="FJ68" s="62">
        <f ca="1">AVERAGE(OFFSET($FI$3,0,0,'Données projet'!$E$16+1,1))-AVERAGE(OFFSET($H$3,0,0,'Données projet'!$E$16+1,1))</f>
        <v>369.34989412920129</v>
      </c>
      <c r="FK68" s="62">
        <f t="shared" si="48"/>
        <v>371.26234252426553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0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>
        <f>FZ68*VLOOKUP('Données projet'!$B$17,Paramètres!$A$1:$I$89,3,0)*VLOOKUP('Données projet'!$B$17,Paramètres!$A$1:$I$89,5,0)</f>
        <v>0</v>
      </c>
      <c r="GB68" s="14" t="e">
        <f t="shared" si="49"/>
        <v>#NUM!</v>
      </c>
      <c r="GC68" s="22" t="e">
        <f t="shared" ref="GC68:GC131" si="79">(GA68+GB68)*0.475*44/12</f>
        <v>#NUM!</v>
      </c>
      <c r="GD68" s="62" t="e">
        <f t="shared" ref="GD68:GD131" si="80">GC68+(FU68+FV68)*44/12</f>
        <v>#NUM!</v>
      </c>
      <c r="GE68" s="62">
        <f ca="1">AVERAGE(OFFSET($GD$3,0,0,'Données projet'!$E$17+1,1))-AVERAGE(OFFSET($H$3,0,0,'Données projet'!$E$17+1,1))</f>
        <v>324.4489531703187</v>
      </c>
      <c r="GF68" s="62">
        <f t="shared" si="50"/>
        <v>446.55019360848706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projet'!$B$17,Paramètres!$A$1:$I$89,3,0)*0.475*44/12</f>
        <v>0</v>
      </c>
      <c r="GM68" s="23">
        <f>EXP(-LN(2)/25)*GM67+(1-EXP(-LN(2)/25))/(LN(2)/25)*Calculateur!GH68*Calculateur!GJ68*VLOOKUP('Données projet'!$B$17,Paramètres!$A$1:$I$89,3,0)*0.475*44/12</f>
        <v>0</v>
      </c>
      <c r="GN68" s="23">
        <f>EXP(-LN(2)/2)*GN67+(1-EXP(-LN(2)/2))/(LN(2)/2)*GH68*GK68*VLOOKUP('Données projet'!$B$17,Paramètres!$A$1:$I$89,3,0)*0.475*44/12</f>
        <v>0</v>
      </c>
      <c r="GO68" s="23">
        <f t="shared" ref="GO68:GO131" si="81">SUM(GL68:GN68)</f>
        <v>0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>
        <f>VLOOKUP(A68,'Données projet'!$A$269:$I$289,2,0)</f>
        <v>240.38461538461539</v>
      </c>
      <c r="GS68" s="13">
        <f>VLOOKUP(A68,'Données projet'!$A$269:$I$289,9,0)</f>
        <v>5.1282051282051331</v>
      </c>
      <c r="GT68" s="13">
        <f t="array" ref="GT68">INDEX(GS:GS,MIN(IF(ISNUMBER(GS68:GS264),ROW(GS68:GS264),"")))</f>
        <v>5.1282051282051331</v>
      </c>
      <c r="GU68" s="13">
        <f>IF('Données projet'!$A$270&gt;35,GU67+GT68-HC67,IF(A68&lt;'Données projet'!$A$270,$GR$205^A68,IF(A68='Données projet'!$A$270,'Données projet'!$B$270,GU67+GT68-HC67)))</f>
        <v>240.38461538461544</v>
      </c>
      <c r="GV68" s="18">
        <f>GU68*VLOOKUP('Données projet'!$B$18,Paramètres!$A$1:$I$89,3,0)*VLOOKUP('Données projet'!$B$18,Paramètres!$A$1:$I$89,5,0)</f>
        <v>161.25000000000006</v>
      </c>
      <c r="GW68" s="14">
        <f t="shared" si="51"/>
        <v>41.124328571986439</v>
      </c>
      <c r="GX68" s="22">
        <f t="shared" ref="GX68:GX131" si="82">(GV68+GW68)*0.475*44/12</f>
        <v>352.46862226287652</v>
      </c>
      <c r="GY68" s="62">
        <f t="shared" ref="GY68:GY131" si="83">GX68+(GP68+GQ68)*44/12</f>
        <v>645.80195559620984</v>
      </c>
      <c r="GZ68" s="62">
        <f ca="1">AVERAGE(OFFSET($GY$3,0,0,'Données projet'!$E$18+1,1))-AVERAGE(OFFSET($H$3,0,0,'Données projet'!$E$18+1,1))</f>
        <v>312.06797204903796</v>
      </c>
      <c r="HA68" s="62">
        <f t="shared" si="52"/>
        <v>258.20189001775151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>
        <f>EXP(-LN(2)/35)*HG67+(1-EXP(-LN(2)/35))/(LN(2)/35)*HC68*HD68*VLOOKUP('Données projet'!$B$18,Paramètres!$A$1:$I$89,3,0)*0.475*44/12</f>
        <v>0</v>
      </c>
      <c r="HH68" s="23">
        <f>EXP(-LN(2)/25)*HH67+(1-EXP(-LN(2)/25))/(LN(2)/25)*Calculateur!HC68*Calculateur!HE68*VLOOKUP('Données projet'!$B$18,Paramètres!$A$1:$I$89,3,0)*0.475*44/12</f>
        <v>0</v>
      </c>
      <c r="HI68" s="23">
        <f>EXP(-LN(2)/2)*HI67+(1-EXP(-LN(2)/2))/(LN(2)/2)*HC68*HF68*VLOOKUP('Données projet'!$B$18,Paramètres!$A$1:$I$89,3,0)*0.475*44/12</f>
        <v>0</v>
      </c>
      <c r="HJ68" s="24">
        <f t="shared" ref="HJ68:HJ131" si="84">SUM(HG68:HI68)</f>
        <v>0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8.1999999999999993</v>
      </c>
      <c r="N69" s="14">
        <f>IF('Données projet'!$A$36&gt;35,N68+M69-V68,IF(A69&lt;'Données projet'!$A$36,$K$205^A69,IF(A69='Données projet'!$A$36,'Données projet'!$B$36,N68+M69-V68)))</f>
        <v>297.19999999999987</v>
      </c>
      <c r="O69" s="14">
        <f>N69*VLOOKUP('Données projet'!$B$9,Paramètres!$A$1:$I$89,3,0)*VLOOKUP('Données projet'!$B$9,Paramètres!$A$1:$I$89,5,0)</f>
        <v>268.9065599999999</v>
      </c>
      <c r="P69" s="14">
        <f t="shared" ref="P69:P132" si="87">EXP(-1.0587+0.8836*LN(O69)+0.284)</f>
        <v>64.617158945843769</v>
      </c>
      <c r="Q69" s="22">
        <f t="shared" si="54"/>
        <v>580.8871438306777</v>
      </c>
      <c r="R69" s="62">
        <f t="shared" si="55"/>
        <v>874.22047716401107</v>
      </c>
      <c r="S69" s="62">
        <f ca="1">AVERAGE(OFFSET($R$3,0,0,'Données projet'!$E$9+1,1))-AVERAGE(OFFSET($H$3,0,0,'Données projet'!$E$9+1,1))</f>
        <v>512.84819850818667</v>
      </c>
      <c r="T69" s="62">
        <f t="shared" ref="T69:T132" si="88">$T$3</f>
        <v>332.61387922152159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4.5</v>
      </c>
      <c r="AI69" s="14">
        <f>IF('Données projet'!$A$62&gt;35,AI68+AH69-AQ68,IF(A69&lt;'Données projet'!$A$62,$AF$205^A69,IF(A69='Données projet'!$A$62,'Données projet'!$B$62,AI68+AH69-AQ68)))</f>
        <v>310.49999999999989</v>
      </c>
      <c r="AJ69" s="14">
        <f>AI69*VLOOKUP('Données projet'!$B$10,Paramètres!$A$1:$I$89,3,0)*VLOOKUP('Données projet'!$B$10,Paramètres!$A$1:$I$89,5,0)</f>
        <v>227.65859999999992</v>
      </c>
      <c r="AK69" s="14">
        <f t="shared" ref="AK69:AK132" si="89">EXP(-1.0587+0.8836*LN(AJ69)+0.284)</f>
        <v>55.776115016621809</v>
      </c>
      <c r="AL69" s="22">
        <f t="shared" si="58"/>
        <v>493.64879532061622</v>
      </c>
      <c r="AM69" s="62">
        <f t="shared" si="59"/>
        <v>786.98212865394953</v>
      </c>
      <c r="AN69" s="62">
        <f ca="1">AVERAGE(OFFSET($AM$3,0,0,'Données projet'!$E$10+1,1))-AVERAGE(OFFSET($H$3,0,0,'Données projet'!$E$10+1,1))</f>
        <v>344.45199703750711</v>
      </c>
      <c r="AO69" s="62">
        <f t="shared" ref="AO69:AO132" si="90">$AO$3</f>
        <v>376.41441893222185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8.1999999999999993</v>
      </c>
      <c r="BD69" s="13">
        <f>IF('Données projet'!$A$88&gt;35,BD68+BC69-BL68,IF(A69&lt;'Données projet'!$A$88,$BA$205^A69,IF(A69='Données projet'!$A$88,'Données projet'!$B$88,BD68+BC69-BL68)))</f>
        <v>297.19999999999987</v>
      </c>
      <c r="BE69" s="14">
        <f>BD69*VLOOKUP('Données projet'!$B$11,Paramètres!$A$1:$I$89,3,0)*VLOOKUP('Données projet'!$B$11,Paramètres!$A$1:$I$89,5,0)</f>
        <v>301.36079999999987</v>
      </c>
      <c r="BF69" s="14">
        <f t="shared" ref="BF69:BF132" si="91">EXP(-1.0587+0.8836*LN(BE69)+0.284)</f>
        <v>71.461664239932986</v>
      </c>
      <c r="BG69" s="22">
        <f t="shared" si="61"/>
        <v>649.33245855121629</v>
      </c>
      <c r="BH69" s="62">
        <f t="shared" si="62"/>
        <v>942.66579188454966</v>
      </c>
      <c r="BI69" s="62">
        <f ca="1">AVERAGE(OFFSET($BH$3,0,0,'Données projet'!$E$11+1,1))-AVERAGE(OFFSET($H$3,0,0,'Données projet'!$E$11+1,1))</f>
        <v>569.39473185784823</v>
      </c>
      <c r="BJ69" s="62">
        <f t="shared" ref="BJ69:BJ132" si="92">$BJ$3</f>
        <v>367.42881145517066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10</v>
      </c>
      <c r="BY69" s="13">
        <f>IF('Données projet'!$A$114&gt;35,BY68+BX69-CG68,IF(A69&lt;'Données projet'!$A$114,$BV$205^A69,IF(A69='Données projet'!$A$114,'Données projet'!$B$114,BY68+BX69-CG68)))</f>
        <v>303.99999999999994</v>
      </c>
      <c r="BZ69" s="14">
        <f>BY69*VLOOKUP('Données projet'!$B$12,Paramètres!$A$1:$I$89,3,0)*VLOOKUP('Données projet'!$B$12,Paramètres!$A$1:$I$89,5,0)</f>
        <v>260.83199999999999</v>
      </c>
      <c r="CA69" s="14">
        <f t="shared" ref="CA69:CA132" si="93">EXP(-1.0587+0.8836*LN(BZ69)+0.284)</f>
        <v>62.899693744110721</v>
      </c>
      <c r="CB69" s="22">
        <f t="shared" si="64"/>
        <v>563.83269993765953</v>
      </c>
      <c r="CC69" s="62">
        <f t="shared" si="65"/>
        <v>857.16603327099278</v>
      </c>
      <c r="CD69" s="62">
        <f ca="1">AVERAGE(OFFSET($CC$3,0,0,'Données projet'!$E$12+1,1))-AVERAGE(OFFSET($H$3,0,0,'Données projet'!$E$12+1,1))</f>
        <v>554.06253050955502</v>
      </c>
      <c r="CE69" s="62">
        <f t="shared" ref="CE69:CE132" si="94">$CE$3</f>
        <v>269.71949336355789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8.6666666666666661</v>
      </c>
      <c r="CT69" s="13">
        <f>IF('Données projet'!$A$140&gt;35,CT68+CS69-DB68,IF(A69&lt;'Données projet'!$A$140,$CQ$205^A69,IF(A69='Données projet'!$A$140,'Données projet'!$B$140,CT68+CS69-DB68)))</f>
        <v>302.00000000000006</v>
      </c>
      <c r="CU69" s="18">
        <f>CT69*VLOOKUP('Données projet'!$B$13,Paramètres!$A$1:$I$89,3,0)*VLOOKUP('Données projet'!$B$13,Paramètres!$A$1:$I$89,5,0)</f>
        <v>235.56000000000006</v>
      </c>
      <c r="CV69" s="14">
        <f t="shared" ref="CV69:CV132" si="95">EXP(-1.0587+0.8836*LN(CU69)+0.284)</f>
        <v>57.483207143847771</v>
      </c>
      <c r="CW69" s="22">
        <f t="shared" si="67"/>
        <v>510.38358577553487</v>
      </c>
      <c r="CX69" s="62">
        <f t="shared" si="68"/>
        <v>803.71691910886818</v>
      </c>
      <c r="CY69" s="62">
        <f ca="1">AVERAGE(OFFSET($CX$3,0,0,'Données projet'!$E$13+1,1))-AVERAGE(OFFSET($H$3,0,0,'Données projet'!$E$13+1,1))</f>
        <v>292.21364130214391</v>
      </c>
      <c r="CZ69" s="62">
        <f t="shared" ref="CZ69:CZ132" si="96">$CZ$3</f>
        <v>283.48738729114024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5</v>
      </c>
      <c r="DO69" s="13">
        <f>IF('Données projet'!$A$166&gt;35,DO68+DN69-DW68,IF(A69&lt;'Données projet'!$A$166,$DL$205^A69,IF(A69='Données projet'!$A$166,'Données projet'!$B$166,DO68+DN69-DW68)))</f>
        <v>233.8461538461539</v>
      </c>
      <c r="DP69" s="18">
        <f>DO69*VLOOKUP('Données projet'!$B$14,Paramètres!$A$1:$I$89,3,0)*VLOOKUP('Données projet'!$B$14,Paramètres!$A$1:$I$89,5,0)</f>
        <v>222.52800000000005</v>
      </c>
      <c r="DQ69" s="14">
        <f t="shared" ref="DQ69:DQ132" si="97">EXP(-1.0587+0.8836*LN(DP69)+0.284)</f>
        <v>54.663968137001028</v>
      </c>
      <c r="DR69" s="22">
        <f t="shared" si="70"/>
        <v>482.77601117194354</v>
      </c>
      <c r="DS69" s="62">
        <f t="shared" si="71"/>
        <v>776.10934450527679</v>
      </c>
      <c r="DT69" s="62">
        <f ca="1">AVERAGE(OFFSET($DS$3,0,0,'Données projet'!$E$14+1,1))-AVERAGE(OFFSET($H$3,0,0,'Données projet'!$E$14+1,1))</f>
        <v>427.47603885390191</v>
      </c>
      <c r="DU69" s="62">
        <f t="shared" ref="DU69:DU132" si="98">$DU$3</f>
        <v>350.88664394632116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6.8</v>
      </c>
      <c r="EJ69" s="13">
        <f>IF('Données projet'!$A$192&gt;35,EJ68+EI69-ER68,IF(A69&lt;'Données projet'!$A$192,$EG$205^A69,IF(A69='Données projet'!$A$192,'Données projet'!$B$192,EJ68+EI69-ER68)))</f>
        <v>235.79999999999993</v>
      </c>
      <c r="EK69" s="18">
        <f>EJ69*VLOOKUP('Données projet'!$B$15,Paramètres!$A$1:$I$89,3,0)*VLOOKUP('Données projet'!$B$15,Paramètres!$A$1:$I$89,5,0)</f>
        <v>228.06575999999993</v>
      </c>
      <c r="EL69" s="14">
        <f t="shared" ref="EL69:EL132" si="99">EXP(-1.0587+0.8836*LN(EK69)+0.284)</f>
        <v>55.864248276798108</v>
      </c>
      <c r="EM69" s="22">
        <f t="shared" si="73"/>
        <v>494.51143108208981</v>
      </c>
      <c r="EN69" s="62">
        <f t="shared" si="74"/>
        <v>787.84476441542313</v>
      </c>
      <c r="EO69" s="62">
        <f ca="1">AVERAGE(OFFSET($EN$3,0,0,'Données projet'!$E$15+1,1))-AVERAGE(OFFSET($H$3,0,0,'Données projet'!$E$15+1,1))</f>
        <v>455.50822833641354</v>
      </c>
      <c r="EP69" s="62">
        <f t="shared" ref="EP69:EP132" si="100">$EP$3</f>
        <v>261.14722581688039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5</v>
      </c>
      <c r="FE69" s="13">
        <f>IF('Données projet'!$A$218&gt;35,FE68+FD69-FM68,IF(A69&lt;'Données projet'!$A$218,$FB$205^A69,IF(A69='Données projet'!$A$218,'Données projet'!$B$218,FE68+FD69-FM68)))</f>
        <v>237.00000000000003</v>
      </c>
      <c r="FF69" s="18">
        <f>FE69*VLOOKUP('Données projet'!$B$16,Paramètres!$A$1:$I$89,3,0)*VLOOKUP('Données projet'!$B$16,Paramètres!$A$1:$I$89,5,0)</f>
        <v>207.04320000000004</v>
      </c>
      <c r="FG69" s="14">
        <f t="shared" ref="FG69:FG132" si="101">EXP(-1.0587+0.8836*LN(FF69)+0.284)</f>
        <v>51.288918231806321</v>
      </c>
      <c r="FH69" s="22">
        <f t="shared" si="76"/>
        <v>449.92843925372944</v>
      </c>
      <c r="FI69" s="62">
        <f t="shared" si="77"/>
        <v>743.26177258706275</v>
      </c>
      <c r="FJ69" s="62">
        <f ca="1">AVERAGE(OFFSET($FI$3,0,0,'Données projet'!$E$16+1,1))-AVERAGE(OFFSET($H$3,0,0,'Données projet'!$E$16+1,1))</f>
        <v>369.34989412920129</v>
      </c>
      <c r="FK69" s="62">
        <f t="shared" ref="FK69:FK132" si="102">$FK$3</f>
        <v>371.26234252426553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0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>
        <f>FZ69*VLOOKUP('Données projet'!$B$17,Paramètres!$A$1:$I$89,3,0)*VLOOKUP('Données projet'!$B$17,Paramètres!$A$1:$I$89,5,0)</f>
        <v>0</v>
      </c>
      <c r="GB69" s="14" t="e">
        <f t="shared" ref="GB69:GB132" si="103">EXP(-1.0587+0.8836*LN(GA69)+0.284)</f>
        <v>#NUM!</v>
      </c>
      <c r="GC69" s="22" t="e">
        <f t="shared" si="79"/>
        <v>#NUM!</v>
      </c>
      <c r="GD69" s="62" t="e">
        <f t="shared" si="80"/>
        <v>#NUM!</v>
      </c>
      <c r="GE69" s="62">
        <f ca="1">AVERAGE(OFFSET($GD$3,0,0,'Données projet'!$E$17+1,1))-AVERAGE(OFFSET($H$3,0,0,'Données projet'!$E$17+1,1))</f>
        <v>324.4489531703187</v>
      </c>
      <c r="GF69" s="62">
        <f t="shared" ref="GF69:GF132" si="104">$GF$3</f>
        <v>446.55019360848706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projet'!$B$17,Paramètres!$A$1:$I$89,3,0)*0.475*44/12</f>
        <v>0</v>
      </c>
      <c r="GM69" s="23">
        <f>EXP(-LN(2)/25)*GM68+(1-EXP(-LN(2)/25))/(LN(2)/25)*Calculateur!GH69*Calculateur!GJ69*VLOOKUP('Données projet'!$B$17,Paramètres!$A$1:$I$89,3,0)*0.475*44/12</f>
        <v>0</v>
      </c>
      <c r="GN69" s="23">
        <f>EXP(-LN(2)/2)*GN68+(1-EXP(-LN(2)/2))/(LN(2)/2)*GH69*GK69*VLOOKUP('Données projet'!$B$17,Paramètres!$A$1:$I$89,3,0)*0.475*44/12</f>
        <v>0</v>
      </c>
      <c r="GO69" s="23">
        <f t="shared" si="81"/>
        <v>0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4.9999999999999947</v>
      </c>
      <c r="GU69" s="13">
        <f>IF('Données projet'!$A$270&gt;35,GU68+GT69-HC68,IF(A69&lt;'Données projet'!$A$270,$GR$205^A69,IF(A69='Données projet'!$A$270,'Données projet'!$B$270,GU68+GT69-HC68)))</f>
        <v>245.38461538461544</v>
      </c>
      <c r="GV69" s="18">
        <f>GU69*VLOOKUP('Données projet'!$B$18,Paramètres!$A$1:$I$89,3,0)*VLOOKUP('Données projet'!$B$18,Paramètres!$A$1:$I$89,5,0)</f>
        <v>164.60400000000004</v>
      </c>
      <c r="GW69" s="14">
        <f t="shared" ref="GW69:GW132" si="105">EXP(-1.0587+0.8836*LN(GV69)+0.284)</f>
        <v>41.879239712742802</v>
      </c>
      <c r="GX69" s="22">
        <f t="shared" si="82"/>
        <v>359.62497583302707</v>
      </c>
      <c r="GY69" s="62">
        <f t="shared" si="83"/>
        <v>652.95830916636032</v>
      </c>
      <c r="GZ69" s="62">
        <f ca="1">AVERAGE(OFFSET($GY$3,0,0,'Données projet'!$E$18+1,1))-AVERAGE(OFFSET($H$3,0,0,'Données projet'!$E$18+1,1))</f>
        <v>312.06797204903796</v>
      </c>
      <c r="HA69" s="62">
        <f t="shared" ref="HA69:HA132" si="106">$HA$3</f>
        <v>258.20189001775151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>
        <f>EXP(-LN(2)/35)*HG68+(1-EXP(-LN(2)/35))/(LN(2)/35)*HC69*HD69*VLOOKUP('Données projet'!$B$18,Paramètres!$A$1:$I$89,3,0)*0.475*44/12</f>
        <v>0</v>
      </c>
      <c r="HH69" s="23">
        <f>EXP(-LN(2)/25)*HH68+(1-EXP(-LN(2)/25))/(LN(2)/25)*Calculateur!HC69*Calculateur!HE69*VLOOKUP('Données projet'!$B$18,Paramètres!$A$1:$I$89,3,0)*0.475*44/12</f>
        <v>0</v>
      </c>
      <c r="HI69" s="23">
        <f>EXP(-LN(2)/2)*HI68+(1-EXP(-LN(2)/2))/(LN(2)/2)*HC69*HF69*VLOOKUP('Données projet'!$B$18,Paramètres!$A$1:$I$89,3,0)*0.475*44/12</f>
        <v>0</v>
      </c>
      <c r="HJ69" s="24">
        <f t="shared" si="84"/>
        <v>0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8.1999999999999993</v>
      </c>
      <c r="N70" s="14">
        <f>IF('Données projet'!$A$36&gt;35,N69+M70-V69,IF(A70&lt;'Données projet'!$A$36,$K$205^A70,IF(A70='Données projet'!$A$36,'Données projet'!$B$36,N69+M70-V69)))</f>
        <v>305.39999999999986</v>
      </c>
      <c r="O70" s="14">
        <f>N70*VLOOKUP('Données projet'!$B$9,Paramètres!$A$1:$I$89,3,0)*VLOOKUP('Données projet'!$B$9,Paramètres!$A$1:$I$89,5,0)</f>
        <v>276.32591999999988</v>
      </c>
      <c r="P70" s="14">
        <f t="shared" si="87"/>
        <v>66.189974290480777</v>
      </c>
      <c r="Q70" s="22">
        <f t="shared" si="54"/>
        <v>596.54851588925385</v>
      </c>
      <c r="R70" s="62">
        <f t="shared" si="55"/>
        <v>889.88184922258711</v>
      </c>
      <c r="S70" s="62">
        <f ca="1">AVERAGE(OFFSET($R$3,0,0,'Données projet'!$E$9+1,1))-AVERAGE(OFFSET($H$3,0,0,'Données projet'!$E$9+1,1))</f>
        <v>512.84819850818667</v>
      </c>
      <c r="T70" s="62">
        <f t="shared" si="88"/>
        <v>332.61387922152159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4.5</v>
      </c>
      <c r="AI70" s="14">
        <f>IF('Données projet'!$A$62&gt;35,AI69+AH70-AQ69,IF(A70&lt;'Données projet'!$A$62,$AF$205^A70,IF(A70='Données projet'!$A$62,'Données projet'!$B$62,AI69+AH70-AQ69)))</f>
        <v>314.99999999999989</v>
      </c>
      <c r="AJ70" s="14">
        <f>AI70*VLOOKUP('Données projet'!$B$10,Paramètres!$A$1:$I$89,3,0)*VLOOKUP('Données projet'!$B$10,Paramètres!$A$1:$I$89,5,0)</f>
        <v>230.95799999999988</v>
      </c>
      <c r="AK70" s="14">
        <f t="shared" si="89"/>
        <v>56.489773392384429</v>
      </c>
      <c r="AL70" s="22">
        <f t="shared" si="58"/>
        <v>500.63820532506929</v>
      </c>
      <c r="AM70" s="62">
        <f t="shared" si="59"/>
        <v>793.97153865840255</v>
      </c>
      <c r="AN70" s="62">
        <f ca="1">AVERAGE(OFFSET($AM$3,0,0,'Données projet'!$E$10+1,1))-AVERAGE(OFFSET($H$3,0,0,'Données projet'!$E$10+1,1))</f>
        <v>344.45199703750711</v>
      </c>
      <c r="AO70" s="62">
        <f t="shared" si="90"/>
        <v>376.41441893222185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8.1999999999999993</v>
      </c>
      <c r="BD70" s="13">
        <f>IF('Données projet'!$A$88&gt;35,BD69+BC70-BL69,IF(A70&lt;'Données projet'!$A$88,$BA$205^A70,IF(A70='Données projet'!$A$88,'Données projet'!$B$88,BD69+BC70-BL69)))</f>
        <v>305.39999999999986</v>
      </c>
      <c r="BE70" s="14">
        <f>BD70*VLOOKUP('Données projet'!$B$11,Paramètres!$A$1:$I$89,3,0)*VLOOKUP('Données projet'!$B$11,Paramètres!$A$1:$I$89,5,0)</f>
        <v>309.67559999999986</v>
      </c>
      <c r="BF70" s="14">
        <f t="shared" si="91"/>
        <v>73.20107841263075</v>
      </c>
      <c r="BG70" s="22">
        <f t="shared" si="61"/>
        <v>666.84354823533158</v>
      </c>
      <c r="BH70" s="62">
        <f t="shared" si="62"/>
        <v>960.17688156866484</v>
      </c>
      <c r="BI70" s="62">
        <f ca="1">AVERAGE(OFFSET($BH$3,0,0,'Données projet'!$E$11+1,1))-AVERAGE(OFFSET($H$3,0,0,'Données projet'!$E$11+1,1))</f>
        <v>569.39473185784823</v>
      </c>
      <c r="BJ70" s="62">
        <f t="shared" si="92"/>
        <v>367.42881145517066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10</v>
      </c>
      <c r="BY70" s="13">
        <f>IF('Données projet'!$A$114&gt;35,BY69+BX70-CG69,IF(A70&lt;'Données projet'!$A$114,$BV$205^A70,IF(A70='Données projet'!$A$114,'Données projet'!$B$114,BY69+BX70-CG69)))</f>
        <v>313.99999999999994</v>
      </c>
      <c r="BZ70" s="14">
        <f>BY70*VLOOKUP('Données projet'!$B$12,Paramètres!$A$1:$I$89,3,0)*VLOOKUP('Données projet'!$B$12,Paramètres!$A$1:$I$89,5,0)</f>
        <v>269.41199999999998</v>
      </c>
      <c r="CA70" s="14">
        <f t="shared" si="93"/>
        <v>64.724465018362864</v>
      </c>
      <c r="CB70" s="22">
        <f t="shared" si="64"/>
        <v>581.95434324031532</v>
      </c>
      <c r="CC70" s="62">
        <f t="shared" si="65"/>
        <v>875.2876765736487</v>
      </c>
      <c r="CD70" s="62">
        <f ca="1">AVERAGE(OFFSET($CC$3,0,0,'Données projet'!$E$12+1,1))-AVERAGE(OFFSET($H$3,0,0,'Données projet'!$E$12+1,1))</f>
        <v>554.06253050955502</v>
      </c>
      <c r="CE70" s="62">
        <f t="shared" si="94"/>
        <v>269.71949336355789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8.6666666666666661</v>
      </c>
      <c r="CT70" s="13">
        <f>IF('Données projet'!$A$140&gt;35,CT69+CS70-DB69,IF(A70&lt;'Données projet'!$A$140,$CQ$205^A70,IF(A70='Données projet'!$A$140,'Données projet'!$B$140,CT69+CS70-DB69)))</f>
        <v>310.66666666666674</v>
      </c>
      <c r="CU70" s="18">
        <f>CT70*VLOOKUP('Données projet'!$B$13,Paramètres!$A$1:$I$89,3,0)*VLOOKUP('Données projet'!$B$13,Paramètres!$A$1:$I$89,5,0)</f>
        <v>242.32000000000008</v>
      </c>
      <c r="CV70" s="14">
        <f t="shared" si="95"/>
        <v>58.938409961900909</v>
      </c>
      <c r="CW70" s="22">
        <f t="shared" si="67"/>
        <v>524.69173068364421</v>
      </c>
      <c r="CX70" s="62">
        <f t="shared" si="68"/>
        <v>818.02506401697747</v>
      </c>
      <c r="CY70" s="62">
        <f ca="1">AVERAGE(OFFSET($CX$3,0,0,'Données projet'!$E$13+1,1))-AVERAGE(OFFSET($H$3,0,0,'Données projet'!$E$13+1,1))</f>
        <v>292.21364130214391</v>
      </c>
      <c r="CZ70" s="62">
        <f t="shared" si="96"/>
        <v>283.48738729114024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5</v>
      </c>
      <c r="DO70" s="13">
        <f>IF('Données projet'!$A$166&gt;35,DO69+DN70-DW69,IF(A70&lt;'Données projet'!$A$166,$DL$205^A70,IF(A70='Données projet'!$A$166,'Données projet'!$B$166,DO69+DN70-DW69)))</f>
        <v>238.8461538461539</v>
      </c>
      <c r="DP70" s="18">
        <f>DO70*VLOOKUP('Données projet'!$B$14,Paramètres!$A$1:$I$89,3,0)*VLOOKUP('Données projet'!$B$14,Paramètres!$A$1:$I$89,5,0)</f>
        <v>227.28600000000003</v>
      </c>
      <c r="DQ70" s="14">
        <f t="shared" si="97"/>
        <v>55.695446485441053</v>
      </c>
      <c r="DR70" s="22">
        <f t="shared" si="70"/>
        <v>492.85935262880986</v>
      </c>
      <c r="DS70" s="62">
        <f t="shared" si="71"/>
        <v>786.19268596214317</v>
      </c>
      <c r="DT70" s="62">
        <f ca="1">AVERAGE(OFFSET($DS$3,0,0,'Données projet'!$E$14+1,1))-AVERAGE(OFFSET($H$3,0,0,'Données projet'!$E$14+1,1))</f>
        <v>427.47603885390191</v>
      </c>
      <c r="DU70" s="62">
        <f t="shared" si="98"/>
        <v>350.88664394632116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6.8</v>
      </c>
      <c r="EJ70" s="13">
        <f>IF('Données projet'!$A$192&gt;35,EJ69+EI70-ER69,IF(A70&lt;'Données projet'!$A$192,$EG$205^A70,IF(A70='Données projet'!$A$192,'Données projet'!$B$192,EJ69+EI70-ER69)))</f>
        <v>242.59999999999994</v>
      </c>
      <c r="EK70" s="18">
        <f>EJ70*VLOOKUP('Données projet'!$B$15,Paramètres!$A$1:$I$89,3,0)*VLOOKUP('Données projet'!$B$15,Paramètres!$A$1:$I$89,5,0)</f>
        <v>234.64271999999994</v>
      </c>
      <c r="EL70" s="14">
        <f t="shared" si="99"/>
        <v>57.285375557336316</v>
      </c>
      <c r="EM70" s="22">
        <f t="shared" si="73"/>
        <v>508.44143309569387</v>
      </c>
      <c r="EN70" s="62">
        <f t="shared" si="74"/>
        <v>801.77476642902718</v>
      </c>
      <c r="EO70" s="62">
        <f ca="1">AVERAGE(OFFSET($EN$3,0,0,'Données projet'!$E$15+1,1))-AVERAGE(OFFSET($H$3,0,0,'Données projet'!$E$15+1,1))</f>
        <v>455.50822833641354</v>
      </c>
      <c r="EP70" s="62">
        <f t="shared" si="100"/>
        <v>261.14722581688039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5</v>
      </c>
      <c r="FE70" s="13">
        <f>IF('Données projet'!$A$218&gt;35,FE69+FD70-FM69,IF(A70&lt;'Données projet'!$A$218,$FB$205^A70,IF(A70='Données projet'!$A$218,'Données projet'!$B$218,FE69+FD70-FM69)))</f>
        <v>242.00000000000003</v>
      </c>
      <c r="FF70" s="18">
        <f>FE70*VLOOKUP('Données projet'!$B$16,Paramètres!$A$1:$I$89,3,0)*VLOOKUP('Données projet'!$B$16,Paramètres!$A$1:$I$89,5,0)</f>
        <v>211.41120000000006</v>
      </c>
      <c r="FG70" s="14">
        <f t="shared" si="101"/>
        <v>52.243848094411156</v>
      </c>
      <c r="FH70" s="22">
        <f t="shared" si="76"/>
        <v>459.19920876443285</v>
      </c>
      <c r="FI70" s="62">
        <f t="shared" si="77"/>
        <v>752.53254209776617</v>
      </c>
      <c r="FJ70" s="62">
        <f ca="1">AVERAGE(OFFSET($FI$3,0,0,'Données projet'!$E$16+1,1))-AVERAGE(OFFSET($H$3,0,0,'Données projet'!$E$16+1,1))</f>
        <v>369.34989412920129</v>
      </c>
      <c r="FK70" s="62">
        <f t="shared" si="102"/>
        <v>371.26234252426553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0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>
        <f>FZ70*VLOOKUP('Données projet'!$B$17,Paramètres!$A$1:$I$89,3,0)*VLOOKUP('Données projet'!$B$17,Paramètres!$A$1:$I$89,5,0)</f>
        <v>0</v>
      </c>
      <c r="GB70" s="14" t="e">
        <f t="shared" si="103"/>
        <v>#NUM!</v>
      </c>
      <c r="GC70" s="22" t="e">
        <f t="shared" si="79"/>
        <v>#NUM!</v>
      </c>
      <c r="GD70" s="62" t="e">
        <f t="shared" si="80"/>
        <v>#NUM!</v>
      </c>
      <c r="GE70" s="62">
        <f ca="1">AVERAGE(OFFSET($GD$3,0,0,'Données projet'!$E$17+1,1))-AVERAGE(OFFSET($H$3,0,0,'Données projet'!$E$17+1,1))</f>
        <v>324.4489531703187</v>
      </c>
      <c r="GF70" s="62">
        <f t="shared" si="104"/>
        <v>446.55019360848706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projet'!$B$17,Paramètres!$A$1:$I$89,3,0)*0.475*44/12</f>
        <v>0</v>
      </c>
      <c r="GM70" s="23">
        <f>EXP(-LN(2)/25)*GM69+(1-EXP(-LN(2)/25))/(LN(2)/25)*Calculateur!GH70*Calculateur!GJ70*VLOOKUP('Données projet'!$B$17,Paramètres!$A$1:$I$89,3,0)*0.475*44/12</f>
        <v>0</v>
      </c>
      <c r="GN70" s="23">
        <f>EXP(-LN(2)/2)*GN69+(1-EXP(-LN(2)/2))/(LN(2)/2)*GH70*GK70*VLOOKUP('Données projet'!$B$17,Paramètres!$A$1:$I$89,3,0)*0.475*44/12</f>
        <v>0</v>
      </c>
      <c r="GO70" s="23">
        <f t="shared" si="81"/>
        <v>0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4.9999999999999947</v>
      </c>
      <c r="GU70" s="13">
        <f>IF('Données projet'!$A$270&gt;35,GU69+GT70-HC69,IF(A70&lt;'Données projet'!$A$270,$GR$205^A70,IF(A70='Données projet'!$A$270,'Données projet'!$B$270,GU69+GT70-HC69)))</f>
        <v>250.38461538461544</v>
      </c>
      <c r="GV70" s="18">
        <f>GU70*VLOOKUP('Données projet'!$B$18,Paramètres!$A$1:$I$89,3,0)*VLOOKUP('Données projet'!$B$18,Paramètres!$A$1:$I$89,5,0)</f>
        <v>167.95800000000006</v>
      </c>
      <c r="GW70" s="14">
        <f t="shared" si="105"/>
        <v>42.632362356023975</v>
      </c>
      <c r="GX70" s="22">
        <f t="shared" si="82"/>
        <v>366.77821443674179</v>
      </c>
      <c r="GY70" s="62">
        <f t="shared" si="83"/>
        <v>660.11154777007505</v>
      </c>
      <c r="GZ70" s="62">
        <f ca="1">AVERAGE(OFFSET($GY$3,0,0,'Données projet'!$E$18+1,1))-AVERAGE(OFFSET($H$3,0,0,'Données projet'!$E$18+1,1))</f>
        <v>312.06797204903796</v>
      </c>
      <c r="HA70" s="62">
        <f t="shared" si="106"/>
        <v>258.20189001775151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>
        <f>EXP(-LN(2)/35)*HG69+(1-EXP(-LN(2)/35))/(LN(2)/35)*HC70*HD70*VLOOKUP('Données projet'!$B$18,Paramètres!$A$1:$I$89,3,0)*0.475*44/12</f>
        <v>0</v>
      </c>
      <c r="HH70" s="23">
        <f>EXP(-LN(2)/25)*HH69+(1-EXP(-LN(2)/25))/(LN(2)/25)*Calculateur!HC70*Calculateur!HE70*VLOOKUP('Données projet'!$B$18,Paramètres!$A$1:$I$89,3,0)*0.475*44/12</f>
        <v>0</v>
      </c>
      <c r="HI70" s="23">
        <f>EXP(-LN(2)/2)*HI69+(1-EXP(-LN(2)/2))/(LN(2)/2)*HC70*HF70*VLOOKUP('Données projet'!$B$18,Paramètres!$A$1:$I$89,3,0)*0.475*44/12</f>
        <v>0</v>
      </c>
      <c r="HJ70" s="24">
        <f t="shared" si="84"/>
        <v>0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8.1999999999999993</v>
      </c>
      <c r="N71" s="14">
        <f>IF('Données projet'!$A$36&gt;35,N70+M71-V70,IF(A71&lt;'Données projet'!$A$36,$K$205^A71,IF(A71='Données projet'!$A$36,'Données projet'!$B$36,N70+M71-V70)))</f>
        <v>313.59999999999985</v>
      </c>
      <c r="O71" s="14">
        <f>N71*VLOOKUP('Données projet'!$B$9,Paramètres!$A$1:$I$89,3,0)*VLOOKUP('Données projet'!$B$9,Paramètres!$A$1:$I$89,5,0)</f>
        <v>283.74527999999987</v>
      </c>
      <c r="P71" s="14">
        <f t="shared" si="87"/>
        <v>67.757881096630001</v>
      </c>
      <c r="Q71" s="22">
        <f t="shared" si="54"/>
        <v>612.20133890996374</v>
      </c>
      <c r="R71" s="62">
        <f t="shared" si="55"/>
        <v>905.53467224329711</v>
      </c>
      <c r="S71" s="62">
        <f ca="1">AVERAGE(OFFSET($R$3,0,0,'Données projet'!$E$9+1,1))-AVERAGE(OFFSET($H$3,0,0,'Données projet'!$E$9+1,1))</f>
        <v>512.84819850818667</v>
      </c>
      <c r="T71" s="62">
        <f t="shared" si="88"/>
        <v>332.61387922152159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4.5</v>
      </c>
      <c r="AI71" s="14">
        <f>IF('Données projet'!$A$62&gt;35,AI70+AH71-AQ70,IF(A71&lt;'Données projet'!$A$62,$AF$205^A71,IF(A71='Données projet'!$A$62,'Données projet'!$B$62,AI70+AH71-AQ70)))</f>
        <v>319.49999999999989</v>
      </c>
      <c r="AJ71" s="14">
        <f>AI71*VLOOKUP('Données projet'!$B$10,Paramètres!$A$1:$I$89,3,0)*VLOOKUP('Données projet'!$B$10,Paramètres!$A$1:$I$89,5,0)</f>
        <v>234.2573999999999</v>
      </c>
      <c r="AK71" s="14">
        <f t="shared" si="89"/>
        <v>57.202245999692629</v>
      </c>
      <c r="AL71" s="22">
        <f t="shared" si="58"/>
        <v>507.62555011613114</v>
      </c>
      <c r="AM71" s="62">
        <f t="shared" si="59"/>
        <v>800.95888344946445</v>
      </c>
      <c r="AN71" s="62">
        <f ca="1">AVERAGE(OFFSET($AM$3,0,0,'Données projet'!$E$10+1,1))-AVERAGE(OFFSET($H$3,0,0,'Données projet'!$E$10+1,1))</f>
        <v>344.45199703750711</v>
      </c>
      <c r="AO71" s="62">
        <f t="shared" si="90"/>
        <v>376.41441893222185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8.1999999999999993</v>
      </c>
      <c r="BD71" s="13">
        <f>IF('Données projet'!$A$88&gt;35,BD70+BC71-BL70,IF(A71&lt;'Données projet'!$A$88,$BA$205^A71,IF(A71='Données projet'!$A$88,'Données projet'!$B$88,BD70+BC71-BL70)))</f>
        <v>313.59999999999985</v>
      </c>
      <c r="BE71" s="14">
        <f>BD71*VLOOKUP('Données projet'!$B$11,Paramètres!$A$1:$I$89,3,0)*VLOOKUP('Données projet'!$B$11,Paramètres!$A$1:$I$89,5,0)</f>
        <v>317.99039999999991</v>
      </c>
      <c r="BF71" s="14">
        <f t="shared" si="91"/>
        <v>74.935064115011244</v>
      </c>
      <c r="BG71" s="22">
        <f t="shared" si="61"/>
        <v>684.3451833336444</v>
      </c>
      <c r="BH71" s="62">
        <f t="shared" si="62"/>
        <v>977.67851666697766</v>
      </c>
      <c r="BI71" s="62">
        <f ca="1">AVERAGE(OFFSET($BH$3,0,0,'Données projet'!$E$11+1,1))-AVERAGE(OFFSET($H$3,0,0,'Données projet'!$E$11+1,1))</f>
        <v>569.39473185784823</v>
      </c>
      <c r="BJ71" s="62">
        <f t="shared" si="92"/>
        <v>367.42881145517066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10</v>
      </c>
      <c r="BY71" s="13">
        <f>IF('Données projet'!$A$114&gt;35,BY70+BX71-CG70,IF(A71&lt;'Données projet'!$A$114,$BV$205^A71,IF(A71='Données projet'!$A$114,'Données projet'!$B$114,BY70+BX71-CG70)))</f>
        <v>323.99999999999994</v>
      </c>
      <c r="BZ71" s="14">
        <f>BY71*VLOOKUP('Données projet'!$B$12,Paramètres!$A$1:$I$89,3,0)*VLOOKUP('Données projet'!$B$12,Paramètres!$A$1:$I$89,5,0)</f>
        <v>277.99200000000002</v>
      </c>
      <c r="CA71" s="14">
        <f t="shared" si="93"/>
        <v>66.542483170264177</v>
      </c>
      <c r="CB71" s="22">
        <f t="shared" si="64"/>
        <v>600.06422485487678</v>
      </c>
      <c r="CC71" s="62">
        <f t="shared" si="65"/>
        <v>893.39755818821004</v>
      </c>
      <c r="CD71" s="62">
        <f ca="1">AVERAGE(OFFSET($CC$3,0,0,'Données projet'!$E$12+1,1))-AVERAGE(OFFSET($H$3,0,0,'Données projet'!$E$12+1,1))</f>
        <v>554.06253050955502</v>
      </c>
      <c r="CE71" s="62">
        <f t="shared" si="94"/>
        <v>269.71949336355789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8.6666666666666661</v>
      </c>
      <c r="CT71" s="13">
        <f>IF('Données projet'!$A$140&gt;35,CT70+CS71-DB70,IF(A71&lt;'Données projet'!$A$140,$CQ$205^A71,IF(A71='Données projet'!$A$140,'Données projet'!$B$140,CT70+CS71-DB70)))</f>
        <v>319.33333333333343</v>
      </c>
      <c r="CU71" s="18">
        <f>CT71*VLOOKUP('Données projet'!$B$13,Paramètres!$A$1:$I$89,3,0)*VLOOKUP('Données projet'!$B$13,Paramètres!$A$1:$I$89,5,0)</f>
        <v>249.08000000000007</v>
      </c>
      <c r="CV71" s="14">
        <f t="shared" si="95"/>
        <v>60.388894447487807</v>
      </c>
      <c r="CW71" s="22">
        <f t="shared" si="67"/>
        <v>538.99165782937473</v>
      </c>
      <c r="CX71" s="62">
        <f t="shared" si="68"/>
        <v>832.3249911627081</v>
      </c>
      <c r="CY71" s="62">
        <f ca="1">AVERAGE(OFFSET($CX$3,0,0,'Données projet'!$E$13+1,1))-AVERAGE(OFFSET($H$3,0,0,'Données projet'!$E$13+1,1))</f>
        <v>292.21364130214391</v>
      </c>
      <c r="CZ71" s="62">
        <f t="shared" si="96"/>
        <v>283.48738729114024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5</v>
      </c>
      <c r="DO71" s="13">
        <f>IF('Données projet'!$A$166&gt;35,DO70+DN71-DW70,IF(A71&lt;'Données projet'!$A$166,$DL$205^A71,IF(A71='Données projet'!$A$166,'Données projet'!$B$166,DO70+DN71-DW70)))</f>
        <v>243.8461538461539</v>
      </c>
      <c r="DP71" s="18">
        <f>DO71*VLOOKUP('Données projet'!$B$14,Paramètres!$A$1:$I$89,3,0)*VLOOKUP('Données projet'!$B$14,Paramètres!$A$1:$I$89,5,0)</f>
        <v>232.04400000000004</v>
      </c>
      <c r="DQ71" s="14">
        <f t="shared" si="97"/>
        <v>56.724414281075624</v>
      </c>
      <c r="DR71" s="22">
        <f t="shared" si="70"/>
        <v>502.93832153954008</v>
      </c>
      <c r="DS71" s="62">
        <f t="shared" si="71"/>
        <v>796.27165487287334</v>
      </c>
      <c r="DT71" s="62">
        <f ca="1">AVERAGE(OFFSET($DS$3,0,0,'Données projet'!$E$14+1,1))-AVERAGE(OFFSET($H$3,0,0,'Données projet'!$E$14+1,1))</f>
        <v>427.47603885390191</v>
      </c>
      <c r="DU71" s="62">
        <f t="shared" si="98"/>
        <v>350.88664394632116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6.8</v>
      </c>
      <c r="EJ71" s="13">
        <f>IF('Données projet'!$A$192&gt;35,EJ70+EI71-ER70,IF(A71&lt;'Données projet'!$A$192,$EG$205^A71,IF(A71='Données projet'!$A$192,'Données projet'!$B$192,EJ70+EI71-ER70)))</f>
        <v>249.39999999999995</v>
      </c>
      <c r="EK71" s="18">
        <f>EJ71*VLOOKUP('Données projet'!$B$15,Paramètres!$A$1:$I$89,3,0)*VLOOKUP('Données projet'!$B$15,Paramètres!$A$1:$I$89,5,0)</f>
        <v>241.21967999999995</v>
      </c>
      <c r="EL71" s="14">
        <f t="shared" si="99"/>
        <v>58.701873105526744</v>
      </c>
      <c r="EM71" s="22">
        <f t="shared" si="73"/>
        <v>522.36337165879229</v>
      </c>
      <c r="EN71" s="62">
        <f t="shared" si="74"/>
        <v>815.69670499212566</v>
      </c>
      <c r="EO71" s="62">
        <f ca="1">AVERAGE(OFFSET($EN$3,0,0,'Données projet'!$E$15+1,1))-AVERAGE(OFFSET($H$3,0,0,'Données projet'!$E$15+1,1))</f>
        <v>455.50822833641354</v>
      </c>
      <c r="EP71" s="62">
        <f t="shared" si="100"/>
        <v>261.14722581688039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5</v>
      </c>
      <c r="FE71" s="13">
        <f>IF('Données projet'!$A$218&gt;35,FE70+FD71-FM70,IF(A71&lt;'Données projet'!$A$218,$FB$205^A71,IF(A71='Données projet'!$A$218,'Données projet'!$B$218,FE70+FD71-FM70)))</f>
        <v>247.00000000000003</v>
      </c>
      <c r="FF71" s="18">
        <f>FE71*VLOOKUP('Données projet'!$B$16,Paramètres!$A$1:$I$89,3,0)*VLOOKUP('Données projet'!$B$16,Paramètres!$A$1:$I$89,5,0)</f>
        <v>215.77920000000003</v>
      </c>
      <c r="FG71" s="14">
        <f t="shared" si="101"/>
        <v>53.196483976998607</v>
      </c>
      <c r="FH71" s="22">
        <f t="shared" si="76"/>
        <v>468.46598292660593</v>
      </c>
      <c r="FI71" s="62">
        <f t="shared" si="77"/>
        <v>761.79931625993925</v>
      </c>
      <c r="FJ71" s="62">
        <f ca="1">AVERAGE(OFFSET($FI$3,0,0,'Données projet'!$E$16+1,1))-AVERAGE(OFFSET($H$3,0,0,'Données projet'!$E$16+1,1))</f>
        <v>369.34989412920129</v>
      </c>
      <c r="FK71" s="62">
        <f t="shared" si="102"/>
        <v>371.26234252426553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0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>
        <f>FZ71*VLOOKUP('Données projet'!$B$17,Paramètres!$A$1:$I$89,3,0)*VLOOKUP('Données projet'!$B$17,Paramètres!$A$1:$I$89,5,0)</f>
        <v>0</v>
      </c>
      <c r="GB71" s="14" t="e">
        <f t="shared" si="103"/>
        <v>#NUM!</v>
      </c>
      <c r="GC71" s="22" t="e">
        <f t="shared" si="79"/>
        <v>#NUM!</v>
      </c>
      <c r="GD71" s="62" t="e">
        <f t="shared" si="80"/>
        <v>#NUM!</v>
      </c>
      <c r="GE71" s="62">
        <f ca="1">AVERAGE(OFFSET($GD$3,0,0,'Données projet'!$E$17+1,1))-AVERAGE(OFFSET($H$3,0,0,'Données projet'!$E$17+1,1))</f>
        <v>324.4489531703187</v>
      </c>
      <c r="GF71" s="62">
        <f t="shared" si="104"/>
        <v>446.55019360848706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projet'!$B$17,Paramètres!$A$1:$I$89,3,0)*0.475*44/12</f>
        <v>0</v>
      </c>
      <c r="GM71" s="23">
        <f>EXP(-LN(2)/25)*GM70+(1-EXP(-LN(2)/25))/(LN(2)/25)*Calculateur!GH71*Calculateur!GJ71*VLOOKUP('Données projet'!$B$17,Paramètres!$A$1:$I$89,3,0)*0.475*44/12</f>
        <v>0</v>
      </c>
      <c r="GN71" s="23">
        <f>EXP(-LN(2)/2)*GN70+(1-EXP(-LN(2)/2))/(LN(2)/2)*GH71*GK71*VLOOKUP('Données projet'!$B$17,Paramètres!$A$1:$I$89,3,0)*0.475*44/12</f>
        <v>0</v>
      </c>
      <c r="GO71" s="23">
        <f t="shared" si="81"/>
        <v>0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4.9999999999999947</v>
      </c>
      <c r="GU71" s="13">
        <f>IF('Données projet'!$A$270&gt;35,GU70+GT71-HC70,IF(A71&lt;'Données projet'!$A$270,$GR$205^A71,IF(A71='Données projet'!$A$270,'Données projet'!$B$270,GU70+GT71-HC70)))</f>
        <v>255.38461538461544</v>
      </c>
      <c r="GV71" s="18">
        <f>GU71*VLOOKUP('Données projet'!$B$18,Paramètres!$A$1:$I$89,3,0)*VLOOKUP('Données projet'!$B$18,Paramètres!$A$1:$I$89,5,0)</f>
        <v>171.31200000000004</v>
      </c>
      <c r="GW71" s="14">
        <f t="shared" si="105"/>
        <v>43.383736333098376</v>
      </c>
      <c r="GX71" s="22">
        <f t="shared" si="82"/>
        <v>373.92840744681308</v>
      </c>
      <c r="GY71" s="62">
        <f t="shared" si="83"/>
        <v>667.2617407801464</v>
      </c>
      <c r="GZ71" s="62">
        <f ca="1">AVERAGE(OFFSET($GY$3,0,0,'Données projet'!$E$18+1,1))-AVERAGE(OFFSET($H$3,0,0,'Données projet'!$E$18+1,1))</f>
        <v>312.06797204903796</v>
      </c>
      <c r="HA71" s="62">
        <f t="shared" si="106"/>
        <v>258.20189001775151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>
        <f>EXP(-LN(2)/35)*HG70+(1-EXP(-LN(2)/35))/(LN(2)/35)*HC71*HD71*VLOOKUP('Données projet'!$B$18,Paramètres!$A$1:$I$89,3,0)*0.475*44/12</f>
        <v>0</v>
      </c>
      <c r="HH71" s="23">
        <f>EXP(-LN(2)/25)*HH70+(1-EXP(-LN(2)/25))/(LN(2)/25)*Calculateur!HC71*Calculateur!HE71*VLOOKUP('Données projet'!$B$18,Paramètres!$A$1:$I$89,3,0)*0.475*44/12</f>
        <v>0</v>
      </c>
      <c r="HI71" s="23">
        <f>EXP(-LN(2)/2)*HI70+(1-EXP(-LN(2)/2))/(LN(2)/2)*HC71*HF71*VLOOKUP('Données projet'!$B$18,Paramètres!$A$1:$I$89,3,0)*0.475*44/12</f>
        <v>0</v>
      </c>
      <c r="HJ71" s="24">
        <f t="shared" si="84"/>
        <v>0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8.1999999999999993</v>
      </c>
      <c r="N72" s="14">
        <f>IF('Données projet'!$A$36&gt;35,N71+M72-V71,IF(A72&lt;'Données projet'!$A$36,$K$205^A72,IF(A72='Données projet'!$A$36,'Données projet'!$B$36,N71+M72-V71)))</f>
        <v>321.79999999999984</v>
      </c>
      <c r="O72" s="14">
        <f>N72*VLOOKUP('Données projet'!$B$9,Paramètres!$A$1:$I$89,3,0)*VLOOKUP('Données projet'!$B$9,Paramètres!$A$1:$I$89,5,0)</f>
        <v>291.16463999999985</v>
      </c>
      <c r="P72" s="14">
        <f t="shared" si="87"/>
        <v>69.321022467464573</v>
      </c>
      <c r="Q72" s="22">
        <f t="shared" si="54"/>
        <v>627.84586213083389</v>
      </c>
      <c r="R72" s="62">
        <f t="shared" si="55"/>
        <v>921.17919546416715</v>
      </c>
      <c r="S72" s="62">
        <f ca="1">AVERAGE(OFFSET($R$3,0,0,'Données projet'!$E$9+1,1))-AVERAGE(OFFSET($H$3,0,0,'Données projet'!$E$9+1,1))</f>
        <v>512.84819850818667</v>
      </c>
      <c r="T72" s="62">
        <f t="shared" si="88"/>
        <v>332.61387922152159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4.5</v>
      </c>
      <c r="AI72" s="14">
        <f>IF('Données projet'!$A$62&gt;35,AI71+AH72-AQ71,IF(A72&lt;'Données projet'!$A$62,$AF$205^A72,IF(A72='Données projet'!$A$62,'Données projet'!$B$62,AI71+AH72-AQ71)))</f>
        <v>323.99999999999989</v>
      </c>
      <c r="AJ72" s="14">
        <f>AI72*VLOOKUP('Données projet'!$B$10,Paramètres!$A$1:$I$89,3,0)*VLOOKUP('Données projet'!$B$10,Paramètres!$A$1:$I$89,5,0)</f>
        <v>237.55679999999992</v>
      </c>
      <c r="AK72" s="14">
        <f t="shared" si="89"/>
        <v>57.913551469467308</v>
      </c>
      <c r="AL72" s="22">
        <f t="shared" si="58"/>
        <v>514.61086214265538</v>
      </c>
      <c r="AM72" s="62">
        <f t="shared" si="59"/>
        <v>807.94419547598864</v>
      </c>
      <c r="AN72" s="62">
        <f ca="1">AVERAGE(OFFSET($AM$3,0,0,'Données projet'!$E$10+1,1))-AVERAGE(OFFSET($H$3,0,0,'Données projet'!$E$10+1,1))</f>
        <v>344.45199703750711</v>
      </c>
      <c r="AO72" s="62">
        <f t="shared" si="90"/>
        <v>376.41441893222185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8.1999999999999993</v>
      </c>
      <c r="BD72" s="13">
        <f>IF('Données projet'!$A$88&gt;35,BD71+BC72-BL71,IF(A72&lt;'Données projet'!$A$88,$BA$205^A72,IF(A72='Données projet'!$A$88,'Données projet'!$B$88,BD71+BC72-BL71)))</f>
        <v>321.79999999999984</v>
      </c>
      <c r="BE72" s="14">
        <f>BD72*VLOOKUP('Données projet'!$B$11,Paramètres!$A$1:$I$89,3,0)*VLOOKUP('Données projet'!$B$11,Paramètres!$A$1:$I$89,5,0)</f>
        <v>326.30519999999984</v>
      </c>
      <c r="BF72" s="14">
        <f t="shared" si="91"/>
        <v>76.663779608302349</v>
      </c>
      <c r="BG72" s="22">
        <f t="shared" si="61"/>
        <v>701.8376394844596</v>
      </c>
      <c r="BH72" s="62">
        <f t="shared" si="62"/>
        <v>995.17097281779297</v>
      </c>
      <c r="BI72" s="62">
        <f ca="1">AVERAGE(OFFSET($BH$3,0,0,'Données projet'!$E$11+1,1))-AVERAGE(OFFSET($H$3,0,0,'Données projet'!$E$11+1,1))</f>
        <v>569.39473185784823</v>
      </c>
      <c r="BJ72" s="62">
        <f t="shared" si="92"/>
        <v>367.42881145517066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10</v>
      </c>
      <c r="BY72" s="13">
        <f>IF('Données projet'!$A$114&gt;35,BY71+BX72-CG71,IF(A72&lt;'Données projet'!$A$114,$BV$205^A72,IF(A72='Données projet'!$A$114,'Données projet'!$B$114,BY71+BX72-CG71)))</f>
        <v>333.99999999999994</v>
      </c>
      <c r="BZ72" s="14">
        <f>BY72*VLOOKUP('Données projet'!$B$12,Paramètres!$A$1:$I$89,3,0)*VLOOKUP('Données projet'!$B$12,Paramètres!$A$1:$I$89,5,0)</f>
        <v>286.572</v>
      </c>
      <c r="CA72" s="14">
        <f t="shared" si="93"/>
        <v>68.353980548090334</v>
      </c>
      <c r="CB72" s="22">
        <f t="shared" si="64"/>
        <v>618.16274945459065</v>
      </c>
      <c r="CC72" s="62">
        <f t="shared" si="65"/>
        <v>911.49608278792402</v>
      </c>
      <c r="CD72" s="62">
        <f ca="1">AVERAGE(OFFSET($CC$3,0,0,'Données projet'!$E$12+1,1))-AVERAGE(OFFSET($H$3,0,0,'Données projet'!$E$12+1,1))</f>
        <v>554.06253050955502</v>
      </c>
      <c r="CE72" s="62">
        <f t="shared" si="94"/>
        <v>269.71949336355789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>
        <f>VLOOKUP(A72,'Données projet'!$A$139:$I$159,2,0)</f>
        <v>328</v>
      </c>
      <c r="CR72" s="13">
        <f>VLOOKUP(A72,'Données projet'!$A$139:$I$159,9,0)</f>
        <v>8.6666666666666661</v>
      </c>
      <c r="CS72" s="13">
        <f t="array" ref="CS72">INDEX(CR:CR,MIN(IF(ISNUMBER(CR72:CR268),ROW(CR72:CR268),"")))</f>
        <v>8.6666666666666661</v>
      </c>
      <c r="CT72" s="13">
        <f>IF('Données projet'!$A$140&gt;35,CT71+CS72-DB71,IF(A72&lt;'Données projet'!$A$140,$CQ$205^A72,IF(A72='Données projet'!$A$140,'Données projet'!$B$140,CT71+CS72-DB71)))</f>
        <v>328.00000000000011</v>
      </c>
      <c r="CU72" s="18">
        <f>CT72*VLOOKUP('Données projet'!$B$13,Paramètres!$A$1:$I$89,3,0)*VLOOKUP('Données projet'!$B$13,Paramètres!$A$1:$I$89,5,0)</f>
        <v>255.84000000000009</v>
      </c>
      <c r="CV72" s="14">
        <f t="shared" si="95"/>
        <v>61.834803371075836</v>
      </c>
      <c r="CW72" s="22">
        <f t="shared" si="67"/>
        <v>553.28361587129064</v>
      </c>
      <c r="CX72" s="62">
        <f t="shared" si="68"/>
        <v>846.61694920462401</v>
      </c>
      <c r="CY72" s="62">
        <f ca="1">AVERAGE(OFFSET($CX$3,0,0,'Données projet'!$E$13+1,1))-AVERAGE(OFFSET($H$3,0,0,'Données projet'!$E$13+1,1))</f>
        <v>292.21364130214391</v>
      </c>
      <c r="CZ72" s="62">
        <f t="shared" si="96"/>
        <v>283.48738729114024</v>
      </c>
      <c r="DA72" s="16">
        <f>IF(ISNA(VLOOKUP(A72,'Données projet'!$A$139:$I$159,3,0)),0,VLOOKUP(A72,'Données projet'!$A$139:$I$159,3,0))</f>
        <v>8</v>
      </c>
      <c r="DB72" s="16">
        <f>IF(ISNA(VLOOKUP(A72,'Données projet'!$A$139:$I$159,4,0)),0,VLOOKUP(A72,'Données projet'!$A$139:$I$159,4,0))</f>
        <v>328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5</v>
      </c>
      <c r="DO72" s="13">
        <f>IF('Données projet'!$A$166&gt;35,DO71+DN72-DW71,IF(A72&lt;'Données projet'!$A$166,$DL$205^A72,IF(A72='Données projet'!$A$166,'Données projet'!$B$166,DO71+DN72-DW71)))</f>
        <v>248.8461538461539</v>
      </c>
      <c r="DP72" s="18">
        <f>DO72*VLOOKUP('Données projet'!$B$14,Paramètres!$A$1:$I$89,3,0)*VLOOKUP('Données projet'!$B$14,Paramètres!$A$1:$I$89,5,0)</f>
        <v>236.80200000000008</v>
      </c>
      <c r="DQ72" s="14">
        <f t="shared" si="97"/>
        <v>57.750928933772677</v>
      </c>
      <c r="DR72" s="22">
        <f t="shared" si="70"/>
        <v>513.01301789298748</v>
      </c>
      <c r="DS72" s="62">
        <f t="shared" si="71"/>
        <v>806.34635122632085</v>
      </c>
      <c r="DT72" s="62">
        <f ca="1">AVERAGE(OFFSET($DS$3,0,0,'Données projet'!$E$14+1,1))-AVERAGE(OFFSET($H$3,0,0,'Données projet'!$E$14+1,1))</f>
        <v>427.47603885390191</v>
      </c>
      <c r="DU72" s="62">
        <f t="shared" si="98"/>
        <v>350.88664394632116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6.8</v>
      </c>
      <c r="EJ72" s="13">
        <f>IF('Données projet'!$A$192&gt;35,EJ71+EI72-ER71,IF(A72&lt;'Données projet'!$A$192,$EG$205^A72,IF(A72='Données projet'!$A$192,'Données projet'!$B$192,EJ71+EI72-ER71)))</f>
        <v>256.19999999999993</v>
      </c>
      <c r="EK72" s="18">
        <f>EJ72*VLOOKUP('Données projet'!$B$15,Paramètres!$A$1:$I$89,3,0)*VLOOKUP('Données projet'!$B$15,Paramètres!$A$1:$I$89,5,0)</f>
        <v>247.79663999999997</v>
      </c>
      <c r="EL72" s="14">
        <f t="shared" si="99"/>
        <v>60.113881658336368</v>
      </c>
      <c r="EM72" s="22">
        <f t="shared" si="73"/>
        <v>536.27749188826908</v>
      </c>
      <c r="EN72" s="62">
        <f t="shared" si="74"/>
        <v>829.61082522160245</v>
      </c>
      <c r="EO72" s="62">
        <f ca="1">AVERAGE(OFFSET($EN$3,0,0,'Données projet'!$E$15+1,1))-AVERAGE(OFFSET($H$3,0,0,'Données projet'!$E$15+1,1))</f>
        <v>455.50822833641354</v>
      </c>
      <c r="EP72" s="62">
        <f t="shared" si="100"/>
        <v>261.14722581688039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5</v>
      </c>
      <c r="FE72" s="13">
        <f>IF('Données projet'!$A$218&gt;35,FE71+FD72-FM71,IF(A72&lt;'Données projet'!$A$218,$FB$205^A72,IF(A72='Données projet'!$A$218,'Données projet'!$B$218,FE71+FD72-FM71)))</f>
        <v>252.00000000000003</v>
      </c>
      <c r="FF72" s="18">
        <f>FE72*VLOOKUP('Données projet'!$B$16,Paramètres!$A$1:$I$89,3,0)*VLOOKUP('Données projet'!$B$16,Paramètres!$A$1:$I$89,5,0)</f>
        <v>220.14720000000005</v>
      </c>
      <c r="FG72" s="14">
        <f t="shared" si="101"/>
        <v>54.146877667769687</v>
      </c>
      <c r="FH72" s="22">
        <f t="shared" si="76"/>
        <v>477.72885193803222</v>
      </c>
      <c r="FI72" s="62">
        <f t="shared" si="77"/>
        <v>771.06218527136548</v>
      </c>
      <c r="FJ72" s="62">
        <f ca="1">AVERAGE(OFFSET($FI$3,0,0,'Données projet'!$E$16+1,1))-AVERAGE(OFFSET($H$3,0,0,'Données projet'!$E$16+1,1))</f>
        <v>369.34989412920129</v>
      </c>
      <c r="FK72" s="62">
        <f t="shared" si="102"/>
        <v>371.26234252426553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0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>
        <f>FZ72*VLOOKUP('Données projet'!$B$17,Paramètres!$A$1:$I$89,3,0)*VLOOKUP('Données projet'!$B$17,Paramètres!$A$1:$I$89,5,0)</f>
        <v>0</v>
      </c>
      <c r="GB72" s="14" t="e">
        <f t="shared" si="103"/>
        <v>#NUM!</v>
      </c>
      <c r="GC72" s="22" t="e">
        <f t="shared" si="79"/>
        <v>#NUM!</v>
      </c>
      <c r="GD72" s="62" t="e">
        <f t="shared" si="80"/>
        <v>#NUM!</v>
      </c>
      <c r="GE72" s="62">
        <f ca="1">AVERAGE(OFFSET($GD$3,0,0,'Données projet'!$E$17+1,1))-AVERAGE(OFFSET($H$3,0,0,'Données projet'!$E$17+1,1))</f>
        <v>324.4489531703187</v>
      </c>
      <c r="GF72" s="62">
        <f t="shared" si="104"/>
        <v>446.55019360848706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projet'!$B$17,Paramètres!$A$1:$I$89,3,0)*0.475*44/12</f>
        <v>0</v>
      </c>
      <c r="GM72" s="23">
        <f>EXP(-LN(2)/25)*GM71+(1-EXP(-LN(2)/25))/(LN(2)/25)*Calculateur!GH72*Calculateur!GJ72*VLOOKUP('Données projet'!$B$17,Paramètres!$A$1:$I$89,3,0)*0.475*44/12</f>
        <v>0</v>
      </c>
      <c r="GN72" s="23">
        <f>EXP(-LN(2)/2)*GN71+(1-EXP(-LN(2)/2))/(LN(2)/2)*GH72*GK72*VLOOKUP('Données projet'!$B$17,Paramètres!$A$1:$I$89,3,0)*0.475*44/12</f>
        <v>0</v>
      </c>
      <c r="GO72" s="23">
        <f t="shared" si="81"/>
        <v>0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4.9999999999999947</v>
      </c>
      <c r="GU72" s="13">
        <f>IF('Données projet'!$A$270&gt;35,GU71+GT72-HC71,IF(A72&lt;'Données projet'!$A$270,$GR$205^A72,IF(A72='Données projet'!$A$270,'Données projet'!$B$270,GU71+GT72-HC71)))</f>
        <v>260.38461538461542</v>
      </c>
      <c r="GV72" s="18">
        <f>GU72*VLOOKUP('Données projet'!$B$18,Paramètres!$A$1:$I$89,3,0)*VLOOKUP('Données projet'!$B$18,Paramètres!$A$1:$I$89,5,0)</f>
        <v>174.66600000000003</v>
      </c>
      <c r="GW72" s="14">
        <f t="shared" si="105"/>
        <v>44.133399826367565</v>
      </c>
      <c r="GX72" s="22">
        <f t="shared" si="82"/>
        <v>381.0756213642569</v>
      </c>
      <c r="GY72" s="62">
        <f t="shared" si="83"/>
        <v>674.40895469759016</v>
      </c>
      <c r="GZ72" s="62">
        <f ca="1">AVERAGE(OFFSET($GY$3,0,0,'Données projet'!$E$18+1,1))-AVERAGE(OFFSET($H$3,0,0,'Données projet'!$E$18+1,1))</f>
        <v>312.06797204903796</v>
      </c>
      <c r="HA72" s="62">
        <f t="shared" si="106"/>
        <v>258.20189001775151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>
        <f>EXP(-LN(2)/35)*HG71+(1-EXP(-LN(2)/35))/(LN(2)/35)*HC72*HD72*VLOOKUP('Données projet'!$B$18,Paramètres!$A$1:$I$89,3,0)*0.475*44/12</f>
        <v>0</v>
      </c>
      <c r="HH72" s="23">
        <f>EXP(-LN(2)/25)*HH71+(1-EXP(-LN(2)/25))/(LN(2)/25)*Calculateur!HC72*Calculateur!HE72*VLOOKUP('Données projet'!$B$18,Paramètres!$A$1:$I$89,3,0)*0.475*44/12</f>
        <v>0</v>
      </c>
      <c r="HI72" s="23">
        <f>EXP(-LN(2)/2)*HI71+(1-EXP(-LN(2)/2))/(LN(2)/2)*HC72*HF72*VLOOKUP('Données projet'!$B$18,Paramètres!$A$1:$I$89,3,0)*0.475*44/12</f>
        <v>0</v>
      </c>
      <c r="HJ72" s="24">
        <f t="shared" si="84"/>
        <v>0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330</v>
      </c>
      <c r="L73" s="13">
        <f>VLOOKUP(A73,'Données projet'!$A$35:$I$55,9,0)</f>
        <v>8.1999999999999993</v>
      </c>
      <c r="M73" s="13">
        <f t="array" ref="M73">INDEX(L:L,MIN(IF(ISNUMBER(L73:L269),ROW(L73:L269),"")))</f>
        <v>8.1999999999999993</v>
      </c>
      <c r="N73" s="14">
        <f>IF('Données projet'!$A$36&gt;35,N72+M73-V72,IF(A73&lt;'Données projet'!$A$36,$K$205^A73,IF(A73='Données projet'!$A$36,'Données projet'!$B$36,N72+M73-V72)))</f>
        <v>329.99999999999983</v>
      </c>
      <c r="O73" s="14">
        <f>N73*VLOOKUP('Données projet'!$B$9,Paramètres!$A$1:$I$89,3,0)*VLOOKUP('Données projet'!$B$9,Paramètres!$A$1:$I$89,5,0)</f>
        <v>298.58399999999983</v>
      </c>
      <c r="P73" s="14">
        <f t="shared" si="87"/>
        <v>70.879533797607607</v>
      </c>
      <c r="Q73" s="22">
        <f t="shared" si="54"/>
        <v>643.4823213641663</v>
      </c>
      <c r="R73" s="62">
        <f t="shared" si="55"/>
        <v>936.81565469749967</v>
      </c>
      <c r="S73" s="62">
        <f ca="1">AVERAGE(OFFSET($R$3,0,0,'Données projet'!$E$9+1,1))-AVERAGE(OFFSET($H$3,0,0,'Données projet'!$E$9+1,1))</f>
        <v>512.84819850818667</v>
      </c>
      <c r="T73" s="62">
        <f t="shared" si="88"/>
        <v>332.61387922152159</v>
      </c>
      <c r="U73" s="16">
        <f>IF(ISNA(VLOOKUP(A73,'Données projet'!$A$35:$I$55,3,0)),0,VLOOKUP(A73,'Données projet'!$A$35:$I$55,3,0))</f>
        <v>6</v>
      </c>
      <c r="V73" s="16">
        <f>IF(ISNA(VLOOKUP(A73,'Données projet'!$A$35:$I$55,4,0)),0,VLOOKUP(A73,'Données projet'!$A$35:$I$55,4,0))</f>
        <v>56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328.5</v>
      </c>
      <c r="AG73" s="13">
        <f>VLOOKUP(A73,'Données projet'!$A$61:$I$81,9,0)</f>
        <v>4.5</v>
      </c>
      <c r="AH73" s="13">
        <f t="array" ref="AH73">INDEX(AG:AG,MIN(IF(ISNUMBER(AG73:AG269),ROW(AG73:AG269),"")))</f>
        <v>4.5</v>
      </c>
      <c r="AI73" s="14">
        <f>IF('Données projet'!$A$62&gt;35,AI72+AH73-AQ72,IF(A73&lt;'Données projet'!$A$62,$AF$205^A73,IF(A73='Données projet'!$A$62,'Données projet'!$B$62,AI72+AH73-AQ72)))</f>
        <v>328.49999999999989</v>
      </c>
      <c r="AJ73" s="14">
        <f>AI73*VLOOKUP('Données projet'!$B$10,Paramètres!$A$1:$I$89,3,0)*VLOOKUP('Données projet'!$B$10,Paramètres!$A$1:$I$89,5,0)</f>
        <v>240.85619999999989</v>
      </c>
      <c r="AK73" s="14">
        <f t="shared" si="89"/>
        <v>58.623707885373882</v>
      </c>
      <c r="AL73" s="22">
        <f t="shared" si="58"/>
        <v>521.59417290035935</v>
      </c>
      <c r="AM73" s="62">
        <f t="shared" si="59"/>
        <v>814.92750623369261</v>
      </c>
      <c r="AN73" s="62">
        <f ca="1">AVERAGE(OFFSET($AM$3,0,0,'Données projet'!$E$10+1,1))-AVERAGE(OFFSET($H$3,0,0,'Données projet'!$E$10+1,1))</f>
        <v>344.45199703750711</v>
      </c>
      <c r="AO73" s="62">
        <f t="shared" si="90"/>
        <v>376.41441893222185</v>
      </c>
      <c r="AP73" s="16">
        <f>IF(ISNA(VLOOKUP(A73,'Données projet'!$A$61:$I$81,3,0)),0,VLOOKUP(A73,'Données projet'!$A$61:$I$81,3,0))</f>
        <v>6</v>
      </c>
      <c r="AQ73" s="16">
        <f>IF(ISNA(VLOOKUP(A73,'Données projet'!$A$61:$I$81,4,0)),0,VLOOKUP(A73,'Données projet'!$A$61:$I$81,4,0))</f>
        <v>25.9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330</v>
      </c>
      <c r="BB73" s="13">
        <f>VLOOKUP(A73,'Données projet'!$A$87:$I$107,9,0)</f>
        <v>8.1999999999999993</v>
      </c>
      <c r="BC73" s="13">
        <f t="array" ref="BC73">INDEX(BB:BB,MIN(IF(ISNUMBER(BB73:BB269),ROW(BB73:BB269),"")))</f>
        <v>8.1999999999999993</v>
      </c>
      <c r="BD73" s="13">
        <f>IF('Données projet'!$A$88&gt;35,BD72+BC73-BL72,IF(A73&lt;'Données projet'!$A$88,$BA$205^A73,IF(A73='Données projet'!$A$88,'Données projet'!$B$88,BD72+BC73-BL72)))</f>
        <v>329.99999999999983</v>
      </c>
      <c r="BE73" s="14">
        <f>BD73*VLOOKUP('Données projet'!$B$11,Paramètres!$A$1:$I$89,3,0)*VLOOKUP('Données projet'!$B$11,Paramètres!$A$1:$I$89,5,0)</f>
        <v>334.61999999999983</v>
      </c>
      <c r="BF73" s="14">
        <f t="shared" si="91"/>
        <v>78.387374628661505</v>
      </c>
      <c r="BG73" s="22">
        <f t="shared" si="61"/>
        <v>719.3211774782518</v>
      </c>
      <c r="BH73" s="62">
        <f t="shared" si="62"/>
        <v>1012.6545108115852</v>
      </c>
      <c r="BI73" s="62">
        <f ca="1">AVERAGE(OFFSET($BH$3,0,0,'Données projet'!$E$11+1,1))-AVERAGE(OFFSET($H$3,0,0,'Données projet'!$E$11+1,1))</f>
        <v>569.39473185784823</v>
      </c>
      <c r="BJ73" s="62">
        <f t="shared" si="92"/>
        <v>367.42881145517066</v>
      </c>
      <c r="BK73" s="16">
        <f>IF(ISNA(VLOOKUP(A73,'Données projet'!$A$87:$I$107,3,0)),0,VLOOKUP(A73,'Données projet'!$A$87:$I$107,3,0))</f>
        <v>6</v>
      </c>
      <c r="BL73" s="16">
        <f>IF(ISNA(VLOOKUP(A73,'Données projet'!$A$87:$I$107,4,0)),0,VLOOKUP(A73,'Données projet'!$A$87:$I$107,4,0))</f>
        <v>56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344</v>
      </c>
      <c r="BW73" s="13">
        <f>VLOOKUP(A73,'Données projet'!$A$113:$I$133,9,0)</f>
        <v>10</v>
      </c>
      <c r="BX73" s="13">
        <f t="array" ref="BX73">INDEX(BW:BW,MIN(IF(ISNUMBER(BW73:BW269),ROW(BW73:BW269),"")))</f>
        <v>10</v>
      </c>
      <c r="BY73" s="13">
        <f>IF('Données projet'!$A$114&gt;35,BY72+BX73-CG72,IF(A73&lt;'Données projet'!$A$114,$BV$205^A73,IF(A73='Données projet'!$A$114,'Données projet'!$B$114,BY72+BX73-CG72)))</f>
        <v>343.99999999999994</v>
      </c>
      <c r="BZ73" s="14">
        <f>BY73*VLOOKUP('Données projet'!$B$12,Paramètres!$A$1:$I$89,3,0)*VLOOKUP('Données projet'!$B$12,Paramètres!$A$1:$I$89,5,0)</f>
        <v>295.15199999999999</v>
      </c>
      <c r="CA73" s="14">
        <f t="shared" si="93"/>
        <v>70.159174796274201</v>
      </c>
      <c r="CB73" s="22">
        <f t="shared" si="64"/>
        <v>636.25029610351078</v>
      </c>
      <c r="CC73" s="62">
        <f t="shared" si="65"/>
        <v>929.58362943684415</v>
      </c>
      <c r="CD73" s="62">
        <f ca="1">AVERAGE(OFFSET($CC$3,0,0,'Données projet'!$E$12+1,1))-AVERAGE(OFFSET($H$3,0,0,'Données projet'!$E$12+1,1))</f>
        <v>554.06253050955502</v>
      </c>
      <c r="CE73" s="62">
        <f t="shared" si="94"/>
        <v>269.71949336355789</v>
      </c>
      <c r="CF73" s="16">
        <f>IF(ISNA(VLOOKUP(A73,'Données projet'!$A$113:$I$133,3,0)),0,VLOOKUP(A73,'Données projet'!$A$113:$I$133,3,0))</f>
        <v>5</v>
      </c>
      <c r="CG73" s="16">
        <f>IF(ISNA(VLOOKUP(A73,'Données projet'!$A$113:$I$133,4,0)),0,VLOOKUP(A73,'Données projet'!$A$113:$I$133,4,0))</f>
        <v>56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1.1368683772161603E-13</v>
      </c>
      <c r="CU73" s="18">
        <f>CT73*VLOOKUP('Données projet'!$B$13,Paramètres!$A$1:$I$89,3,0)*VLOOKUP('Données projet'!$B$13,Paramètres!$A$1:$I$89,5,0)</f>
        <v>8.8675733422860506E-14</v>
      </c>
      <c r="CV73" s="14">
        <f t="shared" si="95"/>
        <v>1.3509285393066301E-12</v>
      </c>
      <c r="CW73" s="22">
        <f t="shared" si="67"/>
        <v>2.5073107750038623E-12</v>
      </c>
      <c r="CX73" s="62">
        <f t="shared" si="68"/>
        <v>293.33333333333582</v>
      </c>
      <c r="CY73" s="62">
        <f ca="1">AVERAGE(OFFSET($CX$3,0,0,'Données projet'!$E$13+1,1))-AVERAGE(OFFSET($H$3,0,0,'Données projet'!$E$13+1,1))</f>
        <v>292.21364130214391</v>
      </c>
      <c r="CZ73" s="62">
        <f t="shared" si="96"/>
        <v>283.48738729114024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253.84615384615384</v>
      </c>
      <c r="DM73" s="13">
        <f>VLOOKUP(A73,'Données projet'!$A$165:$I$185,9,0)</f>
        <v>5</v>
      </c>
      <c r="DN73" s="13">
        <f t="array" ref="DN73">INDEX(DM:DM,MIN(IF(ISNUMBER(DM73:DM269),ROW(DM73:DM269),"")))</f>
        <v>5</v>
      </c>
      <c r="DO73" s="13">
        <f>IF('Données projet'!$A$166&gt;35,DO72+DN73-DW72,IF(A73&lt;'Données projet'!$A$166,$DL$205^A73,IF(A73='Données projet'!$A$166,'Données projet'!$B$166,DO72+DN73-DW72)))</f>
        <v>253.8461538461539</v>
      </c>
      <c r="DP73" s="18">
        <f>DO73*VLOOKUP('Données projet'!$B$14,Paramètres!$A$1:$I$89,3,0)*VLOOKUP('Données projet'!$B$14,Paramètres!$A$1:$I$89,5,0)</f>
        <v>241.56000000000003</v>
      </c>
      <c r="DQ73" s="14">
        <f t="shared" si="97"/>
        <v>58.775045414448314</v>
      </c>
      <c r="DR73" s="22">
        <f t="shared" si="70"/>
        <v>523.08353743016426</v>
      </c>
      <c r="DS73" s="62">
        <f t="shared" si="71"/>
        <v>816.41687076349763</v>
      </c>
      <c r="DT73" s="62">
        <f ca="1">AVERAGE(OFFSET($DS$3,0,0,'Données projet'!$E$14+1,1))-AVERAGE(OFFSET($H$3,0,0,'Données projet'!$E$14+1,1))</f>
        <v>427.47603885390191</v>
      </c>
      <c r="DU73" s="62">
        <f t="shared" si="98"/>
        <v>350.88664394632116</v>
      </c>
      <c r="DV73" s="16">
        <f>IF(ISNA(VLOOKUP(A73,'Données projet'!$A$165:$I$185,3,0)),0,VLOOKUP(A73,'Données projet'!$A$165:$I$185,3,0))</f>
        <v>6</v>
      </c>
      <c r="DW73" s="16">
        <f>IF(ISNA(VLOOKUP(A73,'Données projet'!$A$165:$I$185,4,0)),0,VLOOKUP(A73,'Données projet'!$A$165:$I$185,4,0))</f>
        <v>33.974358974358971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263</v>
      </c>
      <c r="EH73" s="13">
        <f>VLOOKUP(A73,'Données projet'!$A$191:$I$211,9,0)</f>
        <v>6.8</v>
      </c>
      <c r="EI73" s="13">
        <f t="array" ref="EI73">INDEX(EH:EH,MIN(IF(ISNUMBER(EH73:EH269),ROW(EH73:EH269),"")))</f>
        <v>6.8</v>
      </c>
      <c r="EJ73" s="13">
        <f>IF('Données projet'!$A$192&gt;35,EJ72+EI73-ER72,IF(A73&lt;'Données projet'!$A$192,$EG$205^A73,IF(A73='Données projet'!$A$192,'Données projet'!$B$192,EJ72+EI73-ER72)))</f>
        <v>262.99999999999994</v>
      </c>
      <c r="EK73" s="18">
        <f>EJ73*VLOOKUP('Données projet'!$B$15,Paramètres!$A$1:$I$89,3,0)*VLOOKUP('Données projet'!$B$15,Paramètres!$A$1:$I$89,5,0)</f>
        <v>254.37359999999998</v>
      </c>
      <c r="EL73" s="14">
        <f t="shared" si="99"/>
        <v>61.521534056516209</v>
      </c>
      <c r="EM73" s="22">
        <f t="shared" si="73"/>
        <v>550.1840251484324</v>
      </c>
      <c r="EN73" s="62">
        <f t="shared" si="74"/>
        <v>843.51735848176577</v>
      </c>
      <c r="EO73" s="62">
        <f ca="1">AVERAGE(OFFSET($EN$3,0,0,'Données projet'!$E$15+1,1))-AVERAGE(OFFSET($H$3,0,0,'Données projet'!$E$15+1,1))</f>
        <v>455.50822833641354</v>
      </c>
      <c r="EP73" s="62">
        <f t="shared" si="100"/>
        <v>261.14722581688039</v>
      </c>
      <c r="EQ73" s="16">
        <f>IF(ISNA(VLOOKUP(A73,'Données projet'!$A$191:$I$211,3,0)),0,VLOOKUP(A73,'Données projet'!$A$191:$I$211,3,0))</f>
        <v>5</v>
      </c>
      <c r="ER73" s="16">
        <f>IF(ISNA(VLOOKUP(A73,'Données projet'!$A$191:$I$211,4,0)),0,VLOOKUP(A73,'Données projet'!$A$191:$I$211,4,0))</f>
        <v>42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>
        <f>VLOOKUP(A73,'Données projet'!$A$217:$I$237,2,0)</f>
        <v>257</v>
      </c>
      <c r="FC73" s="13">
        <f>VLOOKUP(A73,'Données projet'!$A$217:$I$237,9,0)</f>
        <v>5</v>
      </c>
      <c r="FD73" s="13">
        <f t="array" ref="FD73">INDEX(FC:FC,MIN(IF(ISNUMBER(FC73:FC269),ROW(FC73:FC269),"")))</f>
        <v>5</v>
      </c>
      <c r="FE73" s="13">
        <f>IF('Données projet'!$A$218&gt;35,FE72+FD73-FM72,IF(A73&lt;'Données projet'!$A$218,$FB$205^A73,IF(A73='Données projet'!$A$218,'Données projet'!$B$218,FE72+FD73-FM72)))</f>
        <v>257</v>
      </c>
      <c r="FF73" s="18">
        <f>FE73*VLOOKUP('Données projet'!$B$16,Paramètres!$A$1:$I$89,3,0)*VLOOKUP('Données projet'!$B$16,Paramètres!$A$1:$I$89,5,0)</f>
        <v>224.51520000000002</v>
      </c>
      <c r="FG73" s="14">
        <f t="shared" si="101"/>
        <v>55.095078782313543</v>
      </c>
      <c r="FH73" s="22">
        <f t="shared" si="76"/>
        <v>486.98790221252949</v>
      </c>
      <c r="FI73" s="62">
        <f t="shared" si="77"/>
        <v>780.32123554586281</v>
      </c>
      <c r="FJ73" s="62">
        <f ca="1">AVERAGE(OFFSET($FI$3,0,0,'Données projet'!$E$16+1,1))-AVERAGE(OFFSET($H$3,0,0,'Données projet'!$E$16+1,1))</f>
        <v>369.34989412920129</v>
      </c>
      <c r="FK73" s="62">
        <f t="shared" si="102"/>
        <v>371.26234252426553</v>
      </c>
      <c r="FL73" s="16">
        <f>IF(ISNA(VLOOKUP(A73,'Données projet'!$A$217:$I$237,3,0)),0,VLOOKUP(A73,'Données projet'!$A$217:$I$237,3,0))</f>
        <v>6</v>
      </c>
      <c r="FM73" s="16">
        <f>IF(ISNA(VLOOKUP(A73,'Données projet'!$A$217:$I$237,4,0)),0,VLOOKUP(A73,'Données projet'!$A$217:$I$237,4,0))</f>
        <v>38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0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>
        <f>FZ73*VLOOKUP('Données projet'!$B$17,Paramètres!$A$1:$I$89,3,0)*VLOOKUP('Données projet'!$B$17,Paramètres!$A$1:$I$89,5,0)</f>
        <v>0</v>
      </c>
      <c r="GB73" s="14" t="e">
        <f t="shared" si="103"/>
        <v>#NUM!</v>
      </c>
      <c r="GC73" s="22" t="e">
        <f t="shared" si="79"/>
        <v>#NUM!</v>
      </c>
      <c r="GD73" s="62" t="e">
        <f t="shared" si="80"/>
        <v>#NUM!</v>
      </c>
      <c r="GE73" s="62">
        <f ca="1">AVERAGE(OFFSET($GD$3,0,0,'Données projet'!$E$17+1,1))-AVERAGE(OFFSET($H$3,0,0,'Données projet'!$E$17+1,1))</f>
        <v>324.4489531703187</v>
      </c>
      <c r="GF73" s="62">
        <f t="shared" si="104"/>
        <v>446.55019360848706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projet'!$B$17,Paramètres!$A$1:$I$89,3,0)*0.475*44/12</f>
        <v>0</v>
      </c>
      <c r="GM73" s="23">
        <f>EXP(-LN(2)/25)*GM72+(1-EXP(-LN(2)/25))/(LN(2)/25)*Calculateur!GH73*Calculateur!GJ73*VLOOKUP('Données projet'!$B$17,Paramètres!$A$1:$I$89,3,0)*0.475*44/12</f>
        <v>0</v>
      </c>
      <c r="GN73" s="23">
        <f>EXP(-LN(2)/2)*GN72+(1-EXP(-LN(2)/2))/(LN(2)/2)*GH73*GK73*VLOOKUP('Données projet'!$B$17,Paramètres!$A$1:$I$89,3,0)*0.475*44/12</f>
        <v>0</v>
      </c>
      <c r="GO73" s="23">
        <f t="shared" si="81"/>
        <v>0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>
        <f>VLOOKUP(A73,'Données projet'!$A$269:$I$289,2,0)</f>
        <v>265.38461538461536</v>
      </c>
      <c r="GS73" s="13">
        <f>VLOOKUP(A73,'Données projet'!$A$269:$I$289,9,0)</f>
        <v>4.9999999999999947</v>
      </c>
      <c r="GT73" s="13">
        <f t="array" ref="GT73">INDEX(GS:GS,MIN(IF(ISNUMBER(GS73:GS269),ROW(GS73:GS269),"")))</f>
        <v>4.9999999999999947</v>
      </c>
      <c r="GU73" s="13">
        <f>IF('Données projet'!$A$270&gt;35,GU72+GT73-HC72,IF(A73&lt;'Données projet'!$A$270,$GR$205^A73,IF(A73='Données projet'!$A$270,'Données projet'!$B$270,GU72+GT73-HC72)))</f>
        <v>265.38461538461542</v>
      </c>
      <c r="GV73" s="18">
        <f>GU73*VLOOKUP('Données projet'!$B$18,Paramètres!$A$1:$I$89,3,0)*VLOOKUP('Données projet'!$B$18,Paramètres!$A$1:$I$89,5,0)</f>
        <v>178.02000000000004</v>
      </c>
      <c r="GW73" s="14">
        <f t="shared" si="105"/>
        <v>44.881389467952083</v>
      </c>
      <c r="GX73" s="22">
        <f t="shared" si="82"/>
        <v>388.21991999001654</v>
      </c>
      <c r="GY73" s="62">
        <f t="shared" si="83"/>
        <v>681.55325332334985</v>
      </c>
      <c r="GZ73" s="62">
        <f ca="1">AVERAGE(OFFSET($GY$3,0,0,'Données projet'!$E$18+1,1))-AVERAGE(OFFSET($H$3,0,0,'Données projet'!$E$18+1,1))</f>
        <v>312.06797204903796</v>
      </c>
      <c r="HA73" s="62">
        <f t="shared" si="106"/>
        <v>258.20189001775151</v>
      </c>
      <c r="HB73" s="16">
        <f>IF(ISNA(VLOOKUP(A73,'Données projet'!$A$269:$I$289,3,0)),0,VLOOKUP(A73,'Données projet'!$A$269:$I$289,3,0))</f>
        <v>6</v>
      </c>
      <c r="HC73" s="16">
        <f>IF(ISNA(VLOOKUP(A73,'Données projet'!$A$269:$I$289,4,0)),0,VLOOKUP(A73,'Données projet'!$A$269:$I$289,4,0))</f>
        <v>27.564102564102562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>
        <f>EXP(-LN(2)/35)*HG72+(1-EXP(-LN(2)/35))/(LN(2)/35)*HC73*HD73*VLOOKUP('Données projet'!$B$18,Paramètres!$A$1:$I$89,3,0)*0.475*44/12</f>
        <v>0</v>
      </c>
      <c r="HH73" s="23">
        <f>EXP(-LN(2)/25)*HH72+(1-EXP(-LN(2)/25))/(LN(2)/25)*Calculateur!HC73*Calculateur!HE73*VLOOKUP('Données projet'!$B$18,Paramètres!$A$1:$I$89,3,0)*0.475*44/12</f>
        <v>0</v>
      </c>
      <c r="HI73" s="23">
        <f>EXP(-LN(2)/2)*HI72+(1-EXP(-LN(2)/2))/(LN(2)/2)*HC73*HF73*VLOOKUP('Données projet'!$B$18,Paramètres!$A$1:$I$89,3,0)*0.475*44/12</f>
        <v>0</v>
      </c>
      <c r="HJ73" s="24">
        <f t="shared" si="84"/>
        <v>0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7.6</v>
      </c>
      <c r="N74" s="14">
        <f>IF('Données projet'!$A$36&gt;35,N73+M74-V73,IF(A74&lt;'Données projet'!$A$36,$K$205^A74,IF(A74='Données projet'!$A$36,'Données projet'!$B$36,N73+M74-V73)))</f>
        <v>281.59999999999985</v>
      </c>
      <c r="O74" s="14">
        <f>N74*VLOOKUP('Données projet'!$B$9,Paramètres!$A$1:$I$89,3,0)*VLOOKUP('Données projet'!$B$9,Paramètres!$A$1:$I$89,5,0)</f>
        <v>254.79167999999984</v>
      </c>
      <c r="P74" s="14">
        <f t="shared" si="87"/>
        <v>61.610870508448471</v>
      </c>
      <c r="Q74" s="22">
        <f t="shared" si="54"/>
        <v>551.06777546888077</v>
      </c>
      <c r="R74" s="62">
        <f t="shared" si="55"/>
        <v>844.40110880221414</v>
      </c>
      <c r="S74" s="62">
        <f ca="1">AVERAGE(OFFSET($R$3,0,0,'Données projet'!$E$9+1,1))-AVERAGE(OFFSET($H$3,0,0,'Données projet'!$E$9+1,1))</f>
        <v>512.84819850818667</v>
      </c>
      <c r="T74" s="62">
        <f t="shared" si="88"/>
        <v>332.61387922152159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4.1799999999999953</v>
      </c>
      <c r="AI74" s="14">
        <f>IF('Données projet'!$A$62&gt;35,AI73+AH74-AQ73,IF(A74&lt;'Données projet'!$A$62,$AF$205^A74,IF(A74='Données projet'!$A$62,'Données projet'!$B$62,AI73+AH74-AQ73)))</f>
        <v>306.77999999999992</v>
      </c>
      <c r="AJ74" s="14">
        <f>AI74*VLOOKUP('Données projet'!$B$10,Paramètres!$A$1:$I$89,3,0)*VLOOKUP('Données projet'!$B$10,Paramètres!$A$1:$I$89,5,0)</f>
        <v>224.93109599999991</v>
      </c>
      <c r="AK74" s="14">
        <f t="shared" si="89"/>
        <v>55.185248501771945</v>
      </c>
      <c r="AL74" s="22">
        <f t="shared" si="58"/>
        <v>487.8693000072526</v>
      </c>
      <c r="AM74" s="62">
        <f t="shared" si="59"/>
        <v>781.20263334058586</v>
      </c>
      <c r="AN74" s="62">
        <f ca="1">AVERAGE(OFFSET($AM$3,0,0,'Données projet'!$E$10+1,1))-AVERAGE(OFFSET($H$3,0,0,'Données projet'!$E$10+1,1))</f>
        <v>344.45199703750711</v>
      </c>
      <c r="AO74" s="62">
        <f t="shared" si="90"/>
        <v>376.41441893222185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7.6</v>
      </c>
      <c r="BD74" s="13">
        <f>IF('Données projet'!$A$88&gt;35,BD73+BC74-BL73,IF(A74&lt;'Données projet'!$A$88,$BA$205^A74,IF(A74='Données projet'!$A$88,'Données projet'!$B$88,BD73+BC74-BL73)))</f>
        <v>281.59999999999985</v>
      </c>
      <c r="BE74" s="14">
        <f>BD74*VLOOKUP('Données projet'!$B$11,Paramètres!$A$1:$I$89,3,0)*VLOOKUP('Données projet'!$B$11,Paramètres!$A$1:$I$89,5,0)</f>
        <v>285.54239999999987</v>
      </c>
      <c r="BF74" s="14">
        <f t="shared" si="91"/>
        <v>68.136937829389467</v>
      </c>
      <c r="BG74" s="22">
        <f t="shared" si="61"/>
        <v>615.9915133861864</v>
      </c>
      <c r="BH74" s="62">
        <f t="shared" si="62"/>
        <v>909.32484671951966</v>
      </c>
      <c r="BI74" s="62">
        <f ca="1">AVERAGE(OFFSET($BH$3,0,0,'Données projet'!$E$11+1,1))-AVERAGE(OFFSET($H$3,0,0,'Données projet'!$E$11+1,1))</f>
        <v>569.39473185784823</v>
      </c>
      <c r="BJ74" s="62">
        <f t="shared" si="92"/>
        <v>367.42881145517066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9.4</v>
      </c>
      <c r="BY74" s="13">
        <f>IF('Données projet'!$A$114&gt;35,BY73+BX74-CG73,IF(A74&lt;'Données projet'!$A$114,$BV$205^A74,IF(A74='Données projet'!$A$114,'Données projet'!$B$114,BY73+BX74-CG73)))</f>
        <v>297.39999999999992</v>
      </c>
      <c r="BZ74" s="14">
        <f>BY74*VLOOKUP('Données projet'!$B$12,Paramètres!$A$1:$I$89,3,0)*VLOOKUP('Données projet'!$B$12,Paramètres!$A$1:$I$89,5,0)</f>
        <v>255.16919999999996</v>
      </c>
      <c r="CA74" s="14">
        <f t="shared" si="93"/>
        <v>61.691525331424884</v>
      </c>
      <c r="CB74" s="22">
        <f t="shared" si="64"/>
        <v>551.86576328556498</v>
      </c>
      <c r="CC74" s="62">
        <f t="shared" si="65"/>
        <v>845.19909661889824</v>
      </c>
      <c r="CD74" s="62">
        <f ca="1">AVERAGE(OFFSET($CC$3,0,0,'Données projet'!$E$12+1,1))-AVERAGE(OFFSET($H$3,0,0,'Données projet'!$E$12+1,1))</f>
        <v>554.06253050955502</v>
      </c>
      <c r="CE74" s="62">
        <f t="shared" si="94"/>
        <v>269.71949336355789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1.1368683772161603E-13</v>
      </c>
      <c r="CU74" s="18">
        <f>CT74*VLOOKUP('Données projet'!$B$13,Paramètres!$A$1:$I$89,3,0)*VLOOKUP('Données projet'!$B$13,Paramètres!$A$1:$I$89,5,0)</f>
        <v>8.8675733422860506E-14</v>
      </c>
      <c r="CV74" s="14">
        <f t="shared" si="95"/>
        <v>1.3509285393066301E-12</v>
      </c>
      <c r="CW74" s="22">
        <f t="shared" si="67"/>
        <v>2.5073107750038623E-12</v>
      </c>
      <c r="CX74" s="62">
        <f t="shared" si="68"/>
        <v>293.33333333333582</v>
      </c>
      <c r="CY74" s="62">
        <f ca="1">AVERAGE(OFFSET($CX$3,0,0,'Données projet'!$E$13+1,1))-AVERAGE(OFFSET($H$3,0,0,'Données projet'!$E$13+1,1))</f>
        <v>292.21364130214391</v>
      </c>
      <c r="CZ74" s="62">
        <f t="shared" si="96"/>
        <v>283.48738729114024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4.8717948717948731</v>
      </c>
      <c r="DO74" s="13">
        <f>IF('Données projet'!$A$166&gt;35,DO73+DN74-DW73,IF(A74&lt;'Données projet'!$A$166,$DL$205^A74,IF(A74='Données projet'!$A$166,'Données projet'!$B$166,DO73+DN74-DW73)))</f>
        <v>224.74358974358981</v>
      </c>
      <c r="DP74" s="18">
        <f>DO74*VLOOKUP('Données projet'!$B$14,Paramètres!$A$1:$I$89,3,0)*VLOOKUP('Données projet'!$B$14,Paramètres!$A$1:$I$89,5,0)</f>
        <v>213.86600000000004</v>
      </c>
      <c r="DQ74" s="14">
        <f t="shared" si="97"/>
        <v>52.779504939587291</v>
      </c>
      <c r="DR74" s="22">
        <f t="shared" si="70"/>
        <v>464.40758776978123</v>
      </c>
      <c r="DS74" s="62">
        <f t="shared" si="71"/>
        <v>757.74092110311449</v>
      </c>
      <c r="DT74" s="62">
        <f ca="1">AVERAGE(OFFSET($DS$3,0,0,'Données projet'!$E$14+1,1))-AVERAGE(OFFSET($H$3,0,0,'Données projet'!$E$14+1,1))</f>
        <v>427.47603885390191</v>
      </c>
      <c r="DU74" s="62">
        <f t="shared" si="98"/>
        <v>350.88664394632116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6.2</v>
      </c>
      <c r="EJ74" s="13">
        <f>IF('Données projet'!$A$192&gt;35,EJ73+EI74-ER73,IF(A74&lt;'Données projet'!$A$192,$EG$205^A74,IF(A74='Données projet'!$A$192,'Données projet'!$B$192,EJ73+EI74-ER73)))</f>
        <v>227.19999999999993</v>
      </c>
      <c r="EK74" s="18">
        <f>EJ74*VLOOKUP('Données projet'!$B$15,Paramètres!$A$1:$I$89,3,0)*VLOOKUP('Données projet'!$B$15,Paramètres!$A$1:$I$89,5,0)</f>
        <v>219.74783999999994</v>
      </c>
      <c r="EL74" s="14">
        <f t="shared" si="99"/>
        <v>54.060076332940561</v>
      </c>
      <c r="EM74" s="22">
        <f t="shared" si="73"/>
        <v>476.88212094653812</v>
      </c>
      <c r="EN74" s="62">
        <f t="shared" si="74"/>
        <v>770.21545427987144</v>
      </c>
      <c r="EO74" s="62">
        <f ca="1">AVERAGE(OFFSET($EN$3,0,0,'Données projet'!$E$15+1,1))-AVERAGE(OFFSET($H$3,0,0,'Données projet'!$E$15+1,1))</f>
        <v>455.50822833641354</v>
      </c>
      <c r="EP74" s="62">
        <f t="shared" si="100"/>
        <v>261.14722581688039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4.4000000000000004</v>
      </c>
      <c r="FE74" s="13">
        <f>IF('Données projet'!$A$218&gt;35,FE73+FD74-FM73,IF(A74&lt;'Données projet'!$A$218,$FB$205^A74,IF(A74='Données projet'!$A$218,'Données projet'!$B$218,FE73+FD74-FM73)))</f>
        <v>223.39999999999998</v>
      </c>
      <c r="FF74" s="18">
        <f>FE74*VLOOKUP('Données projet'!$B$16,Paramètres!$A$1:$I$89,3,0)*VLOOKUP('Données projet'!$B$16,Paramètres!$A$1:$I$89,5,0)</f>
        <v>195.16224</v>
      </c>
      <c r="FG74" s="14">
        <f t="shared" si="101"/>
        <v>48.67946410296608</v>
      </c>
      <c r="FH74" s="22">
        <f t="shared" si="76"/>
        <v>424.69096797933253</v>
      </c>
      <c r="FI74" s="62">
        <f t="shared" si="77"/>
        <v>718.02430131266578</v>
      </c>
      <c r="FJ74" s="62">
        <f ca="1">AVERAGE(OFFSET($FI$3,0,0,'Données projet'!$E$16+1,1))-AVERAGE(OFFSET($H$3,0,0,'Données projet'!$E$16+1,1))</f>
        <v>369.34989412920129</v>
      </c>
      <c r="FK74" s="62">
        <f t="shared" si="102"/>
        <v>371.26234252426553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0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>
        <f>FZ74*VLOOKUP('Données projet'!$B$17,Paramètres!$A$1:$I$89,3,0)*VLOOKUP('Données projet'!$B$17,Paramètres!$A$1:$I$89,5,0)</f>
        <v>0</v>
      </c>
      <c r="GB74" s="14" t="e">
        <f t="shared" si="103"/>
        <v>#NUM!</v>
      </c>
      <c r="GC74" s="22" t="e">
        <f t="shared" si="79"/>
        <v>#NUM!</v>
      </c>
      <c r="GD74" s="62" t="e">
        <f t="shared" si="80"/>
        <v>#NUM!</v>
      </c>
      <c r="GE74" s="62">
        <f ca="1">AVERAGE(OFFSET($GD$3,0,0,'Données projet'!$E$17+1,1))-AVERAGE(OFFSET($H$3,0,0,'Données projet'!$E$17+1,1))</f>
        <v>324.4489531703187</v>
      </c>
      <c r="GF74" s="62">
        <f t="shared" si="104"/>
        <v>446.55019360848706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projet'!$B$17,Paramètres!$A$1:$I$89,3,0)*0.475*44/12</f>
        <v>0</v>
      </c>
      <c r="GM74" s="23">
        <f>EXP(-LN(2)/25)*GM73+(1-EXP(-LN(2)/25))/(LN(2)/25)*Calculateur!GH74*Calculateur!GJ74*VLOOKUP('Données projet'!$B$17,Paramètres!$A$1:$I$89,3,0)*0.475*44/12</f>
        <v>0</v>
      </c>
      <c r="GN74" s="23">
        <f>EXP(-LN(2)/2)*GN73+(1-EXP(-LN(2)/2))/(LN(2)/2)*GH74*GK74*VLOOKUP('Données projet'!$B$17,Paramètres!$A$1:$I$89,3,0)*0.475*44/12</f>
        <v>0</v>
      </c>
      <c r="GO74" s="23">
        <f t="shared" si="81"/>
        <v>0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4.6153846153846247</v>
      </c>
      <c r="GU74" s="13">
        <f>IF('Données projet'!$A$270&gt;35,GU73+GT74-HC73,IF(A74&lt;'Données projet'!$A$270,$GR$205^A74,IF(A74='Données projet'!$A$270,'Données projet'!$B$270,GU73+GT74-HC73)))</f>
        <v>242.43589743589749</v>
      </c>
      <c r="GV74" s="18">
        <f>GU74*VLOOKUP('Données projet'!$B$18,Paramètres!$A$1:$I$89,3,0)*VLOOKUP('Données projet'!$B$18,Paramètres!$A$1:$I$89,5,0)</f>
        <v>162.62600000000003</v>
      </c>
      <c r="GW74" s="14">
        <f t="shared" si="105"/>
        <v>41.43425469159893</v>
      </c>
      <c r="GX74" s="22">
        <f t="shared" si="82"/>
        <v>355.40494358786822</v>
      </c>
      <c r="GY74" s="62">
        <f t="shared" si="83"/>
        <v>648.73827692120153</v>
      </c>
      <c r="GZ74" s="62">
        <f ca="1">AVERAGE(OFFSET($GY$3,0,0,'Données projet'!$E$18+1,1))-AVERAGE(OFFSET($H$3,0,0,'Données projet'!$E$18+1,1))</f>
        <v>312.06797204903796</v>
      </c>
      <c r="HA74" s="62">
        <f t="shared" si="106"/>
        <v>258.20189001775151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>
        <f>EXP(-LN(2)/35)*HG73+(1-EXP(-LN(2)/35))/(LN(2)/35)*HC74*HD74*VLOOKUP('Données projet'!$B$18,Paramètres!$A$1:$I$89,3,0)*0.475*44/12</f>
        <v>0</v>
      </c>
      <c r="HH74" s="23">
        <f>EXP(-LN(2)/25)*HH73+(1-EXP(-LN(2)/25))/(LN(2)/25)*Calculateur!HC74*Calculateur!HE74*VLOOKUP('Données projet'!$B$18,Paramètres!$A$1:$I$89,3,0)*0.475*44/12</f>
        <v>0</v>
      </c>
      <c r="HI74" s="23">
        <f>EXP(-LN(2)/2)*HI73+(1-EXP(-LN(2)/2))/(LN(2)/2)*HC74*HF74*VLOOKUP('Données projet'!$B$18,Paramètres!$A$1:$I$89,3,0)*0.475*44/12</f>
        <v>0</v>
      </c>
      <c r="HJ74" s="24">
        <f t="shared" si="84"/>
        <v>0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7.6</v>
      </c>
      <c r="N75" s="14">
        <f>IF('Données projet'!$A$36&gt;35,N74+M75-V74,IF(A75&lt;'Données projet'!$A$36,$K$205^A75,IF(A75='Données projet'!$A$36,'Données projet'!$B$36,N74+M75-V74)))</f>
        <v>289.19999999999987</v>
      </c>
      <c r="O75" s="14">
        <f>N75*VLOOKUP('Données projet'!$B$9,Paramètres!$A$1:$I$89,3,0)*VLOOKUP('Données projet'!$B$9,Paramètres!$A$1:$I$89,5,0)</f>
        <v>261.66815999999989</v>
      </c>
      <c r="P75" s="14">
        <f t="shared" si="87"/>
        <v>63.077829793082856</v>
      </c>
      <c r="Q75" s="22">
        <f t="shared" si="54"/>
        <v>565.59926555628579</v>
      </c>
      <c r="R75" s="62">
        <f t="shared" si="55"/>
        <v>858.93259888961916</v>
      </c>
      <c r="S75" s="62">
        <f ca="1">AVERAGE(OFFSET($R$3,0,0,'Données projet'!$E$9+1,1))-AVERAGE(OFFSET($H$3,0,0,'Données projet'!$E$9+1,1))</f>
        <v>512.84819850818667</v>
      </c>
      <c r="T75" s="62">
        <f t="shared" si="88"/>
        <v>332.61387922152159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4.1799999999999953</v>
      </c>
      <c r="AI75" s="14">
        <f>IF('Données projet'!$A$62&gt;35,AI74+AH75-AQ74,IF(A75&lt;'Données projet'!$A$62,$AF$205^A75,IF(A75='Données projet'!$A$62,'Données projet'!$B$62,AI74+AH75-AQ74)))</f>
        <v>310.95999999999992</v>
      </c>
      <c r="AJ75" s="14">
        <f>AI75*VLOOKUP('Données projet'!$B$10,Paramètres!$A$1:$I$89,3,0)*VLOOKUP('Données projet'!$B$10,Paramètres!$A$1:$I$89,5,0)</f>
        <v>227.99587199999993</v>
      </c>
      <c r="AK75" s="14">
        <f t="shared" si="89"/>
        <v>55.849121725085425</v>
      </c>
      <c r="AL75" s="22">
        <f t="shared" si="58"/>
        <v>494.36336407119035</v>
      </c>
      <c r="AM75" s="62">
        <f t="shared" si="59"/>
        <v>787.69669740452366</v>
      </c>
      <c r="AN75" s="62">
        <f ca="1">AVERAGE(OFFSET($AM$3,0,0,'Données projet'!$E$10+1,1))-AVERAGE(OFFSET($H$3,0,0,'Données projet'!$E$10+1,1))</f>
        <v>344.45199703750711</v>
      </c>
      <c r="AO75" s="62">
        <f t="shared" si="90"/>
        <v>376.41441893222185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7.6</v>
      </c>
      <c r="BD75" s="13">
        <f>IF('Données projet'!$A$88&gt;35,BD74+BC75-BL74,IF(A75&lt;'Données projet'!$A$88,$BA$205^A75,IF(A75='Données projet'!$A$88,'Données projet'!$B$88,BD74+BC75-BL74)))</f>
        <v>289.19999999999987</v>
      </c>
      <c r="BE75" s="14">
        <f>BD75*VLOOKUP('Données projet'!$B$11,Paramètres!$A$1:$I$89,3,0)*VLOOKUP('Données projet'!$B$11,Paramètres!$A$1:$I$89,5,0)</f>
        <v>293.2487999999999</v>
      </c>
      <c r="BF75" s="14">
        <f t="shared" si="91"/>
        <v>69.759283249126327</v>
      </c>
      <c r="BG75" s="22">
        <f t="shared" si="61"/>
        <v>632.23907832556154</v>
      </c>
      <c r="BH75" s="62">
        <f t="shared" si="62"/>
        <v>925.57241165889491</v>
      </c>
      <c r="BI75" s="62">
        <f ca="1">AVERAGE(OFFSET($BH$3,0,0,'Données projet'!$E$11+1,1))-AVERAGE(OFFSET($H$3,0,0,'Données projet'!$E$11+1,1))</f>
        <v>569.39473185784823</v>
      </c>
      <c r="BJ75" s="62">
        <f t="shared" si="92"/>
        <v>367.42881145517066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9.4</v>
      </c>
      <c r="BY75" s="13">
        <f>IF('Données projet'!$A$114&gt;35,BY74+BX75-CG74,IF(A75&lt;'Données projet'!$A$114,$BV$205^A75,IF(A75='Données projet'!$A$114,'Données projet'!$B$114,BY74+BX75-CG74)))</f>
        <v>306.7999999999999</v>
      </c>
      <c r="BZ75" s="14">
        <f>BY75*VLOOKUP('Données projet'!$B$12,Paramètres!$A$1:$I$89,3,0)*VLOOKUP('Données projet'!$B$12,Paramètres!$A$1:$I$89,5,0)</f>
        <v>263.23439999999994</v>
      </c>
      <c r="CA75" s="14">
        <f t="shared" si="93"/>
        <v>63.411324464279403</v>
      </c>
      <c r="CB75" s="22">
        <f t="shared" si="64"/>
        <v>568.90797010861979</v>
      </c>
      <c r="CC75" s="62">
        <f t="shared" si="65"/>
        <v>862.24130344195305</v>
      </c>
      <c r="CD75" s="62">
        <f ca="1">AVERAGE(OFFSET($CC$3,0,0,'Données projet'!$E$12+1,1))-AVERAGE(OFFSET($H$3,0,0,'Données projet'!$E$12+1,1))</f>
        <v>554.06253050955502</v>
      </c>
      <c r="CE75" s="62">
        <f t="shared" si="94"/>
        <v>269.71949336355789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1.1368683772161603E-13</v>
      </c>
      <c r="CU75" s="18">
        <f>CT75*VLOOKUP('Données projet'!$B$13,Paramètres!$A$1:$I$89,3,0)*VLOOKUP('Données projet'!$B$13,Paramètres!$A$1:$I$89,5,0)</f>
        <v>8.8675733422860506E-14</v>
      </c>
      <c r="CV75" s="14">
        <f t="shared" si="95"/>
        <v>1.3509285393066301E-12</v>
      </c>
      <c r="CW75" s="22">
        <f t="shared" si="67"/>
        <v>2.5073107750038623E-12</v>
      </c>
      <c r="CX75" s="62">
        <f t="shared" si="68"/>
        <v>293.33333333333582</v>
      </c>
      <c r="CY75" s="62">
        <f ca="1">AVERAGE(OFFSET($CX$3,0,0,'Données projet'!$E$13+1,1))-AVERAGE(OFFSET($H$3,0,0,'Données projet'!$E$13+1,1))</f>
        <v>292.21364130214391</v>
      </c>
      <c r="CZ75" s="62">
        <f t="shared" si="96"/>
        <v>283.48738729114024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4.8717948717948731</v>
      </c>
      <c r="DO75" s="13">
        <f>IF('Données projet'!$A$166&gt;35,DO74+DN75-DW74,IF(A75&lt;'Données projet'!$A$166,$DL$205^A75,IF(A75='Données projet'!$A$166,'Données projet'!$B$166,DO74+DN75-DW74)))</f>
        <v>229.61538461538467</v>
      </c>
      <c r="DP75" s="18">
        <f>DO75*VLOOKUP('Données projet'!$B$14,Paramètres!$A$1:$I$89,3,0)*VLOOKUP('Données projet'!$B$14,Paramètres!$A$1:$I$89,5,0)</f>
        <v>218.50200000000007</v>
      </c>
      <c r="DQ75" s="14">
        <f t="shared" si="97"/>
        <v>53.789173468854308</v>
      </c>
      <c r="DR75" s="22">
        <f t="shared" si="70"/>
        <v>474.24046045825463</v>
      </c>
      <c r="DS75" s="62">
        <f t="shared" si="71"/>
        <v>767.57379379158795</v>
      </c>
      <c r="DT75" s="62">
        <f ca="1">AVERAGE(OFFSET($DS$3,0,0,'Données projet'!$E$14+1,1))-AVERAGE(OFFSET($H$3,0,0,'Données projet'!$E$14+1,1))</f>
        <v>427.47603885390191</v>
      </c>
      <c r="DU75" s="62">
        <f t="shared" si="98"/>
        <v>350.88664394632116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6.2</v>
      </c>
      <c r="EJ75" s="13">
        <f>IF('Données projet'!$A$192&gt;35,EJ74+EI75-ER74,IF(A75&lt;'Données projet'!$A$192,$EG$205^A75,IF(A75='Données projet'!$A$192,'Données projet'!$B$192,EJ74+EI75-ER74)))</f>
        <v>233.39999999999992</v>
      </c>
      <c r="EK75" s="18">
        <f>EJ75*VLOOKUP('Données projet'!$B$15,Paramètres!$A$1:$I$89,3,0)*VLOOKUP('Données projet'!$B$15,Paramètres!$A$1:$I$89,5,0)</f>
        <v>225.74447999999992</v>
      </c>
      <c r="EL75" s="14">
        <f t="shared" si="99"/>
        <v>55.36154088431374</v>
      </c>
      <c r="EM75" s="22">
        <f t="shared" si="73"/>
        <v>489.59298637351299</v>
      </c>
      <c r="EN75" s="62">
        <f t="shared" si="74"/>
        <v>782.92631970684624</v>
      </c>
      <c r="EO75" s="62">
        <f ca="1">AVERAGE(OFFSET($EN$3,0,0,'Données projet'!$E$15+1,1))-AVERAGE(OFFSET($H$3,0,0,'Données projet'!$E$15+1,1))</f>
        <v>455.50822833641354</v>
      </c>
      <c r="EP75" s="62">
        <f t="shared" si="100"/>
        <v>261.14722581688039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4.4000000000000004</v>
      </c>
      <c r="FE75" s="13">
        <f>IF('Données projet'!$A$218&gt;35,FE74+FD75-FM74,IF(A75&lt;'Données projet'!$A$218,$FB$205^A75,IF(A75='Données projet'!$A$218,'Données projet'!$B$218,FE74+FD75-FM74)))</f>
        <v>227.79999999999998</v>
      </c>
      <c r="FF75" s="18">
        <f>FE75*VLOOKUP('Données projet'!$B$16,Paramètres!$A$1:$I$89,3,0)*VLOOKUP('Données projet'!$B$16,Paramètres!$A$1:$I$89,5,0)</f>
        <v>199.00608</v>
      </c>
      <c r="FG75" s="14">
        <f t="shared" si="101"/>
        <v>49.525670897515027</v>
      </c>
      <c r="FH75" s="22">
        <f t="shared" si="76"/>
        <v>432.85946614650533</v>
      </c>
      <c r="FI75" s="62">
        <f t="shared" si="77"/>
        <v>726.19279947983864</v>
      </c>
      <c r="FJ75" s="62">
        <f ca="1">AVERAGE(OFFSET($FI$3,0,0,'Données projet'!$E$16+1,1))-AVERAGE(OFFSET($H$3,0,0,'Données projet'!$E$16+1,1))</f>
        <v>369.34989412920129</v>
      </c>
      <c r="FK75" s="62">
        <f t="shared" si="102"/>
        <v>371.26234252426553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0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>
        <f>FZ75*VLOOKUP('Données projet'!$B$17,Paramètres!$A$1:$I$89,3,0)*VLOOKUP('Données projet'!$B$17,Paramètres!$A$1:$I$89,5,0)</f>
        <v>0</v>
      </c>
      <c r="GB75" s="14" t="e">
        <f t="shared" si="103"/>
        <v>#NUM!</v>
      </c>
      <c r="GC75" s="22" t="e">
        <f t="shared" si="79"/>
        <v>#NUM!</v>
      </c>
      <c r="GD75" s="62" t="e">
        <f t="shared" si="80"/>
        <v>#NUM!</v>
      </c>
      <c r="GE75" s="62">
        <f ca="1">AVERAGE(OFFSET($GD$3,0,0,'Données projet'!$E$17+1,1))-AVERAGE(OFFSET($H$3,0,0,'Données projet'!$E$17+1,1))</f>
        <v>324.4489531703187</v>
      </c>
      <c r="GF75" s="62">
        <f t="shared" si="104"/>
        <v>446.55019360848706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projet'!$B$17,Paramètres!$A$1:$I$89,3,0)*0.475*44/12</f>
        <v>0</v>
      </c>
      <c r="GM75" s="23">
        <f>EXP(-LN(2)/25)*GM74+(1-EXP(-LN(2)/25))/(LN(2)/25)*Calculateur!GH75*Calculateur!GJ75*VLOOKUP('Données projet'!$B$17,Paramètres!$A$1:$I$89,3,0)*0.475*44/12</f>
        <v>0</v>
      </c>
      <c r="GN75" s="23">
        <f>EXP(-LN(2)/2)*GN74+(1-EXP(-LN(2)/2))/(LN(2)/2)*GH75*GK75*VLOOKUP('Données projet'!$B$17,Paramètres!$A$1:$I$89,3,0)*0.475*44/12</f>
        <v>0</v>
      </c>
      <c r="GO75" s="23">
        <f t="shared" si="81"/>
        <v>0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4.6153846153846247</v>
      </c>
      <c r="GU75" s="13">
        <f>IF('Données projet'!$A$270&gt;35,GU74+GT75-HC74,IF(A75&lt;'Données projet'!$A$270,$GR$205^A75,IF(A75='Données projet'!$A$270,'Données projet'!$B$270,GU74+GT75-HC74)))</f>
        <v>247.0512820512821</v>
      </c>
      <c r="GV75" s="18">
        <f>GU75*VLOOKUP('Données projet'!$B$18,Paramètres!$A$1:$I$89,3,0)*VLOOKUP('Données projet'!$B$18,Paramètres!$A$1:$I$89,5,0)</f>
        <v>165.72200000000004</v>
      </c>
      <c r="GW75" s="14">
        <f t="shared" si="105"/>
        <v>42.130477313738041</v>
      </c>
      <c r="GX75" s="22">
        <f t="shared" si="82"/>
        <v>362.00973132142713</v>
      </c>
      <c r="GY75" s="62">
        <f t="shared" si="83"/>
        <v>655.34306465476038</v>
      </c>
      <c r="GZ75" s="62">
        <f ca="1">AVERAGE(OFFSET($GY$3,0,0,'Données projet'!$E$18+1,1))-AVERAGE(OFFSET($H$3,0,0,'Données projet'!$E$18+1,1))</f>
        <v>312.06797204903796</v>
      </c>
      <c r="HA75" s="62">
        <f t="shared" si="106"/>
        <v>258.20189001775151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>
        <f>EXP(-LN(2)/35)*HG74+(1-EXP(-LN(2)/35))/(LN(2)/35)*HC75*HD75*VLOOKUP('Données projet'!$B$18,Paramètres!$A$1:$I$89,3,0)*0.475*44/12</f>
        <v>0</v>
      </c>
      <c r="HH75" s="23">
        <f>EXP(-LN(2)/25)*HH74+(1-EXP(-LN(2)/25))/(LN(2)/25)*Calculateur!HC75*Calculateur!HE75*VLOOKUP('Données projet'!$B$18,Paramètres!$A$1:$I$89,3,0)*0.475*44/12</f>
        <v>0</v>
      </c>
      <c r="HI75" s="23">
        <f>EXP(-LN(2)/2)*HI74+(1-EXP(-LN(2)/2))/(LN(2)/2)*HC75*HF75*VLOOKUP('Données projet'!$B$18,Paramètres!$A$1:$I$89,3,0)*0.475*44/12</f>
        <v>0</v>
      </c>
      <c r="HJ75" s="24">
        <f t="shared" si="84"/>
        <v>0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7.6</v>
      </c>
      <c r="N76" s="14">
        <f>IF('Données projet'!$A$36&gt;35,N75+M76-V75,IF(A76&lt;'Données projet'!$A$36,$K$205^A76,IF(A76='Données projet'!$A$36,'Données projet'!$B$36,N75+M76-V75)))</f>
        <v>296.7999999999999</v>
      </c>
      <c r="O76" s="14">
        <f>N76*VLOOKUP('Données projet'!$B$9,Paramètres!$A$1:$I$89,3,0)*VLOOKUP('Données projet'!$B$9,Paramètres!$A$1:$I$89,5,0)</f>
        <v>268.5446399999999</v>
      </c>
      <c r="P76" s="14">
        <f t="shared" si="87"/>
        <v>64.54030807605065</v>
      </c>
      <c r="Q76" s="22">
        <f t="shared" si="54"/>
        <v>580.12295123245474</v>
      </c>
      <c r="R76" s="62">
        <f t="shared" si="55"/>
        <v>873.45628456578811</v>
      </c>
      <c r="S76" s="62">
        <f ca="1">AVERAGE(OFFSET($R$3,0,0,'Données projet'!$E$9+1,1))-AVERAGE(OFFSET($H$3,0,0,'Données projet'!$E$9+1,1))</f>
        <v>512.84819850818667</v>
      </c>
      <c r="T76" s="62">
        <f t="shared" si="88"/>
        <v>332.61387922152159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4.1799999999999953</v>
      </c>
      <c r="AI76" s="14">
        <f>IF('Données projet'!$A$62&gt;35,AI75+AH76-AQ75,IF(A76&lt;'Données projet'!$A$62,$AF$205^A76,IF(A76='Données projet'!$A$62,'Données projet'!$B$62,AI75+AH76-AQ75)))</f>
        <v>315.13999999999993</v>
      </c>
      <c r="AJ76" s="14">
        <f>AI76*VLOOKUP('Données projet'!$B$10,Paramètres!$A$1:$I$89,3,0)*VLOOKUP('Données projet'!$B$10,Paramètres!$A$1:$I$89,5,0)</f>
        <v>231.06064799999993</v>
      </c>
      <c r="AK76" s="14">
        <f t="shared" si="89"/>
        <v>56.511956980324314</v>
      </c>
      <c r="AL76" s="22">
        <f t="shared" si="58"/>
        <v>500.85562034073132</v>
      </c>
      <c r="AM76" s="62">
        <f t="shared" si="59"/>
        <v>794.18895367406458</v>
      </c>
      <c r="AN76" s="62">
        <f ca="1">AVERAGE(OFFSET($AM$3,0,0,'Données projet'!$E$10+1,1))-AVERAGE(OFFSET($H$3,0,0,'Données projet'!$E$10+1,1))</f>
        <v>344.45199703750711</v>
      </c>
      <c r="AO76" s="62">
        <f t="shared" si="90"/>
        <v>376.41441893222185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7.6</v>
      </c>
      <c r="BD76" s="13">
        <f>IF('Données projet'!$A$88&gt;35,BD75+BC76-BL75,IF(A76&lt;'Données projet'!$A$88,$BA$205^A76,IF(A76='Données projet'!$A$88,'Données projet'!$B$88,BD75+BC76-BL75)))</f>
        <v>296.7999999999999</v>
      </c>
      <c r="BE76" s="14">
        <f>BD76*VLOOKUP('Données projet'!$B$11,Paramètres!$A$1:$I$89,3,0)*VLOOKUP('Données projet'!$B$11,Paramètres!$A$1:$I$89,5,0)</f>
        <v>300.95519999999988</v>
      </c>
      <c r="BF76" s="14">
        <f t="shared" si="91"/>
        <v>71.376673021759785</v>
      </c>
      <c r="BG76" s="22">
        <f t="shared" si="61"/>
        <v>648.47801217956464</v>
      </c>
      <c r="BH76" s="62">
        <f t="shared" si="62"/>
        <v>941.81134551289801</v>
      </c>
      <c r="BI76" s="62">
        <f ca="1">AVERAGE(OFFSET($BH$3,0,0,'Données projet'!$E$11+1,1))-AVERAGE(OFFSET($H$3,0,0,'Données projet'!$E$11+1,1))</f>
        <v>569.39473185784823</v>
      </c>
      <c r="BJ76" s="62">
        <f t="shared" si="92"/>
        <v>367.42881145517066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9.4</v>
      </c>
      <c r="BY76" s="13">
        <f>IF('Données projet'!$A$114&gt;35,BY75+BX76-CG75,IF(A76&lt;'Données projet'!$A$114,$BV$205^A76,IF(A76='Données projet'!$A$114,'Données projet'!$B$114,BY75+BX76-CG75)))</f>
        <v>316.19999999999987</v>
      </c>
      <c r="BZ76" s="14">
        <f>BY76*VLOOKUP('Données projet'!$B$12,Paramètres!$A$1:$I$89,3,0)*VLOOKUP('Données projet'!$B$12,Paramètres!$A$1:$I$89,5,0)</f>
        <v>271.29959999999994</v>
      </c>
      <c r="CA76" s="14">
        <f t="shared" si="93"/>
        <v>65.125000081857877</v>
      </c>
      <c r="CB76" s="22">
        <f t="shared" si="64"/>
        <v>585.93951180923568</v>
      </c>
      <c r="CC76" s="62">
        <f t="shared" si="65"/>
        <v>879.27284514256894</v>
      </c>
      <c r="CD76" s="62">
        <f ca="1">AVERAGE(OFFSET($CC$3,0,0,'Données projet'!$E$12+1,1))-AVERAGE(OFFSET($H$3,0,0,'Données projet'!$E$12+1,1))</f>
        <v>554.06253050955502</v>
      </c>
      <c r="CE76" s="62">
        <f t="shared" si="94"/>
        <v>269.71949336355789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1.1368683772161603E-13</v>
      </c>
      <c r="CU76" s="18">
        <f>CT76*VLOOKUP('Données projet'!$B$13,Paramètres!$A$1:$I$89,3,0)*VLOOKUP('Données projet'!$B$13,Paramètres!$A$1:$I$89,5,0)</f>
        <v>8.8675733422860506E-14</v>
      </c>
      <c r="CV76" s="14">
        <f t="shared" si="95"/>
        <v>1.3509285393066301E-12</v>
      </c>
      <c r="CW76" s="22">
        <f t="shared" si="67"/>
        <v>2.5073107750038623E-12</v>
      </c>
      <c r="CX76" s="62">
        <f t="shared" si="68"/>
        <v>293.33333333333582</v>
      </c>
      <c r="CY76" s="62">
        <f ca="1">AVERAGE(OFFSET($CX$3,0,0,'Données projet'!$E$13+1,1))-AVERAGE(OFFSET($H$3,0,0,'Données projet'!$E$13+1,1))</f>
        <v>292.21364130214391</v>
      </c>
      <c r="CZ76" s="62">
        <f t="shared" si="96"/>
        <v>283.48738729114024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4.8717948717948731</v>
      </c>
      <c r="DO76" s="13">
        <f>IF('Données projet'!$A$166&gt;35,DO75+DN76-DW75,IF(A76&lt;'Données projet'!$A$166,$DL$205^A76,IF(A76='Données projet'!$A$166,'Données projet'!$B$166,DO75+DN76-DW75)))</f>
        <v>234.48717948717953</v>
      </c>
      <c r="DP76" s="18">
        <f>DO76*VLOOKUP('Données projet'!$B$14,Paramètres!$A$1:$I$89,3,0)*VLOOKUP('Données projet'!$B$14,Paramètres!$A$1:$I$89,5,0)</f>
        <v>223.13800000000006</v>
      </c>
      <c r="DQ76" s="14">
        <f t="shared" si="97"/>
        <v>54.796351317280866</v>
      </c>
      <c r="DR76" s="22">
        <f t="shared" si="70"/>
        <v>484.06899521093095</v>
      </c>
      <c r="DS76" s="62">
        <f t="shared" si="71"/>
        <v>777.40232854426426</v>
      </c>
      <c r="DT76" s="62">
        <f ca="1">AVERAGE(OFFSET($DS$3,0,0,'Données projet'!$E$14+1,1))-AVERAGE(OFFSET($H$3,0,0,'Données projet'!$E$14+1,1))</f>
        <v>427.47603885390191</v>
      </c>
      <c r="DU76" s="62">
        <f t="shared" si="98"/>
        <v>350.88664394632116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6.2</v>
      </c>
      <c r="EJ76" s="13">
        <f>IF('Données projet'!$A$192&gt;35,EJ75+EI76-ER75,IF(A76&lt;'Données projet'!$A$192,$EG$205^A76,IF(A76='Données projet'!$A$192,'Données projet'!$B$192,EJ75+EI76-ER75)))</f>
        <v>239.59999999999991</v>
      </c>
      <c r="EK76" s="18">
        <f>EJ76*VLOOKUP('Données projet'!$B$15,Paramètres!$A$1:$I$89,3,0)*VLOOKUP('Données projet'!$B$15,Paramètres!$A$1:$I$89,5,0)</f>
        <v>231.74111999999991</v>
      </c>
      <c r="EL76" s="14">
        <f t="shared" si="99"/>
        <v>56.658986982752438</v>
      </c>
      <c r="EM76" s="22">
        <f t="shared" si="73"/>
        <v>502.29685299496032</v>
      </c>
      <c r="EN76" s="62">
        <f t="shared" si="74"/>
        <v>795.63018632829358</v>
      </c>
      <c r="EO76" s="62">
        <f ca="1">AVERAGE(OFFSET($EN$3,0,0,'Données projet'!$E$15+1,1))-AVERAGE(OFFSET($H$3,0,0,'Données projet'!$E$15+1,1))</f>
        <v>455.50822833641354</v>
      </c>
      <c r="EP76" s="62">
        <f t="shared" si="100"/>
        <v>261.14722581688039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4.4000000000000004</v>
      </c>
      <c r="FE76" s="13">
        <f>IF('Données projet'!$A$218&gt;35,FE75+FD76-FM75,IF(A76&lt;'Données projet'!$A$218,$FB$205^A76,IF(A76='Données projet'!$A$218,'Données projet'!$B$218,FE75+FD76-FM75)))</f>
        <v>232.2</v>
      </c>
      <c r="FF76" s="18">
        <f>FE76*VLOOKUP('Données projet'!$B$16,Paramètres!$A$1:$I$89,3,0)*VLOOKUP('Données projet'!$B$16,Paramètres!$A$1:$I$89,5,0)</f>
        <v>202.84992000000003</v>
      </c>
      <c r="FG76" s="14">
        <f t="shared" si="101"/>
        <v>50.369977187686075</v>
      </c>
      <c r="FH76" s="22">
        <f t="shared" si="76"/>
        <v>441.02465426855332</v>
      </c>
      <c r="FI76" s="62">
        <f t="shared" si="77"/>
        <v>734.35798760188663</v>
      </c>
      <c r="FJ76" s="62">
        <f ca="1">AVERAGE(OFFSET($FI$3,0,0,'Données projet'!$E$16+1,1))-AVERAGE(OFFSET($H$3,0,0,'Données projet'!$E$16+1,1))</f>
        <v>369.34989412920129</v>
      </c>
      <c r="FK76" s="62">
        <f t="shared" si="102"/>
        <v>371.26234252426553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0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>
        <f>FZ76*VLOOKUP('Données projet'!$B$17,Paramètres!$A$1:$I$89,3,0)*VLOOKUP('Données projet'!$B$17,Paramètres!$A$1:$I$89,5,0)</f>
        <v>0</v>
      </c>
      <c r="GB76" s="14" t="e">
        <f t="shared" si="103"/>
        <v>#NUM!</v>
      </c>
      <c r="GC76" s="22" t="e">
        <f t="shared" si="79"/>
        <v>#NUM!</v>
      </c>
      <c r="GD76" s="62" t="e">
        <f t="shared" si="80"/>
        <v>#NUM!</v>
      </c>
      <c r="GE76" s="62">
        <f ca="1">AVERAGE(OFFSET($GD$3,0,0,'Données projet'!$E$17+1,1))-AVERAGE(OFFSET($H$3,0,0,'Données projet'!$E$17+1,1))</f>
        <v>324.4489531703187</v>
      </c>
      <c r="GF76" s="62">
        <f t="shared" si="104"/>
        <v>446.55019360848706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projet'!$B$17,Paramètres!$A$1:$I$89,3,0)*0.475*44/12</f>
        <v>0</v>
      </c>
      <c r="GM76" s="23">
        <f>EXP(-LN(2)/25)*GM75+(1-EXP(-LN(2)/25))/(LN(2)/25)*Calculateur!GH76*Calculateur!GJ76*VLOOKUP('Données projet'!$B$17,Paramètres!$A$1:$I$89,3,0)*0.475*44/12</f>
        <v>0</v>
      </c>
      <c r="GN76" s="23">
        <f>EXP(-LN(2)/2)*GN75+(1-EXP(-LN(2)/2))/(LN(2)/2)*GH76*GK76*VLOOKUP('Données projet'!$B$17,Paramètres!$A$1:$I$89,3,0)*0.475*44/12</f>
        <v>0</v>
      </c>
      <c r="GO76" s="23">
        <f t="shared" si="81"/>
        <v>0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4.6153846153846247</v>
      </c>
      <c r="GU76" s="13">
        <f>IF('Données projet'!$A$270&gt;35,GU75+GT76-HC75,IF(A76&lt;'Données projet'!$A$270,$GR$205^A76,IF(A76='Données projet'!$A$270,'Données projet'!$B$270,GU75+GT76-HC75)))</f>
        <v>251.66666666666671</v>
      </c>
      <c r="GV76" s="18">
        <f>GU76*VLOOKUP('Données projet'!$B$18,Paramètres!$A$1:$I$89,3,0)*VLOOKUP('Données projet'!$B$18,Paramètres!$A$1:$I$89,5,0)</f>
        <v>168.81800000000004</v>
      </c>
      <c r="GW76" s="14">
        <f t="shared" si="105"/>
        <v>42.825187501685285</v>
      </c>
      <c r="GX76" s="22">
        <f t="shared" si="82"/>
        <v>368.61188489876866</v>
      </c>
      <c r="GY76" s="62">
        <f t="shared" si="83"/>
        <v>661.94521823210198</v>
      </c>
      <c r="GZ76" s="62">
        <f ca="1">AVERAGE(OFFSET($GY$3,0,0,'Données projet'!$E$18+1,1))-AVERAGE(OFFSET($H$3,0,0,'Données projet'!$E$18+1,1))</f>
        <v>312.06797204903796</v>
      </c>
      <c r="HA76" s="62">
        <f t="shared" si="106"/>
        <v>258.20189001775151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>
        <f>EXP(-LN(2)/35)*HG75+(1-EXP(-LN(2)/35))/(LN(2)/35)*HC76*HD76*VLOOKUP('Données projet'!$B$18,Paramètres!$A$1:$I$89,3,0)*0.475*44/12</f>
        <v>0</v>
      </c>
      <c r="HH76" s="23">
        <f>EXP(-LN(2)/25)*HH75+(1-EXP(-LN(2)/25))/(LN(2)/25)*Calculateur!HC76*Calculateur!HE76*VLOOKUP('Données projet'!$B$18,Paramètres!$A$1:$I$89,3,0)*0.475*44/12</f>
        <v>0</v>
      </c>
      <c r="HI76" s="23">
        <f>EXP(-LN(2)/2)*HI75+(1-EXP(-LN(2)/2))/(LN(2)/2)*HC76*HF76*VLOOKUP('Données projet'!$B$18,Paramètres!$A$1:$I$89,3,0)*0.475*44/12</f>
        <v>0</v>
      </c>
      <c r="HJ76" s="24">
        <f t="shared" si="84"/>
        <v>0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7.6</v>
      </c>
      <c r="N77" s="14">
        <f>IF('Données projet'!$A$36&gt;35,N76+M77-V76,IF(A77&lt;'Données projet'!$A$36,$K$205^A77,IF(A77='Données projet'!$A$36,'Données projet'!$B$36,N76+M77-V76)))</f>
        <v>304.39999999999992</v>
      </c>
      <c r="O77" s="14">
        <f>N77*VLOOKUP('Données projet'!$B$9,Paramètres!$A$1:$I$89,3,0)*VLOOKUP('Données projet'!$B$9,Paramètres!$A$1:$I$89,5,0)</f>
        <v>275.42111999999992</v>
      </c>
      <c r="P77" s="14">
        <f t="shared" si="87"/>
        <v>65.998433293601067</v>
      </c>
      <c r="Q77" s="22">
        <f t="shared" si="54"/>
        <v>594.63905531968828</v>
      </c>
      <c r="R77" s="62">
        <f t="shared" si="55"/>
        <v>887.97238865302165</v>
      </c>
      <c r="S77" s="62">
        <f ca="1">AVERAGE(OFFSET($R$3,0,0,'Données projet'!$E$9+1,1))-AVERAGE(OFFSET($H$3,0,0,'Données projet'!$E$9+1,1))</f>
        <v>512.84819850818667</v>
      </c>
      <c r="T77" s="62">
        <f t="shared" si="88"/>
        <v>332.61387922152159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4.1799999999999953</v>
      </c>
      <c r="AI77" s="14">
        <f>IF('Données projet'!$A$62&gt;35,AI76+AH77-AQ76,IF(A77&lt;'Données projet'!$A$62,$AF$205^A77,IF(A77='Données projet'!$A$62,'Données projet'!$B$62,AI76+AH77-AQ76)))</f>
        <v>319.31999999999994</v>
      </c>
      <c r="AJ77" s="14">
        <f>AI77*VLOOKUP('Données projet'!$B$10,Paramètres!$A$1:$I$89,3,0)*VLOOKUP('Données projet'!$B$10,Paramètres!$A$1:$I$89,5,0)</f>
        <v>234.12542399999995</v>
      </c>
      <c r="AK77" s="14">
        <f t="shared" si="89"/>
        <v>57.173769626631554</v>
      </c>
      <c r="AL77" s="22">
        <f t="shared" si="58"/>
        <v>507.34609556638321</v>
      </c>
      <c r="AM77" s="62">
        <f t="shared" si="59"/>
        <v>800.67942889971653</v>
      </c>
      <c r="AN77" s="62">
        <f ca="1">AVERAGE(OFFSET($AM$3,0,0,'Données projet'!$E$10+1,1))-AVERAGE(OFFSET($H$3,0,0,'Données projet'!$E$10+1,1))</f>
        <v>344.45199703750711</v>
      </c>
      <c r="AO77" s="62">
        <f t="shared" si="90"/>
        <v>376.41441893222185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7.6</v>
      </c>
      <c r="BD77" s="13">
        <f>IF('Données projet'!$A$88&gt;35,BD76+BC77-BL76,IF(A77&lt;'Données projet'!$A$88,$BA$205^A77,IF(A77='Données projet'!$A$88,'Données projet'!$B$88,BD76+BC77-BL76)))</f>
        <v>304.39999999999992</v>
      </c>
      <c r="BE77" s="14">
        <f>BD77*VLOOKUP('Données projet'!$B$11,Paramètres!$A$1:$I$89,3,0)*VLOOKUP('Données projet'!$B$11,Paramètres!$A$1:$I$89,5,0)</f>
        <v>308.66159999999996</v>
      </c>
      <c r="BF77" s="14">
        <f t="shared" si="91"/>
        <v>72.98924863505313</v>
      </c>
      <c r="BG77" s="22">
        <f t="shared" si="61"/>
        <v>664.70856137271744</v>
      </c>
      <c r="BH77" s="62">
        <f t="shared" si="62"/>
        <v>958.0418947060507</v>
      </c>
      <c r="BI77" s="62">
        <f ca="1">AVERAGE(OFFSET($BH$3,0,0,'Données projet'!$E$11+1,1))-AVERAGE(OFFSET($H$3,0,0,'Données projet'!$E$11+1,1))</f>
        <v>569.39473185784823</v>
      </c>
      <c r="BJ77" s="62">
        <f t="shared" si="92"/>
        <v>367.42881145517066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9.4</v>
      </c>
      <c r="BY77" s="13">
        <f>IF('Données projet'!$A$114&gt;35,BY76+BX77-CG76,IF(A77&lt;'Données projet'!$A$114,$BV$205^A77,IF(A77='Données projet'!$A$114,'Données projet'!$B$114,BY76+BX77-CG76)))</f>
        <v>325.59999999999985</v>
      </c>
      <c r="BZ77" s="14">
        <f>BY77*VLOOKUP('Données projet'!$B$12,Paramètres!$A$1:$I$89,3,0)*VLOOKUP('Données projet'!$B$12,Paramètres!$A$1:$I$89,5,0)</f>
        <v>279.36479999999989</v>
      </c>
      <c r="CA77" s="14">
        <f t="shared" si="93"/>
        <v>66.832755122992182</v>
      </c>
      <c r="CB77" s="22">
        <f t="shared" si="64"/>
        <v>602.96074183921121</v>
      </c>
      <c r="CC77" s="62">
        <f t="shared" si="65"/>
        <v>896.29407517254458</v>
      </c>
      <c r="CD77" s="62">
        <f ca="1">AVERAGE(OFFSET($CC$3,0,0,'Données projet'!$E$12+1,1))-AVERAGE(OFFSET($H$3,0,0,'Données projet'!$E$12+1,1))</f>
        <v>554.06253050955502</v>
      </c>
      <c r="CE77" s="62">
        <f t="shared" si="94"/>
        <v>269.71949336355789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1.1368683772161603E-13</v>
      </c>
      <c r="CU77" s="18">
        <f>CT77*VLOOKUP('Données projet'!$B$13,Paramètres!$A$1:$I$89,3,0)*VLOOKUP('Données projet'!$B$13,Paramètres!$A$1:$I$89,5,0)</f>
        <v>8.8675733422860506E-14</v>
      </c>
      <c r="CV77" s="14">
        <f t="shared" si="95"/>
        <v>1.3509285393066301E-12</v>
      </c>
      <c r="CW77" s="22">
        <f t="shared" si="67"/>
        <v>2.5073107750038623E-12</v>
      </c>
      <c r="CX77" s="62">
        <f t="shared" si="68"/>
        <v>293.33333333333582</v>
      </c>
      <c r="CY77" s="62">
        <f ca="1">AVERAGE(OFFSET($CX$3,0,0,'Données projet'!$E$13+1,1))-AVERAGE(OFFSET($H$3,0,0,'Données projet'!$E$13+1,1))</f>
        <v>292.21364130214391</v>
      </c>
      <c r="CZ77" s="62">
        <f t="shared" si="96"/>
        <v>283.48738729114024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4.8717948717948731</v>
      </c>
      <c r="DO77" s="13">
        <f>IF('Données projet'!$A$166&gt;35,DO76+DN77-DW76,IF(A77&lt;'Données projet'!$A$166,$DL$205^A77,IF(A77='Données projet'!$A$166,'Données projet'!$B$166,DO76+DN77-DW76)))</f>
        <v>239.35897435897439</v>
      </c>
      <c r="DP77" s="18">
        <f>DO77*VLOOKUP('Données projet'!$B$14,Paramètres!$A$1:$I$89,3,0)*VLOOKUP('Données projet'!$B$14,Paramètres!$A$1:$I$89,5,0)</f>
        <v>227.77400000000003</v>
      </c>
      <c r="DQ77" s="14">
        <f t="shared" si="97"/>
        <v>55.801096194172317</v>
      </c>
      <c r="DR77" s="22">
        <f t="shared" si="70"/>
        <v>493.89329253818352</v>
      </c>
      <c r="DS77" s="62">
        <f t="shared" si="71"/>
        <v>787.22662587151683</v>
      </c>
      <c r="DT77" s="62">
        <f ca="1">AVERAGE(OFFSET($DS$3,0,0,'Données projet'!$E$14+1,1))-AVERAGE(OFFSET($H$3,0,0,'Données projet'!$E$14+1,1))</f>
        <v>427.47603885390191</v>
      </c>
      <c r="DU77" s="62">
        <f t="shared" si="98"/>
        <v>350.88664394632116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6.2</v>
      </c>
      <c r="EJ77" s="13">
        <f>IF('Données projet'!$A$192&gt;35,EJ76+EI77-ER76,IF(A77&lt;'Données projet'!$A$192,$EG$205^A77,IF(A77='Données projet'!$A$192,'Données projet'!$B$192,EJ76+EI77-ER76)))</f>
        <v>245.7999999999999</v>
      </c>
      <c r="EK77" s="18">
        <f>EJ77*VLOOKUP('Données projet'!$B$15,Paramètres!$A$1:$I$89,3,0)*VLOOKUP('Données projet'!$B$15,Paramètres!$A$1:$I$89,5,0)</f>
        <v>237.73775999999989</v>
      </c>
      <c r="EL77" s="14">
        <f t="shared" si="99"/>
        <v>57.952530566790166</v>
      </c>
      <c r="EM77" s="22">
        <f t="shared" si="73"/>
        <v>514.99392273715932</v>
      </c>
      <c r="EN77" s="62">
        <f t="shared" si="74"/>
        <v>808.32725607049269</v>
      </c>
      <c r="EO77" s="62">
        <f ca="1">AVERAGE(OFFSET($EN$3,0,0,'Données projet'!$E$15+1,1))-AVERAGE(OFFSET($H$3,0,0,'Données projet'!$E$15+1,1))</f>
        <v>455.50822833641354</v>
      </c>
      <c r="EP77" s="62">
        <f t="shared" si="100"/>
        <v>261.14722581688039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4.4000000000000004</v>
      </c>
      <c r="FE77" s="13">
        <f>IF('Données projet'!$A$218&gt;35,FE76+FD77-FM76,IF(A77&lt;'Données projet'!$A$218,$FB$205^A77,IF(A77='Données projet'!$A$218,'Données projet'!$B$218,FE76+FD77-FM76)))</f>
        <v>236.6</v>
      </c>
      <c r="FF77" s="18">
        <f>FE77*VLOOKUP('Données projet'!$B$16,Paramètres!$A$1:$I$89,3,0)*VLOOKUP('Données projet'!$B$16,Paramètres!$A$1:$I$89,5,0)</f>
        <v>206.69376000000003</v>
      </c>
      <c r="FG77" s="14">
        <f t="shared" si="101"/>
        <v>51.212423138937325</v>
      </c>
      <c r="FH77" s="22">
        <f t="shared" si="76"/>
        <v>449.18660230031583</v>
      </c>
      <c r="FI77" s="62">
        <f t="shared" si="77"/>
        <v>742.51993563364908</v>
      </c>
      <c r="FJ77" s="62">
        <f ca="1">AVERAGE(OFFSET($FI$3,0,0,'Données projet'!$E$16+1,1))-AVERAGE(OFFSET($H$3,0,0,'Données projet'!$E$16+1,1))</f>
        <v>369.34989412920129</v>
      </c>
      <c r="FK77" s="62">
        <f t="shared" si="102"/>
        <v>371.26234252426553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0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>
        <f>FZ77*VLOOKUP('Données projet'!$B$17,Paramètres!$A$1:$I$89,3,0)*VLOOKUP('Données projet'!$B$17,Paramètres!$A$1:$I$89,5,0)</f>
        <v>0</v>
      </c>
      <c r="GB77" s="14" t="e">
        <f t="shared" si="103"/>
        <v>#NUM!</v>
      </c>
      <c r="GC77" s="22" t="e">
        <f t="shared" si="79"/>
        <v>#NUM!</v>
      </c>
      <c r="GD77" s="62" t="e">
        <f t="shared" si="80"/>
        <v>#NUM!</v>
      </c>
      <c r="GE77" s="62">
        <f ca="1">AVERAGE(OFFSET($GD$3,0,0,'Données projet'!$E$17+1,1))-AVERAGE(OFFSET($H$3,0,0,'Données projet'!$E$17+1,1))</f>
        <v>324.4489531703187</v>
      </c>
      <c r="GF77" s="62">
        <f t="shared" si="104"/>
        <v>446.55019360848706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projet'!$B$17,Paramètres!$A$1:$I$89,3,0)*0.475*44/12</f>
        <v>0</v>
      </c>
      <c r="GM77" s="23">
        <f>EXP(-LN(2)/25)*GM76+(1-EXP(-LN(2)/25))/(LN(2)/25)*Calculateur!GH77*Calculateur!GJ77*VLOOKUP('Données projet'!$B$17,Paramètres!$A$1:$I$89,3,0)*0.475*44/12</f>
        <v>0</v>
      </c>
      <c r="GN77" s="23">
        <f>EXP(-LN(2)/2)*GN76+(1-EXP(-LN(2)/2))/(LN(2)/2)*GH77*GK77*VLOOKUP('Données projet'!$B$17,Paramètres!$A$1:$I$89,3,0)*0.475*44/12</f>
        <v>0</v>
      </c>
      <c r="GO77" s="23">
        <f t="shared" si="81"/>
        <v>0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4.6153846153846247</v>
      </c>
      <c r="GU77" s="13">
        <f>IF('Données projet'!$A$270&gt;35,GU76+GT77-HC76,IF(A77&lt;'Données projet'!$A$270,$GR$205^A77,IF(A77='Données projet'!$A$270,'Données projet'!$B$270,GU76+GT77-HC76)))</f>
        <v>256.28205128205133</v>
      </c>
      <c r="GV77" s="18">
        <f>GU77*VLOOKUP('Données projet'!$B$18,Paramètres!$A$1:$I$89,3,0)*VLOOKUP('Données projet'!$B$18,Paramètres!$A$1:$I$89,5,0)</f>
        <v>171.91400000000002</v>
      </c>
      <c r="GW77" s="14">
        <f t="shared" si="105"/>
        <v>43.518416191440224</v>
      </c>
      <c r="GX77" s="22">
        <f t="shared" si="82"/>
        <v>375.21145820009173</v>
      </c>
      <c r="GY77" s="62">
        <f t="shared" si="83"/>
        <v>668.54479153342504</v>
      </c>
      <c r="GZ77" s="62">
        <f ca="1">AVERAGE(OFFSET($GY$3,0,0,'Données projet'!$E$18+1,1))-AVERAGE(OFFSET($H$3,0,0,'Données projet'!$E$18+1,1))</f>
        <v>312.06797204903796</v>
      </c>
      <c r="HA77" s="62">
        <f t="shared" si="106"/>
        <v>258.20189001775151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>
        <f>EXP(-LN(2)/35)*HG76+(1-EXP(-LN(2)/35))/(LN(2)/35)*HC77*HD77*VLOOKUP('Données projet'!$B$18,Paramètres!$A$1:$I$89,3,0)*0.475*44/12</f>
        <v>0</v>
      </c>
      <c r="HH77" s="23">
        <f>EXP(-LN(2)/25)*HH76+(1-EXP(-LN(2)/25))/(LN(2)/25)*Calculateur!HC77*Calculateur!HE77*VLOOKUP('Données projet'!$B$18,Paramètres!$A$1:$I$89,3,0)*0.475*44/12</f>
        <v>0</v>
      </c>
      <c r="HI77" s="23">
        <f>EXP(-LN(2)/2)*HI76+(1-EXP(-LN(2)/2))/(LN(2)/2)*HC77*HF77*VLOOKUP('Données projet'!$B$18,Paramètres!$A$1:$I$89,3,0)*0.475*44/12</f>
        <v>0</v>
      </c>
      <c r="HJ77" s="24">
        <f t="shared" si="84"/>
        <v>0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312</v>
      </c>
      <c r="L78" s="13">
        <f>VLOOKUP(A78,'Données projet'!$A$35:$I$55,9,0)</f>
        <v>7.6</v>
      </c>
      <c r="M78" s="13">
        <f t="array" ref="M78">INDEX(L:L,MIN(IF(ISNUMBER(L78:L274),ROW(L78:L274),"")))</f>
        <v>7.6</v>
      </c>
      <c r="N78" s="14">
        <f>IF('Données projet'!$A$36&gt;35,N77+M78-V77,IF(A78&lt;'Données projet'!$A$36,$K$205^A78,IF(A78='Données projet'!$A$36,'Données projet'!$B$36,N77+M78-V77)))</f>
        <v>311.99999999999994</v>
      </c>
      <c r="O78" s="14">
        <f>N78*VLOOKUP('Données projet'!$B$9,Paramètres!$A$1:$I$89,3,0)*VLOOKUP('Données projet'!$B$9,Paramètres!$A$1:$I$89,5,0)</f>
        <v>282.29759999999993</v>
      </c>
      <c r="P78" s="14">
        <f t="shared" si="87"/>
        <v>67.452326629470178</v>
      </c>
      <c r="Q78" s="22">
        <f t="shared" si="54"/>
        <v>609.14778887966042</v>
      </c>
      <c r="R78" s="62">
        <f t="shared" si="55"/>
        <v>902.4811222129938</v>
      </c>
      <c r="S78" s="62">
        <f ca="1">AVERAGE(OFFSET($R$3,0,0,'Données projet'!$E$9+1,1))-AVERAGE(OFFSET($H$3,0,0,'Données projet'!$E$9+1,1))</f>
        <v>512.84819850818667</v>
      </c>
      <c r="T78" s="62">
        <f t="shared" si="88"/>
        <v>332.61387922152159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323.5</v>
      </c>
      <c r="AG78" s="13">
        <f>VLOOKUP(A78,'Données projet'!$A$61:$I$81,9,0)</f>
        <v>4.1799999999999953</v>
      </c>
      <c r="AH78" s="13">
        <f t="array" ref="AH78">INDEX(AG:AG,MIN(IF(ISNUMBER(AG78:AG274),ROW(AG78:AG274),"")))</f>
        <v>4.1799999999999953</v>
      </c>
      <c r="AI78" s="14">
        <f>IF('Données projet'!$A$62&gt;35,AI77+AH78-AQ77,IF(A78&lt;'Données projet'!$A$62,$AF$205^A78,IF(A78='Données projet'!$A$62,'Données projet'!$B$62,AI77+AH78-AQ77)))</f>
        <v>323.49999999999994</v>
      </c>
      <c r="AJ78" s="14">
        <f>AI78*VLOOKUP('Données projet'!$B$10,Paramètres!$A$1:$I$89,3,0)*VLOOKUP('Données projet'!$B$10,Paramètres!$A$1:$I$89,5,0)</f>
        <v>237.19019999999995</v>
      </c>
      <c r="AK78" s="14">
        <f t="shared" si="89"/>
        <v>57.834574597922789</v>
      </c>
      <c r="AL78" s="22">
        <f t="shared" si="58"/>
        <v>513.83481575804865</v>
      </c>
      <c r="AM78" s="62">
        <f t="shared" si="59"/>
        <v>807.16814909138202</v>
      </c>
      <c r="AN78" s="62">
        <f ca="1">AVERAGE(OFFSET($AM$3,0,0,'Données projet'!$E$10+1,1))-AVERAGE(OFFSET($H$3,0,0,'Données projet'!$E$10+1,1))</f>
        <v>344.45199703750711</v>
      </c>
      <c r="AO78" s="62">
        <f t="shared" si="90"/>
        <v>376.41441893222185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312</v>
      </c>
      <c r="BB78" s="13">
        <f>VLOOKUP(A78,'Données projet'!$A$87:$I$107,9,0)</f>
        <v>7.6</v>
      </c>
      <c r="BC78" s="13">
        <f t="array" ref="BC78">INDEX(BB:BB,MIN(IF(ISNUMBER(BB78:BB274),ROW(BB78:BB274),"")))</f>
        <v>7.6</v>
      </c>
      <c r="BD78" s="13">
        <f>IF('Données projet'!$A$88&gt;35,BD77+BC78-BL77,IF(A78&lt;'Données projet'!$A$88,$BA$205^A78,IF(A78='Données projet'!$A$88,'Données projet'!$B$88,BD77+BC78-BL77)))</f>
        <v>311.99999999999994</v>
      </c>
      <c r="BE78" s="14">
        <f>BD78*VLOOKUP('Données projet'!$B$11,Paramètres!$A$1:$I$89,3,0)*VLOOKUP('Données projet'!$B$11,Paramètres!$A$1:$I$89,5,0)</f>
        <v>316.36799999999999</v>
      </c>
      <c r="BF78" s="14">
        <f t="shared" si="91"/>
        <v>74.597144109003438</v>
      </c>
      <c r="BG78" s="22">
        <f t="shared" si="61"/>
        <v>680.9309593231809</v>
      </c>
      <c r="BH78" s="62">
        <f t="shared" si="62"/>
        <v>974.26429265651427</v>
      </c>
      <c r="BI78" s="62">
        <f ca="1">AVERAGE(OFFSET($BH$3,0,0,'Données projet'!$E$11+1,1))-AVERAGE(OFFSET($H$3,0,0,'Données projet'!$E$11+1,1))</f>
        <v>569.39473185784823</v>
      </c>
      <c r="BJ78" s="62">
        <f t="shared" si="92"/>
        <v>367.42881145517066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335</v>
      </c>
      <c r="BW78" s="13">
        <f>VLOOKUP(A78,'Données projet'!$A$113:$I$133,9,0)</f>
        <v>9.4</v>
      </c>
      <c r="BX78" s="13">
        <f t="array" ref="BX78">INDEX(BW:BW,MIN(IF(ISNUMBER(BW78:BW274),ROW(BW78:BW274),"")))</f>
        <v>9.4</v>
      </c>
      <c r="BY78" s="13">
        <f>IF('Données projet'!$A$114&gt;35,BY77+BX78-CG77,IF(A78&lt;'Données projet'!$A$114,$BV$205^A78,IF(A78='Données projet'!$A$114,'Données projet'!$B$114,BY77+BX78-CG77)))</f>
        <v>334.99999999999983</v>
      </c>
      <c r="BZ78" s="14">
        <f>BY78*VLOOKUP('Données projet'!$B$12,Paramètres!$A$1:$I$89,3,0)*VLOOKUP('Données projet'!$B$12,Paramètres!$A$1:$I$89,5,0)</f>
        <v>287.42999999999989</v>
      </c>
      <c r="CA78" s="14">
        <f t="shared" si="93"/>
        <v>68.534780142555746</v>
      </c>
      <c r="CB78" s="22">
        <f t="shared" si="64"/>
        <v>619.97199208161771</v>
      </c>
      <c r="CC78" s="62">
        <f t="shared" si="65"/>
        <v>913.30532541495108</v>
      </c>
      <c r="CD78" s="62">
        <f ca="1">AVERAGE(OFFSET($CC$3,0,0,'Données projet'!$E$12+1,1))-AVERAGE(OFFSET($H$3,0,0,'Données projet'!$E$12+1,1))</f>
        <v>554.06253050955502</v>
      </c>
      <c r="CE78" s="62">
        <f t="shared" si="94"/>
        <v>269.71949336355789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1.1368683772161603E-13</v>
      </c>
      <c r="CU78" s="18">
        <f>CT78*VLOOKUP('Données projet'!$B$13,Paramètres!$A$1:$I$89,3,0)*VLOOKUP('Données projet'!$B$13,Paramètres!$A$1:$I$89,5,0)</f>
        <v>8.8675733422860506E-14</v>
      </c>
      <c r="CV78" s="14">
        <f t="shared" si="95"/>
        <v>1.3509285393066301E-12</v>
      </c>
      <c r="CW78" s="22">
        <f t="shared" si="67"/>
        <v>2.5073107750038623E-12</v>
      </c>
      <c r="CX78" s="62">
        <f t="shared" si="68"/>
        <v>293.33333333333582</v>
      </c>
      <c r="CY78" s="62">
        <f ca="1">AVERAGE(OFFSET($CX$3,0,0,'Données projet'!$E$13+1,1))-AVERAGE(OFFSET($H$3,0,0,'Données projet'!$E$13+1,1))</f>
        <v>292.21364130214391</v>
      </c>
      <c r="CZ78" s="62">
        <f t="shared" si="96"/>
        <v>283.48738729114024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244.23076923076923</v>
      </c>
      <c r="DM78" s="13">
        <f>VLOOKUP(A78,'Données projet'!$A$165:$I$185,9,0)</f>
        <v>4.8717948717948731</v>
      </c>
      <c r="DN78" s="13">
        <f t="array" ref="DN78">INDEX(DM:DM,MIN(IF(ISNUMBER(DM78:DM274),ROW(DM78:DM274),"")))</f>
        <v>4.8717948717948731</v>
      </c>
      <c r="DO78" s="13">
        <f>IF('Données projet'!$A$166&gt;35,DO77+DN78-DW77,IF(A78&lt;'Données projet'!$A$166,$DL$205^A78,IF(A78='Données projet'!$A$166,'Données projet'!$B$166,DO77+DN78-DW77)))</f>
        <v>244.23076923076925</v>
      </c>
      <c r="DP78" s="18">
        <f>DO78*VLOOKUP('Données projet'!$B$14,Paramètres!$A$1:$I$89,3,0)*VLOOKUP('Données projet'!$B$14,Paramètres!$A$1:$I$89,5,0)</f>
        <v>232.41000000000005</v>
      </c>
      <c r="DQ78" s="14">
        <f t="shared" si="97"/>
        <v>56.803463325366828</v>
      </c>
      <c r="DR78" s="22">
        <f t="shared" si="70"/>
        <v>503.713448625014</v>
      </c>
      <c r="DS78" s="62">
        <f t="shared" si="71"/>
        <v>797.04678195834731</v>
      </c>
      <c r="DT78" s="62">
        <f ca="1">AVERAGE(OFFSET($DS$3,0,0,'Données projet'!$E$14+1,1))-AVERAGE(OFFSET($H$3,0,0,'Données projet'!$E$14+1,1))</f>
        <v>427.47603885390191</v>
      </c>
      <c r="DU78" s="62">
        <f t="shared" si="98"/>
        <v>350.88664394632116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252</v>
      </c>
      <c r="EH78" s="13">
        <f>VLOOKUP(A78,'Données projet'!$A$191:$I$211,9,0)</f>
        <v>6.2</v>
      </c>
      <c r="EI78" s="13">
        <f t="array" ref="EI78">INDEX(EH:EH,MIN(IF(ISNUMBER(EH78:EH274),ROW(EH78:EH274),"")))</f>
        <v>6.2</v>
      </c>
      <c r="EJ78" s="13">
        <f>IF('Données projet'!$A$192&gt;35,EJ77+EI78-ER77,IF(A78&lt;'Données projet'!$A$192,$EG$205^A78,IF(A78='Données projet'!$A$192,'Données projet'!$B$192,EJ77+EI78-ER77)))</f>
        <v>251.99999999999989</v>
      </c>
      <c r="EK78" s="18">
        <f>EJ78*VLOOKUP('Données projet'!$B$15,Paramètres!$A$1:$I$89,3,0)*VLOOKUP('Données projet'!$B$15,Paramètres!$A$1:$I$89,5,0)</f>
        <v>243.73439999999988</v>
      </c>
      <c r="EL78" s="14">
        <f t="shared" si="99"/>
        <v>59.242281392848767</v>
      </c>
      <c r="EM78" s="22">
        <f t="shared" si="73"/>
        <v>527.68438675921141</v>
      </c>
      <c r="EN78" s="62">
        <f t="shared" si="74"/>
        <v>821.01772009254478</v>
      </c>
      <c r="EO78" s="62">
        <f ca="1">AVERAGE(OFFSET($EN$3,0,0,'Données projet'!$E$15+1,1))-AVERAGE(OFFSET($H$3,0,0,'Données projet'!$E$15+1,1))</f>
        <v>455.50822833641354</v>
      </c>
      <c r="EP78" s="62">
        <f t="shared" si="100"/>
        <v>261.14722581688039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>
        <f>VLOOKUP(A78,'Données projet'!$A$217:$I$237,2,0)</f>
        <v>241</v>
      </c>
      <c r="FC78" s="13">
        <f>VLOOKUP(A78,'Données projet'!$A$217:$I$237,9,0)</f>
        <v>4.4000000000000004</v>
      </c>
      <c r="FD78" s="13">
        <f t="array" ref="FD78">INDEX(FC:FC,MIN(IF(ISNUMBER(FC78:FC274),ROW(FC78:FC274),"")))</f>
        <v>4.4000000000000004</v>
      </c>
      <c r="FE78" s="13">
        <f>IF('Données projet'!$A$218&gt;35,FE77+FD78-FM77,IF(A78&lt;'Données projet'!$A$218,$FB$205^A78,IF(A78='Données projet'!$A$218,'Données projet'!$B$218,FE77+FD78-FM77)))</f>
        <v>241</v>
      </c>
      <c r="FF78" s="18">
        <f>FE78*VLOOKUP('Données projet'!$B$16,Paramètres!$A$1:$I$89,3,0)*VLOOKUP('Données projet'!$B$16,Paramètres!$A$1:$I$89,5,0)</f>
        <v>210.53760000000003</v>
      </c>
      <c r="FG78" s="14">
        <f t="shared" si="101"/>
        <v>52.053047337322276</v>
      </c>
      <c r="FH78" s="22">
        <f t="shared" si="76"/>
        <v>457.34537744583628</v>
      </c>
      <c r="FI78" s="62">
        <f t="shared" si="77"/>
        <v>750.67871077916959</v>
      </c>
      <c r="FJ78" s="62">
        <f ca="1">AVERAGE(OFFSET($FI$3,0,0,'Données projet'!$E$16+1,1))-AVERAGE(OFFSET($H$3,0,0,'Données projet'!$E$16+1,1))</f>
        <v>369.34989412920129</v>
      </c>
      <c r="FK78" s="62">
        <f t="shared" si="102"/>
        <v>371.26234252426553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0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>
        <f>FZ78*VLOOKUP('Données projet'!$B$17,Paramètres!$A$1:$I$89,3,0)*VLOOKUP('Données projet'!$B$17,Paramètres!$A$1:$I$89,5,0)</f>
        <v>0</v>
      </c>
      <c r="GB78" s="14" t="e">
        <f t="shared" si="103"/>
        <v>#NUM!</v>
      </c>
      <c r="GC78" s="22" t="e">
        <f t="shared" si="79"/>
        <v>#NUM!</v>
      </c>
      <c r="GD78" s="62" t="e">
        <f t="shared" si="80"/>
        <v>#NUM!</v>
      </c>
      <c r="GE78" s="62">
        <f ca="1">AVERAGE(OFFSET($GD$3,0,0,'Données projet'!$E$17+1,1))-AVERAGE(OFFSET($H$3,0,0,'Données projet'!$E$17+1,1))</f>
        <v>324.4489531703187</v>
      </c>
      <c r="GF78" s="62">
        <f t="shared" si="104"/>
        <v>446.55019360848706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projet'!$B$17,Paramètres!$A$1:$I$89,3,0)*0.475*44/12</f>
        <v>0</v>
      </c>
      <c r="GM78" s="23">
        <f>EXP(-LN(2)/25)*GM77+(1-EXP(-LN(2)/25))/(LN(2)/25)*Calculateur!GH78*Calculateur!GJ78*VLOOKUP('Données projet'!$B$17,Paramètres!$A$1:$I$89,3,0)*0.475*44/12</f>
        <v>0</v>
      </c>
      <c r="GN78" s="23">
        <f>EXP(-LN(2)/2)*GN77+(1-EXP(-LN(2)/2))/(LN(2)/2)*GH78*GK78*VLOOKUP('Données projet'!$B$17,Paramètres!$A$1:$I$89,3,0)*0.475*44/12</f>
        <v>0</v>
      </c>
      <c r="GO78" s="23">
        <f t="shared" si="81"/>
        <v>0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>
        <f>VLOOKUP(A78,'Données projet'!$A$269:$I$289,2,0)</f>
        <v>260.89743589743591</v>
      </c>
      <c r="GS78" s="13">
        <f>VLOOKUP(A78,'Données projet'!$A$269:$I$289,9,0)</f>
        <v>4.6153846153846247</v>
      </c>
      <c r="GT78" s="13">
        <f t="array" ref="GT78">INDEX(GS:GS,MIN(IF(ISNUMBER(GS78:GS274),ROW(GS78:GS274),"")))</f>
        <v>4.6153846153846247</v>
      </c>
      <c r="GU78" s="13">
        <f>IF('Données projet'!$A$270&gt;35,GU77+GT78-HC77,IF(A78&lt;'Données projet'!$A$270,$GR$205^A78,IF(A78='Données projet'!$A$270,'Données projet'!$B$270,GU77+GT78-HC77)))</f>
        <v>260.89743589743597</v>
      </c>
      <c r="GV78" s="18">
        <f>GU78*VLOOKUP('Données projet'!$B$18,Paramètres!$A$1:$I$89,3,0)*VLOOKUP('Données projet'!$B$18,Paramètres!$A$1:$I$89,5,0)</f>
        <v>175.01000000000005</v>
      </c>
      <c r="GW78" s="14">
        <f t="shared" si="105"/>
        <v>44.210193140944192</v>
      </c>
      <c r="GX78" s="22">
        <f t="shared" si="82"/>
        <v>381.80850305381119</v>
      </c>
      <c r="GY78" s="62">
        <f t="shared" si="83"/>
        <v>675.14183638714451</v>
      </c>
      <c r="GZ78" s="62">
        <f ca="1">AVERAGE(OFFSET($GY$3,0,0,'Données projet'!$E$18+1,1))-AVERAGE(OFFSET($H$3,0,0,'Données projet'!$E$18+1,1))</f>
        <v>312.06797204903796</v>
      </c>
      <c r="HA78" s="62">
        <f t="shared" si="106"/>
        <v>258.20189001775151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>
        <f>EXP(-LN(2)/35)*HG77+(1-EXP(-LN(2)/35))/(LN(2)/35)*HC78*HD78*VLOOKUP('Données projet'!$B$18,Paramètres!$A$1:$I$89,3,0)*0.475*44/12</f>
        <v>0</v>
      </c>
      <c r="HH78" s="23">
        <f>EXP(-LN(2)/25)*HH77+(1-EXP(-LN(2)/25))/(LN(2)/25)*Calculateur!HC78*Calculateur!HE78*VLOOKUP('Données projet'!$B$18,Paramètres!$A$1:$I$89,3,0)*0.475*44/12</f>
        <v>0</v>
      </c>
      <c r="HI78" s="23">
        <f>EXP(-LN(2)/2)*HI77+(1-EXP(-LN(2)/2))/(LN(2)/2)*HC78*HF78*VLOOKUP('Données projet'!$B$18,Paramètres!$A$1:$I$89,3,0)*0.475*44/12</f>
        <v>0</v>
      </c>
      <c r="HJ78" s="24">
        <f t="shared" si="84"/>
        <v>0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7.2</v>
      </c>
      <c r="N79" s="14">
        <f>IF('Données projet'!$A$36&gt;35,N78+M79-V78,IF(A79&lt;'Données projet'!$A$36,$K$205^A79,IF(A79='Données projet'!$A$36,'Données projet'!$B$36,N78+M79-V78)))</f>
        <v>319.19999999999993</v>
      </c>
      <c r="O79" s="14">
        <f>N79*VLOOKUP('Données projet'!$B$9,Paramètres!$A$1:$I$89,3,0)*VLOOKUP('Données projet'!$B$9,Paramètres!$A$1:$I$89,5,0)</f>
        <v>288.81215999999989</v>
      </c>
      <c r="P79" s="14">
        <f t="shared" si="87"/>
        <v>68.825899854238102</v>
      </c>
      <c r="Q79" s="22">
        <f t="shared" si="54"/>
        <v>622.88628757946447</v>
      </c>
      <c r="R79" s="62">
        <f t="shared" si="55"/>
        <v>916.21962091279784</v>
      </c>
      <c r="S79" s="62">
        <f ca="1">AVERAGE(OFFSET($R$3,0,0,'Données projet'!$E$9+1,1))-AVERAGE(OFFSET($H$3,0,0,'Données projet'!$E$9+1,1))</f>
        <v>512.84819850818667</v>
      </c>
      <c r="T79" s="62">
        <f t="shared" si="88"/>
        <v>332.61387922152159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3.5600000000000023</v>
      </c>
      <c r="AI79" s="14">
        <f>IF('Données projet'!$A$62&gt;35,AI78+AH79-AQ78,IF(A79&lt;'Données projet'!$A$62,$AF$205^A79,IF(A79='Données projet'!$A$62,'Données projet'!$B$62,AI78+AH79-AQ78)))</f>
        <v>327.05999999999995</v>
      </c>
      <c r="AJ79" s="14">
        <f>AI79*VLOOKUP('Données projet'!$B$10,Paramètres!$A$1:$I$89,3,0)*VLOOKUP('Données projet'!$B$10,Paramètres!$A$1:$I$89,5,0)</f>
        <v>239.80039199999996</v>
      </c>
      <c r="AK79" s="14">
        <f t="shared" si="89"/>
        <v>58.396581769172833</v>
      </c>
      <c r="AL79" s="22">
        <f t="shared" si="58"/>
        <v>519.35972931464255</v>
      </c>
      <c r="AM79" s="62">
        <f t="shared" si="59"/>
        <v>812.69306264797592</v>
      </c>
      <c r="AN79" s="62">
        <f ca="1">AVERAGE(OFFSET($AM$3,0,0,'Données projet'!$E$10+1,1))-AVERAGE(OFFSET($H$3,0,0,'Données projet'!$E$10+1,1))</f>
        <v>344.45199703750711</v>
      </c>
      <c r="AO79" s="62">
        <f t="shared" si="90"/>
        <v>376.41441893222185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7.2</v>
      </c>
      <c r="BD79" s="13">
        <f>IF('Données projet'!$A$88&gt;35,BD78+BC79-BL78,IF(A79&lt;'Données projet'!$A$88,$BA$205^A79,IF(A79='Données projet'!$A$88,'Données projet'!$B$88,BD78+BC79-BL78)))</f>
        <v>319.19999999999993</v>
      </c>
      <c r="BE79" s="14">
        <f>BD79*VLOOKUP('Données projet'!$B$11,Paramètres!$A$1:$I$89,3,0)*VLOOKUP('Données projet'!$B$11,Paramètres!$A$1:$I$89,5,0)</f>
        <v>323.66879999999998</v>
      </c>
      <c r="BF79" s="14">
        <f t="shared" si="91"/>
        <v>76.11621164769852</v>
      </c>
      <c r="BG79" s="22">
        <f t="shared" si="61"/>
        <v>696.29222861974165</v>
      </c>
      <c r="BH79" s="62">
        <f t="shared" si="62"/>
        <v>989.62556195307502</v>
      </c>
      <c r="BI79" s="62">
        <f ca="1">AVERAGE(OFFSET($BH$3,0,0,'Données projet'!$E$11+1,1))-AVERAGE(OFFSET($H$3,0,0,'Données projet'!$E$11+1,1))</f>
        <v>569.39473185784823</v>
      </c>
      <c r="BJ79" s="62">
        <f t="shared" si="92"/>
        <v>367.42881145517066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8.8000000000000007</v>
      </c>
      <c r="BY79" s="13">
        <f>IF('Données projet'!$A$114&gt;35,BY78+BX79-CG78,IF(A79&lt;'Données projet'!$A$114,$BV$205^A79,IF(A79='Données projet'!$A$114,'Données projet'!$B$114,BY78+BX79-CG78)))</f>
        <v>343.79999999999984</v>
      </c>
      <c r="BZ79" s="14">
        <f>BY79*VLOOKUP('Données projet'!$B$12,Paramètres!$A$1:$I$89,3,0)*VLOOKUP('Données projet'!$B$12,Paramètres!$A$1:$I$89,5,0)</f>
        <v>294.98039999999986</v>
      </c>
      <c r="CA79" s="14">
        <f t="shared" si="93"/>
        <v>70.123131339900866</v>
      </c>
      <c r="CB79" s="22">
        <f t="shared" si="64"/>
        <v>635.88865041699376</v>
      </c>
      <c r="CC79" s="62">
        <f t="shared" si="65"/>
        <v>929.22198375032713</v>
      </c>
      <c r="CD79" s="62">
        <f ca="1">AVERAGE(OFFSET($CC$3,0,0,'Données projet'!$E$12+1,1))-AVERAGE(OFFSET($H$3,0,0,'Données projet'!$E$12+1,1))</f>
        <v>554.06253050955502</v>
      </c>
      <c r="CE79" s="62">
        <f t="shared" si="94"/>
        <v>269.71949336355789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1.1368683772161603E-13</v>
      </c>
      <c r="CU79" s="18">
        <f>CT79*VLOOKUP('Données projet'!$B$13,Paramètres!$A$1:$I$89,3,0)*VLOOKUP('Données projet'!$B$13,Paramètres!$A$1:$I$89,5,0)</f>
        <v>8.8675733422860506E-14</v>
      </c>
      <c r="CV79" s="14">
        <f t="shared" si="95"/>
        <v>1.3509285393066301E-12</v>
      </c>
      <c r="CW79" s="22">
        <f t="shared" si="67"/>
        <v>2.5073107750038623E-12</v>
      </c>
      <c r="CX79" s="62">
        <f t="shared" si="68"/>
        <v>293.33333333333582</v>
      </c>
      <c r="CY79" s="62">
        <f ca="1">AVERAGE(OFFSET($CX$3,0,0,'Données projet'!$E$13+1,1))-AVERAGE(OFFSET($H$3,0,0,'Données projet'!$E$13+1,1))</f>
        <v>292.21364130214391</v>
      </c>
      <c r="CZ79" s="62">
        <f t="shared" si="96"/>
        <v>283.48738729114024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4.4871794871794917</v>
      </c>
      <c r="DO79" s="13">
        <f>IF('Données projet'!$A$166&gt;35,DO78+DN79-DW78,IF(A79&lt;'Données projet'!$A$166,$DL$205^A79,IF(A79='Données projet'!$A$166,'Données projet'!$B$166,DO78+DN79-DW78)))</f>
        <v>248.71794871794876</v>
      </c>
      <c r="DP79" s="18">
        <f>DO79*VLOOKUP('Données projet'!$B$14,Paramètres!$A$1:$I$89,3,0)*VLOOKUP('Données projet'!$B$14,Paramètres!$A$1:$I$89,5,0)</f>
        <v>236.68000000000004</v>
      </c>
      <c r="DQ79" s="14">
        <f t="shared" si="97"/>
        <v>57.724638232498961</v>
      </c>
      <c r="DR79" s="22">
        <f t="shared" si="70"/>
        <v>512.75474492160231</v>
      </c>
      <c r="DS79" s="62">
        <f t="shared" si="71"/>
        <v>806.08807825493568</v>
      </c>
      <c r="DT79" s="62">
        <f ca="1">AVERAGE(OFFSET($DS$3,0,0,'Données projet'!$E$14+1,1))-AVERAGE(OFFSET($H$3,0,0,'Données projet'!$E$14+1,1))</f>
        <v>427.47603885390191</v>
      </c>
      <c r="DU79" s="62">
        <f t="shared" si="98"/>
        <v>350.88664394632116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6</v>
      </c>
      <c r="EJ79" s="13">
        <f>IF('Données projet'!$A$192&gt;35,EJ78+EI79-ER78,IF(A79&lt;'Données projet'!$A$192,$EG$205^A79,IF(A79='Données projet'!$A$192,'Données projet'!$B$192,EJ78+EI79-ER78)))</f>
        <v>257.99999999999989</v>
      </c>
      <c r="EK79" s="18">
        <f>EJ79*VLOOKUP('Données projet'!$B$15,Paramètres!$A$1:$I$89,3,0)*VLOOKUP('Données projet'!$B$15,Paramètres!$A$1:$I$89,5,0)</f>
        <v>249.53759999999988</v>
      </c>
      <c r="EL79" s="14">
        <f t="shared" si="99"/>
        <v>60.486914185674671</v>
      </c>
      <c r="EM79" s="22">
        <f t="shared" si="73"/>
        <v>539.95936220671649</v>
      </c>
      <c r="EN79" s="62">
        <f t="shared" si="74"/>
        <v>833.29269554004986</v>
      </c>
      <c r="EO79" s="62">
        <f ca="1">AVERAGE(OFFSET($EN$3,0,0,'Données projet'!$E$15+1,1))-AVERAGE(OFFSET($H$3,0,0,'Données projet'!$E$15+1,1))</f>
        <v>455.50822833641354</v>
      </c>
      <c r="EP79" s="62">
        <f t="shared" si="100"/>
        <v>261.14722581688039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4</v>
      </c>
      <c r="FE79" s="13">
        <f>IF('Données projet'!$A$218&gt;35,FE78+FD79-FM78,IF(A79&lt;'Données projet'!$A$218,$FB$205^A79,IF(A79='Données projet'!$A$218,'Données projet'!$B$218,FE78+FD79-FM78)))</f>
        <v>245</v>
      </c>
      <c r="FF79" s="18">
        <f>FE79*VLOOKUP('Données projet'!$B$16,Paramètres!$A$1:$I$89,3,0)*VLOOKUP('Données projet'!$B$16,Paramètres!$A$1:$I$89,5,0)</f>
        <v>214.03200000000004</v>
      </c>
      <c r="FG79" s="14">
        <f t="shared" si="101"/>
        <v>52.815701536972242</v>
      </c>
      <c r="FH79" s="22">
        <f t="shared" si="76"/>
        <v>464.75974684356009</v>
      </c>
      <c r="FI79" s="62">
        <f t="shared" si="77"/>
        <v>758.09308017689341</v>
      </c>
      <c r="FJ79" s="62">
        <f ca="1">AVERAGE(OFFSET($FI$3,0,0,'Données projet'!$E$16+1,1))-AVERAGE(OFFSET($H$3,0,0,'Données projet'!$E$16+1,1))</f>
        <v>369.34989412920129</v>
      </c>
      <c r="FK79" s="62">
        <f t="shared" si="102"/>
        <v>371.26234252426553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0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>
        <f>FZ79*VLOOKUP('Données projet'!$B$17,Paramètres!$A$1:$I$89,3,0)*VLOOKUP('Données projet'!$B$17,Paramètres!$A$1:$I$89,5,0)</f>
        <v>0</v>
      </c>
      <c r="GB79" s="14" t="e">
        <f t="shared" si="103"/>
        <v>#NUM!</v>
      </c>
      <c r="GC79" s="22" t="e">
        <f t="shared" si="79"/>
        <v>#NUM!</v>
      </c>
      <c r="GD79" s="62" t="e">
        <f t="shared" si="80"/>
        <v>#NUM!</v>
      </c>
      <c r="GE79" s="62">
        <f ca="1">AVERAGE(OFFSET($GD$3,0,0,'Données projet'!$E$17+1,1))-AVERAGE(OFFSET($H$3,0,0,'Données projet'!$E$17+1,1))</f>
        <v>324.4489531703187</v>
      </c>
      <c r="GF79" s="62">
        <f t="shared" si="104"/>
        <v>446.55019360848706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projet'!$B$17,Paramètres!$A$1:$I$89,3,0)*0.475*44/12</f>
        <v>0</v>
      </c>
      <c r="GM79" s="23">
        <f>EXP(-LN(2)/25)*GM78+(1-EXP(-LN(2)/25))/(LN(2)/25)*Calculateur!GH79*Calculateur!GJ79*VLOOKUP('Données projet'!$B$17,Paramètres!$A$1:$I$89,3,0)*0.475*44/12</f>
        <v>0</v>
      </c>
      <c r="GN79" s="23">
        <f>EXP(-LN(2)/2)*GN78+(1-EXP(-LN(2)/2))/(LN(2)/2)*GH79*GK79*VLOOKUP('Données projet'!$B$17,Paramètres!$A$1:$I$89,3,0)*0.475*44/12</f>
        <v>0</v>
      </c>
      <c r="GO79" s="23">
        <f t="shared" si="81"/>
        <v>0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4.2307692307692264</v>
      </c>
      <c r="GU79" s="13">
        <f>IF('Données projet'!$A$270&gt;35,GU78+GT79-HC78,IF(A79&lt;'Données projet'!$A$270,$GR$205^A79,IF(A79='Données projet'!$A$270,'Données projet'!$B$270,GU78+GT79-HC78)))</f>
        <v>265.1282051282052</v>
      </c>
      <c r="GV79" s="18">
        <f>GU79*VLOOKUP('Données projet'!$B$18,Paramètres!$A$1:$I$89,3,0)*VLOOKUP('Données projet'!$B$18,Paramètres!$A$1:$I$89,5,0)</f>
        <v>177.84800000000004</v>
      </c>
      <c r="GW79" s="14">
        <f t="shared" si="105"/>
        <v>44.84307118144492</v>
      </c>
      <c r="GX79" s="22">
        <f t="shared" si="82"/>
        <v>387.85361564101663</v>
      </c>
      <c r="GY79" s="62">
        <f t="shared" si="83"/>
        <v>681.18694897434989</v>
      </c>
      <c r="GZ79" s="62">
        <f ca="1">AVERAGE(OFFSET($GY$3,0,0,'Données projet'!$E$18+1,1))-AVERAGE(OFFSET($H$3,0,0,'Données projet'!$E$18+1,1))</f>
        <v>312.06797204903796</v>
      </c>
      <c r="HA79" s="62">
        <f t="shared" si="106"/>
        <v>258.20189001775151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>
        <f>EXP(-LN(2)/35)*HG78+(1-EXP(-LN(2)/35))/(LN(2)/35)*HC79*HD79*VLOOKUP('Données projet'!$B$18,Paramètres!$A$1:$I$89,3,0)*0.475*44/12</f>
        <v>0</v>
      </c>
      <c r="HH79" s="23">
        <f>EXP(-LN(2)/25)*HH78+(1-EXP(-LN(2)/25))/(LN(2)/25)*Calculateur!HC79*Calculateur!HE79*VLOOKUP('Données projet'!$B$18,Paramètres!$A$1:$I$89,3,0)*0.475*44/12</f>
        <v>0</v>
      </c>
      <c r="HI79" s="23">
        <f>EXP(-LN(2)/2)*HI78+(1-EXP(-LN(2)/2))/(LN(2)/2)*HC79*HF79*VLOOKUP('Données projet'!$B$18,Paramètres!$A$1:$I$89,3,0)*0.475*44/12</f>
        <v>0</v>
      </c>
      <c r="HJ79" s="24">
        <f t="shared" si="84"/>
        <v>0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7.2</v>
      </c>
      <c r="N80" s="14">
        <f>IF('Données projet'!$A$36&gt;35,N79+M80-V79,IF(A80&lt;'Données projet'!$A$36,$K$205^A80,IF(A80='Données projet'!$A$36,'Données projet'!$B$36,N79+M80-V79)))</f>
        <v>326.39999999999992</v>
      </c>
      <c r="O80" s="14">
        <f>N80*VLOOKUP('Données projet'!$B$9,Paramètres!$A$1:$I$89,3,0)*VLOOKUP('Données projet'!$B$9,Paramètres!$A$1:$I$89,5,0)</f>
        <v>295.32671999999997</v>
      </c>
      <c r="P80" s="14">
        <f t="shared" si="87"/>
        <v>70.195871082165155</v>
      </c>
      <c r="Q80" s="22">
        <f t="shared" si="54"/>
        <v>636.61851280143765</v>
      </c>
      <c r="R80" s="62">
        <f t="shared" si="55"/>
        <v>929.9518461347709</v>
      </c>
      <c r="S80" s="62">
        <f ca="1">AVERAGE(OFFSET($R$3,0,0,'Données projet'!$E$9+1,1))-AVERAGE(OFFSET($H$3,0,0,'Données projet'!$E$9+1,1))</f>
        <v>512.84819850818667</v>
      </c>
      <c r="T80" s="62">
        <f t="shared" si="88"/>
        <v>332.61387922152159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3.5600000000000023</v>
      </c>
      <c r="AI80" s="14">
        <f>IF('Données projet'!$A$62&gt;35,AI79+AH80-AQ79,IF(A80&lt;'Données projet'!$A$62,$AF$205^A80,IF(A80='Données projet'!$A$62,'Données projet'!$B$62,AI79+AH80-AQ79)))</f>
        <v>330.61999999999995</v>
      </c>
      <c r="AJ80" s="14">
        <f>AI80*VLOOKUP('Données projet'!$B$10,Paramètres!$A$1:$I$89,3,0)*VLOOKUP('Données projet'!$B$10,Paramètres!$A$1:$I$89,5,0)</f>
        <v>242.41058399999997</v>
      </c>
      <c r="AK80" s="14">
        <f t="shared" si="89"/>
        <v>58.957877315127767</v>
      </c>
      <c r="AL80" s="22">
        <f t="shared" si="58"/>
        <v>524.88340345718075</v>
      </c>
      <c r="AM80" s="62">
        <f t="shared" si="59"/>
        <v>818.21673679051401</v>
      </c>
      <c r="AN80" s="62">
        <f ca="1">AVERAGE(OFFSET($AM$3,0,0,'Données projet'!$E$10+1,1))-AVERAGE(OFFSET($H$3,0,0,'Données projet'!$E$10+1,1))</f>
        <v>344.45199703750711</v>
      </c>
      <c r="AO80" s="62">
        <f t="shared" si="90"/>
        <v>376.41441893222185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7.2</v>
      </c>
      <c r="BD80" s="13">
        <f>IF('Données projet'!$A$88&gt;35,BD79+BC80-BL79,IF(A80&lt;'Données projet'!$A$88,$BA$205^A80,IF(A80='Données projet'!$A$88,'Données projet'!$B$88,BD79+BC80-BL79)))</f>
        <v>326.39999999999992</v>
      </c>
      <c r="BE80" s="14">
        <f>BD80*VLOOKUP('Données projet'!$B$11,Paramètres!$A$1:$I$89,3,0)*VLOOKUP('Données projet'!$B$11,Paramètres!$A$1:$I$89,5,0)</f>
        <v>330.96959999999996</v>
      </c>
      <c r="BF80" s="14">
        <f t="shared" si="91"/>
        <v>77.631295651786957</v>
      </c>
      <c r="BG80" s="22">
        <f t="shared" si="61"/>
        <v>711.6465599268621</v>
      </c>
      <c r="BH80" s="62">
        <f t="shared" si="62"/>
        <v>1004.9798932601955</v>
      </c>
      <c r="BI80" s="62">
        <f ca="1">AVERAGE(OFFSET($BH$3,0,0,'Données projet'!$E$11+1,1))-AVERAGE(OFFSET($H$3,0,0,'Données projet'!$E$11+1,1))</f>
        <v>569.39473185784823</v>
      </c>
      <c r="BJ80" s="62">
        <f t="shared" si="92"/>
        <v>367.42881145517066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8.8000000000000007</v>
      </c>
      <c r="BY80" s="13">
        <f>IF('Données projet'!$A$114&gt;35,BY79+BX80-CG79,IF(A80&lt;'Données projet'!$A$114,$BV$205^A80,IF(A80='Données projet'!$A$114,'Données projet'!$B$114,BY79+BX80-CG79)))</f>
        <v>352.59999999999985</v>
      </c>
      <c r="BZ80" s="14">
        <f>BY80*VLOOKUP('Données projet'!$B$12,Paramètres!$A$1:$I$89,3,0)*VLOOKUP('Données projet'!$B$12,Paramètres!$A$1:$I$89,5,0)</f>
        <v>302.53079999999989</v>
      </c>
      <c r="CA80" s="14">
        <f t="shared" si="93"/>
        <v>71.706756690602205</v>
      </c>
      <c r="CB80" s="22">
        <f t="shared" si="64"/>
        <v>651.79707790279861</v>
      </c>
      <c r="CC80" s="62">
        <f t="shared" si="65"/>
        <v>945.13041123613198</v>
      </c>
      <c r="CD80" s="62">
        <f ca="1">AVERAGE(OFFSET($CC$3,0,0,'Données projet'!$E$12+1,1))-AVERAGE(OFFSET($H$3,0,0,'Données projet'!$E$12+1,1))</f>
        <v>554.06253050955502</v>
      </c>
      <c r="CE80" s="62">
        <f t="shared" si="94"/>
        <v>269.71949336355789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1.1368683772161603E-13</v>
      </c>
      <c r="CU80" s="18">
        <f>CT80*VLOOKUP('Données projet'!$B$13,Paramètres!$A$1:$I$89,3,0)*VLOOKUP('Données projet'!$B$13,Paramètres!$A$1:$I$89,5,0)</f>
        <v>8.8675733422860506E-14</v>
      </c>
      <c r="CV80" s="14">
        <f t="shared" si="95"/>
        <v>1.3509285393066301E-12</v>
      </c>
      <c r="CW80" s="22">
        <f t="shared" si="67"/>
        <v>2.5073107750038623E-12</v>
      </c>
      <c r="CX80" s="62">
        <f t="shared" si="68"/>
        <v>293.33333333333582</v>
      </c>
      <c r="CY80" s="62">
        <f ca="1">AVERAGE(OFFSET($CX$3,0,0,'Données projet'!$E$13+1,1))-AVERAGE(OFFSET($H$3,0,0,'Données projet'!$E$13+1,1))</f>
        <v>292.21364130214391</v>
      </c>
      <c r="CZ80" s="62">
        <f t="shared" si="96"/>
        <v>283.48738729114024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4.4871794871794917</v>
      </c>
      <c r="DO80" s="13">
        <f>IF('Données projet'!$A$166&gt;35,DO79+DN80-DW79,IF(A80&lt;'Données projet'!$A$166,$DL$205^A80,IF(A80='Données projet'!$A$166,'Données projet'!$B$166,DO79+DN80-DW79)))</f>
        <v>253.20512820512826</v>
      </c>
      <c r="DP80" s="18">
        <f>DO80*VLOOKUP('Données projet'!$B$14,Paramètres!$A$1:$I$89,3,0)*VLOOKUP('Données projet'!$B$14,Paramètres!$A$1:$I$89,5,0)</f>
        <v>240.95000000000005</v>
      </c>
      <c r="DQ80" s="14">
        <f t="shared" si="97"/>
        <v>58.643880591265635</v>
      </c>
      <c r="DR80" s="22">
        <f t="shared" si="70"/>
        <v>521.79267536312102</v>
      </c>
      <c r="DS80" s="62">
        <f t="shared" si="71"/>
        <v>815.12600869645439</v>
      </c>
      <c r="DT80" s="62">
        <f ca="1">AVERAGE(OFFSET($DS$3,0,0,'Données projet'!$E$14+1,1))-AVERAGE(OFFSET($H$3,0,0,'Données projet'!$E$14+1,1))</f>
        <v>427.47603885390191</v>
      </c>
      <c r="DU80" s="62">
        <f t="shared" si="98"/>
        <v>350.88664394632116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6</v>
      </c>
      <c r="EJ80" s="13">
        <f>IF('Données projet'!$A$192&gt;35,EJ79+EI80-ER79,IF(A80&lt;'Données projet'!$A$192,$EG$205^A80,IF(A80='Données projet'!$A$192,'Données projet'!$B$192,EJ79+EI80-ER79)))</f>
        <v>263.99999999999989</v>
      </c>
      <c r="EK80" s="18">
        <f>EJ80*VLOOKUP('Données projet'!$B$15,Paramètres!$A$1:$I$89,3,0)*VLOOKUP('Données projet'!$B$15,Paramètres!$A$1:$I$89,5,0)</f>
        <v>255.34079999999989</v>
      </c>
      <c r="EL80" s="14">
        <f t="shared" si="99"/>
        <v>61.728182021951895</v>
      </c>
      <c r="EM80" s="22">
        <f t="shared" si="73"/>
        <v>552.22847702156594</v>
      </c>
      <c r="EN80" s="62">
        <f t="shared" si="74"/>
        <v>845.56181035489931</v>
      </c>
      <c r="EO80" s="62">
        <f ca="1">AVERAGE(OFFSET($EN$3,0,0,'Données projet'!$E$15+1,1))-AVERAGE(OFFSET($H$3,0,0,'Données projet'!$E$15+1,1))</f>
        <v>455.50822833641354</v>
      </c>
      <c r="EP80" s="62">
        <f t="shared" si="100"/>
        <v>261.14722581688039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4</v>
      </c>
      <c r="FE80" s="13">
        <f>IF('Données projet'!$A$218&gt;35,FE79+FD80-FM79,IF(A80&lt;'Données projet'!$A$218,$FB$205^A80,IF(A80='Données projet'!$A$218,'Données projet'!$B$218,FE79+FD80-FM79)))</f>
        <v>249</v>
      </c>
      <c r="FF80" s="18">
        <f>FE80*VLOOKUP('Données projet'!$B$16,Paramètres!$A$1:$I$89,3,0)*VLOOKUP('Données projet'!$B$16,Paramètres!$A$1:$I$89,5,0)</f>
        <v>217.52640000000005</v>
      </c>
      <c r="FG80" s="14">
        <f t="shared" si="101"/>
        <v>53.576907690651254</v>
      </c>
      <c r="FH80" s="22">
        <f t="shared" si="76"/>
        <v>472.17159422788433</v>
      </c>
      <c r="FI80" s="62">
        <f t="shared" si="77"/>
        <v>765.50492756121764</v>
      </c>
      <c r="FJ80" s="62">
        <f ca="1">AVERAGE(OFFSET($FI$3,0,0,'Données projet'!$E$16+1,1))-AVERAGE(OFFSET($H$3,0,0,'Données projet'!$E$16+1,1))</f>
        <v>369.34989412920129</v>
      </c>
      <c r="FK80" s="62">
        <f t="shared" si="102"/>
        <v>371.26234252426553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0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>
        <f>FZ80*VLOOKUP('Données projet'!$B$17,Paramètres!$A$1:$I$89,3,0)*VLOOKUP('Données projet'!$B$17,Paramètres!$A$1:$I$89,5,0)</f>
        <v>0</v>
      </c>
      <c r="GB80" s="14" t="e">
        <f t="shared" si="103"/>
        <v>#NUM!</v>
      </c>
      <c r="GC80" s="22" t="e">
        <f t="shared" si="79"/>
        <v>#NUM!</v>
      </c>
      <c r="GD80" s="62" t="e">
        <f t="shared" si="80"/>
        <v>#NUM!</v>
      </c>
      <c r="GE80" s="62">
        <f ca="1">AVERAGE(OFFSET($GD$3,0,0,'Données projet'!$E$17+1,1))-AVERAGE(OFFSET($H$3,0,0,'Données projet'!$E$17+1,1))</f>
        <v>324.4489531703187</v>
      </c>
      <c r="GF80" s="62">
        <f t="shared" si="104"/>
        <v>446.55019360848706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projet'!$B$17,Paramètres!$A$1:$I$89,3,0)*0.475*44/12</f>
        <v>0</v>
      </c>
      <c r="GM80" s="23">
        <f>EXP(-LN(2)/25)*GM79+(1-EXP(-LN(2)/25))/(LN(2)/25)*Calculateur!GH80*Calculateur!GJ80*VLOOKUP('Données projet'!$B$17,Paramètres!$A$1:$I$89,3,0)*0.475*44/12</f>
        <v>0</v>
      </c>
      <c r="GN80" s="23">
        <f>EXP(-LN(2)/2)*GN79+(1-EXP(-LN(2)/2))/(LN(2)/2)*GH80*GK80*VLOOKUP('Données projet'!$B$17,Paramètres!$A$1:$I$89,3,0)*0.475*44/12</f>
        <v>0</v>
      </c>
      <c r="GO80" s="23">
        <f t="shared" si="81"/>
        <v>0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4.2307692307692264</v>
      </c>
      <c r="GU80" s="13">
        <f>IF('Données projet'!$A$270&gt;35,GU79+GT80-HC79,IF(A80&lt;'Données projet'!$A$270,$GR$205^A80,IF(A80='Données projet'!$A$270,'Données projet'!$B$270,GU79+GT80-HC79)))</f>
        <v>269.35897435897442</v>
      </c>
      <c r="GV80" s="18">
        <f>GU80*VLOOKUP('Données projet'!$B$18,Paramètres!$A$1:$I$89,3,0)*VLOOKUP('Données projet'!$B$18,Paramètres!$A$1:$I$89,5,0)</f>
        <v>180.68600000000004</v>
      </c>
      <c r="GW80" s="14">
        <f t="shared" si="105"/>
        <v>45.474774723021419</v>
      </c>
      <c r="GX80" s="22">
        <f t="shared" si="82"/>
        <v>393.89668264259575</v>
      </c>
      <c r="GY80" s="62">
        <f t="shared" si="83"/>
        <v>687.23001597592906</v>
      </c>
      <c r="GZ80" s="62">
        <f ca="1">AVERAGE(OFFSET($GY$3,0,0,'Données projet'!$E$18+1,1))-AVERAGE(OFFSET($H$3,0,0,'Données projet'!$E$18+1,1))</f>
        <v>312.06797204903796</v>
      </c>
      <c r="HA80" s="62">
        <f t="shared" si="106"/>
        <v>258.20189001775151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>
        <f>EXP(-LN(2)/35)*HG79+(1-EXP(-LN(2)/35))/(LN(2)/35)*HC80*HD80*VLOOKUP('Données projet'!$B$18,Paramètres!$A$1:$I$89,3,0)*0.475*44/12</f>
        <v>0</v>
      </c>
      <c r="HH80" s="23">
        <f>EXP(-LN(2)/25)*HH79+(1-EXP(-LN(2)/25))/(LN(2)/25)*Calculateur!HC80*Calculateur!HE80*VLOOKUP('Données projet'!$B$18,Paramètres!$A$1:$I$89,3,0)*0.475*44/12</f>
        <v>0</v>
      </c>
      <c r="HI80" s="23">
        <f>EXP(-LN(2)/2)*HI79+(1-EXP(-LN(2)/2))/(LN(2)/2)*HC80*HF80*VLOOKUP('Données projet'!$B$18,Paramètres!$A$1:$I$89,3,0)*0.475*44/12</f>
        <v>0</v>
      </c>
      <c r="HJ80" s="24">
        <f t="shared" si="84"/>
        <v>0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7.2</v>
      </c>
      <c r="N81" s="14">
        <f>IF('Données projet'!$A$36&gt;35,N80+M81-V80,IF(A81&lt;'Données projet'!$A$36,$K$205^A81,IF(A81='Données projet'!$A$36,'Données projet'!$B$36,N80+M81-V80)))</f>
        <v>333.59999999999991</v>
      </c>
      <c r="O81" s="14">
        <f>N81*VLOOKUP('Données projet'!$B$9,Paramètres!$A$1:$I$89,3,0)*VLOOKUP('Données projet'!$B$9,Paramètres!$A$1:$I$89,5,0)</f>
        <v>301.84127999999993</v>
      </c>
      <c r="P81" s="14">
        <f t="shared" si="87"/>
        <v>71.562328918453616</v>
      </c>
      <c r="Q81" s="22">
        <f t="shared" si="54"/>
        <v>650.34461886630652</v>
      </c>
      <c r="R81" s="62">
        <f t="shared" si="55"/>
        <v>943.67795219963978</v>
      </c>
      <c r="S81" s="62">
        <f ca="1">AVERAGE(OFFSET($R$3,0,0,'Données projet'!$E$9+1,1))-AVERAGE(OFFSET($H$3,0,0,'Données projet'!$E$9+1,1))</f>
        <v>512.84819850818667</v>
      </c>
      <c r="T81" s="62">
        <f t="shared" si="88"/>
        <v>332.61387922152159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3.5600000000000023</v>
      </c>
      <c r="AI81" s="14">
        <f>IF('Données projet'!$A$62&gt;35,AI80+AH81-AQ80,IF(A81&lt;'Données projet'!$A$62,$AF$205^A81,IF(A81='Données projet'!$A$62,'Données projet'!$B$62,AI80+AH81-AQ80)))</f>
        <v>334.17999999999995</v>
      </c>
      <c r="AJ81" s="14">
        <f>AI81*VLOOKUP('Données projet'!$B$10,Paramètres!$A$1:$I$89,3,0)*VLOOKUP('Données projet'!$B$10,Paramètres!$A$1:$I$89,5,0)</f>
        <v>245.02077599999993</v>
      </c>
      <c r="AK81" s="14">
        <f t="shared" si="89"/>
        <v>59.518469785210911</v>
      </c>
      <c r="AL81" s="22">
        <f t="shared" si="58"/>
        <v>530.40585307590879</v>
      </c>
      <c r="AM81" s="62">
        <f t="shared" si="59"/>
        <v>823.73918640924217</v>
      </c>
      <c r="AN81" s="62">
        <f ca="1">AVERAGE(OFFSET($AM$3,0,0,'Données projet'!$E$10+1,1))-AVERAGE(OFFSET($H$3,0,0,'Données projet'!$E$10+1,1))</f>
        <v>344.45199703750711</v>
      </c>
      <c r="AO81" s="62">
        <f t="shared" si="90"/>
        <v>376.41441893222185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7.2</v>
      </c>
      <c r="BD81" s="13">
        <f>IF('Données projet'!$A$88&gt;35,BD80+BC81-BL80,IF(A81&lt;'Données projet'!$A$88,$BA$205^A81,IF(A81='Données projet'!$A$88,'Données projet'!$B$88,BD80+BC81-BL80)))</f>
        <v>333.59999999999991</v>
      </c>
      <c r="BE81" s="14">
        <f>BD81*VLOOKUP('Données projet'!$B$11,Paramètres!$A$1:$I$89,3,0)*VLOOKUP('Données projet'!$B$11,Paramètres!$A$1:$I$89,5,0)</f>
        <v>338.27039999999994</v>
      </c>
      <c r="BF81" s="14">
        <f t="shared" si="91"/>
        <v>79.142494111885014</v>
      </c>
      <c r="BG81" s="22">
        <f t="shared" si="61"/>
        <v>726.99412391153294</v>
      </c>
      <c r="BH81" s="62">
        <f t="shared" si="62"/>
        <v>1020.3274572448663</v>
      </c>
      <c r="BI81" s="62">
        <f ca="1">AVERAGE(OFFSET($BH$3,0,0,'Données projet'!$E$11+1,1))-AVERAGE(OFFSET($H$3,0,0,'Données projet'!$E$11+1,1))</f>
        <v>569.39473185784823</v>
      </c>
      <c r="BJ81" s="62">
        <f t="shared" si="92"/>
        <v>367.42881145517066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8.8000000000000007</v>
      </c>
      <c r="BY81" s="13">
        <f>IF('Données projet'!$A$114&gt;35,BY80+BX81-CG80,IF(A81&lt;'Données projet'!$A$114,$BV$205^A81,IF(A81='Données projet'!$A$114,'Données projet'!$B$114,BY80+BX81-CG80)))</f>
        <v>361.39999999999986</v>
      </c>
      <c r="BZ81" s="14">
        <f>BY81*VLOOKUP('Données projet'!$B$12,Paramètres!$A$1:$I$89,3,0)*VLOOKUP('Données projet'!$B$12,Paramètres!$A$1:$I$89,5,0)</f>
        <v>310.08119999999991</v>
      </c>
      <c r="CA81" s="14">
        <f t="shared" si="93"/>
        <v>73.285787705139427</v>
      </c>
      <c r="CB81" s="22">
        <f t="shared" si="64"/>
        <v>667.69750358645092</v>
      </c>
      <c r="CC81" s="62">
        <f t="shared" si="65"/>
        <v>961.03083691978418</v>
      </c>
      <c r="CD81" s="62">
        <f ca="1">AVERAGE(OFFSET($CC$3,0,0,'Données projet'!$E$12+1,1))-AVERAGE(OFFSET($H$3,0,0,'Données projet'!$E$12+1,1))</f>
        <v>554.06253050955502</v>
      </c>
      <c r="CE81" s="62">
        <f t="shared" si="94"/>
        <v>269.71949336355789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1.1368683772161603E-13</v>
      </c>
      <c r="CU81" s="18">
        <f>CT81*VLOOKUP('Données projet'!$B$13,Paramètres!$A$1:$I$89,3,0)*VLOOKUP('Données projet'!$B$13,Paramètres!$A$1:$I$89,5,0)</f>
        <v>8.8675733422860506E-14</v>
      </c>
      <c r="CV81" s="14">
        <f t="shared" si="95"/>
        <v>1.3509285393066301E-12</v>
      </c>
      <c r="CW81" s="22">
        <f t="shared" si="67"/>
        <v>2.5073107750038623E-12</v>
      </c>
      <c r="CX81" s="62">
        <f t="shared" si="68"/>
        <v>293.33333333333582</v>
      </c>
      <c r="CY81" s="62">
        <f ca="1">AVERAGE(OFFSET($CX$3,0,0,'Données projet'!$E$13+1,1))-AVERAGE(OFFSET($H$3,0,0,'Données projet'!$E$13+1,1))</f>
        <v>292.21364130214391</v>
      </c>
      <c r="CZ81" s="62">
        <f t="shared" si="96"/>
        <v>283.48738729114024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4.4871794871794917</v>
      </c>
      <c r="DO81" s="13">
        <f>IF('Données projet'!$A$166&gt;35,DO80+DN81-DW80,IF(A81&lt;'Données projet'!$A$166,$DL$205^A81,IF(A81='Données projet'!$A$166,'Données projet'!$B$166,DO80+DN81-DW80)))</f>
        <v>257.69230769230774</v>
      </c>
      <c r="DP81" s="18">
        <f>DO81*VLOOKUP('Données projet'!$B$14,Paramètres!$A$1:$I$89,3,0)*VLOOKUP('Données projet'!$B$14,Paramètres!$A$1:$I$89,5,0)</f>
        <v>245.22000000000003</v>
      </c>
      <c r="DQ81" s="14">
        <f t="shared" si="97"/>
        <v>59.561228600414459</v>
      </c>
      <c r="DR81" s="22">
        <f t="shared" si="70"/>
        <v>530.82730647905521</v>
      </c>
      <c r="DS81" s="62">
        <f t="shared" si="71"/>
        <v>824.16063981238858</v>
      </c>
      <c r="DT81" s="62">
        <f ca="1">AVERAGE(OFFSET($DS$3,0,0,'Données projet'!$E$14+1,1))-AVERAGE(OFFSET($H$3,0,0,'Données projet'!$E$14+1,1))</f>
        <v>427.47603885390191</v>
      </c>
      <c r="DU81" s="62">
        <f t="shared" si="98"/>
        <v>350.88664394632116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6</v>
      </c>
      <c r="EJ81" s="13">
        <f>IF('Données projet'!$A$192&gt;35,EJ80+EI81-ER80,IF(A81&lt;'Données projet'!$A$192,$EG$205^A81,IF(A81='Données projet'!$A$192,'Données projet'!$B$192,EJ80+EI81-ER80)))</f>
        <v>269.99999999999989</v>
      </c>
      <c r="EK81" s="18">
        <f>EJ81*VLOOKUP('Données projet'!$B$15,Paramètres!$A$1:$I$89,3,0)*VLOOKUP('Données projet'!$B$15,Paramètres!$A$1:$I$89,5,0)</f>
        <v>261.14399999999989</v>
      </c>
      <c r="EL81" s="14">
        <f t="shared" si="99"/>
        <v>62.966170181808813</v>
      </c>
      <c r="EM81" s="22">
        <f t="shared" si="73"/>
        <v>564.49187973331675</v>
      </c>
      <c r="EN81" s="62">
        <f t="shared" si="74"/>
        <v>857.82521306665012</v>
      </c>
      <c r="EO81" s="62">
        <f ca="1">AVERAGE(OFFSET($EN$3,0,0,'Données projet'!$E$15+1,1))-AVERAGE(OFFSET($H$3,0,0,'Données projet'!$E$15+1,1))</f>
        <v>455.50822833641354</v>
      </c>
      <c r="EP81" s="62">
        <f t="shared" si="100"/>
        <v>261.14722581688039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4</v>
      </c>
      <c r="FE81" s="13">
        <f>IF('Données projet'!$A$218&gt;35,FE80+FD81-FM80,IF(A81&lt;'Données projet'!$A$218,$FB$205^A81,IF(A81='Données projet'!$A$218,'Données projet'!$B$218,FE80+FD81-FM80)))</f>
        <v>253</v>
      </c>
      <c r="FF81" s="18">
        <f>FE81*VLOOKUP('Données projet'!$B$16,Paramètres!$A$1:$I$89,3,0)*VLOOKUP('Données projet'!$B$16,Paramètres!$A$1:$I$89,5,0)</f>
        <v>221.02080000000001</v>
      </c>
      <c r="FG81" s="14">
        <f t="shared" si="101"/>
        <v>54.336691745796898</v>
      </c>
      <c r="FH81" s="22">
        <f t="shared" si="76"/>
        <v>479.58096479059623</v>
      </c>
      <c r="FI81" s="62">
        <f t="shared" si="77"/>
        <v>772.91429812392948</v>
      </c>
      <c r="FJ81" s="62">
        <f ca="1">AVERAGE(OFFSET($FI$3,0,0,'Données projet'!$E$16+1,1))-AVERAGE(OFFSET($H$3,0,0,'Données projet'!$E$16+1,1))</f>
        <v>369.34989412920129</v>
      </c>
      <c r="FK81" s="62">
        <f t="shared" si="102"/>
        <v>371.26234252426553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0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>
        <f>FZ81*VLOOKUP('Données projet'!$B$17,Paramètres!$A$1:$I$89,3,0)*VLOOKUP('Données projet'!$B$17,Paramètres!$A$1:$I$89,5,0)</f>
        <v>0</v>
      </c>
      <c r="GB81" s="14" t="e">
        <f t="shared" si="103"/>
        <v>#NUM!</v>
      </c>
      <c r="GC81" s="22" t="e">
        <f t="shared" si="79"/>
        <v>#NUM!</v>
      </c>
      <c r="GD81" s="62" t="e">
        <f t="shared" si="80"/>
        <v>#NUM!</v>
      </c>
      <c r="GE81" s="62">
        <f ca="1">AVERAGE(OFFSET($GD$3,0,0,'Données projet'!$E$17+1,1))-AVERAGE(OFFSET($H$3,0,0,'Données projet'!$E$17+1,1))</f>
        <v>324.4489531703187</v>
      </c>
      <c r="GF81" s="62">
        <f t="shared" si="104"/>
        <v>446.55019360848706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projet'!$B$17,Paramètres!$A$1:$I$89,3,0)*0.475*44/12</f>
        <v>0</v>
      </c>
      <c r="GM81" s="23">
        <f>EXP(-LN(2)/25)*GM80+(1-EXP(-LN(2)/25))/(LN(2)/25)*Calculateur!GH81*Calculateur!GJ81*VLOOKUP('Données projet'!$B$17,Paramètres!$A$1:$I$89,3,0)*0.475*44/12</f>
        <v>0</v>
      </c>
      <c r="GN81" s="23">
        <f>EXP(-LN(2)/2)*GN80+(1-EXP(-LN(2)/2))/(LN(2)/2)*GH81*GK81*VLOOKUP('Données projet'!$B$17,Paramètres!$A$1:$I$89,3,0)*0.475*44/12</f>
        <v>0</v>
      </c>
      <c r="GO81" s="23">
        <f t="shared" si="81"/>
        <v>0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4.2307692307692264</v>
      </c>
      <c r="GU81" s="13">
        <f>IF('Données projet'!$A$270&gt;35,GU80+GT81-HC80,IF(A81&lt;'Données projet'!$A$270,$GR$205^A81,IF(A81='Données projet'!$A$270,'Données projet'!$B$270,GU80+GT81-HC80)))</f>
        <v>273.58974358974365</v>
      </c>
      <c r="GV81" s="18">
        <f>GU81*VLOOKUP('Données projet'!$B$18,Paramètres!$A$1:$I$89,3,0)*VLOOKUP('Données projet'!$B$18,Paramètres!$A$1:$I$89,5,0)</f>
        <v>183.52400000000006</v>
      </c>
      <c r="GW81" s="14">
        <f t="shared" si="105"/>
        <v>46.10532434349372</v>
      </c>
      <c r="GX81" s="22">
        <f t="shared" si="82"/>
        <v>399.93773989825166</v>
      </c>
      <c r="GY81" s="62">
        <f t="shared" si="83"/>
        <v>693.27107323158498</v>
      </c>
      <c r="GZ81" s="62">
        <f ca="1">AVERAGE(OFFSET($GY$3,0,0,'Données projet'!$E$18+1,1))-AVERAGE(OFFSET($H$3,0,0,'Données projet'!$E$18+1,1))</f>
        <v>312.06797204903796</v>
      </c>
      <c r="HA81" s="62">
        <f t="shared" si="106"/>
        <v>258.20189001775151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>
        <f>EXP(-LN(2)/35)*HG80+(1-EXP(-LN(2)/35))/(LN(2)/35)*HC81*HD81*VLOOKUP('Données projet'!$B$18,Paramètres!$A$1:$I$89,3,0)*0.475*44/12</f>
        <v>0</v>
      </c>
      <c r="HH81" s="23">
        <f>EXP(-LN(2)/25)*HH80+(1-EXP(-LN(2)/25))/(LN(2)/25)*Calculateur!HC81*Calculateur!HE81*VLOOKUP('Données projet'!$B$18,Paramètres!$A$1:$I$89,3,0)*0.475*44/12</f>
        <v>0</v>
      </c>
      <c r="HI81" s="23">
        <f>EXP(-LN(2)/2)*HI80+(1-EXP(-LN(2)/2))/(LN(2)/2)*HC81*HF81*VLOOKUP('Données projet'!$B$18,Paramètres!$A$1:$I$89,3,0)*0.475*44/12</f>
        <v>0</v>
      </c>
      <c r="HJ81" s="24">
        <f t="shared" si="84"/>
        <v>0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7.2</v>
      </c>
      <c r="N82" s="14">
        <f>IF('Données projet'!$A$36&gt;35,N81+M82-V81,IF(A82&lt;'Données projet'!$A$36,$K$205^A82,IF(A82='Données projet'!$A$36,'Données projet'!$B$36,N81+M82-V81)))</f>
        <v>340.7999999999999</v>
      </c>
      <c r="O82" s="14">
        <f>N82*VLOOKUP('Données projet'!$B$9,Paramètres!$A$1:$I$89,3,0)*VLOOKUP('Données projet'!$B$9,Paramètres!$A$1:$I$89,5,0)</f>
        <v>308.35583999999989</v>
      </c>
      <c r="P82" s="14">
        <f t="shared" si="87"/>
        <v>72.925357925160824</v>
      </c>
      <c r="Q82" s="22">
        <f t="shared" si="54"/>
        <v>664.06475305298818</v>
      </c>
      <c r="R82" s="62">
        <f t="shared" si="55"/>
        <v>957.39808638632144</v>
      </c>
      <c r="S82" s="62">
        <f ca="1">AVERAGE(OFFSET($R$3,0,0,'Données projet'!$E$9+1,1))-AVERAGE(OFFSET($H$3,0,0,'Données projet'!$E$9+1,1))</f>
        <v>512.84819850818667</v>
      </c>
      <c r="T82" s="62">
        <f t="shared" si="88"/>
        <v>332.61387922152159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3.5600000000000023</v>
      </c>
      <c r="AI82" s="14">
        <f>IF('Données projet'!$A$62&gt;35,AI81+AH82-AQ81,IF(A82&lt;'Données projet'!$A$62,$AF$205^A82,IF(A82='Données projet'!$A$62,'Données projet'!$B$62,AI81+AH82-AQ81)))</f>
        <v>337.73999999999995</v>
      </c>
      <c r="AJ82" s="14">
        <f>AI82*VLOOKUP('Données projet'!$B$10,Paramètres!$A$1:$I$89,3,0)*VLOOKUP('Données projet'!$B$10,Paramètres!$A$1:$I$89,5,0)</f>
        <v>247.63096799999994</v>
      </c>
      <c r="AK82" s="14">
        <f t="shared" si="89"/>
        <v>60.078367536199657</v>
      </c>
      <c r="AL82" s="22">
        <f t="shared" si="58"/>
        <v>535.9270927255476</v>
      </c>
      <c r="AM82" s="62">
        <f t="shared" si="59"/>
        <v>829.26042605888097</v>
      </c>
      <c r="AN82" s="62">
        <f ca="1">AVERAGE(OFFSET($AM$3,0,0,'Données projet'!$E$10+1,1))-AVERAGE(OFFSET($H$3,0,0,'Données projet'!$E$10+1,1))</f>
        <v>344.45199703750711</v>
      </c>
      <c r="AO82" s="62">
        <f t="shared" si="90"/>
        <v>376.41441893222185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7.2</v>
      </c>
      <c r="BD82" s="13">
        <f>IF('Données projet'!$A$88&gt;35,BD81+BC82-BL81,IF(A82&lt;'Données projet'!$A$88,$BA$205^A82,IF(A82='Données projet'!$A$88,'Données projet'!$B$88,BD81+BC82-BL81)))</f>
        <v>340.7999999999999</v>
      </c>
      <c r="BE82" s="14">
        <f>BD82*VLOOKUP('Données projet'!$B$11,Paramètres!$A$1:$I$89,3,0)*VLOOKUP('Données projet'!$B$11,Paramètres!$A$1:$I$89,5,0)</f>
        <v>345.57119999999992</v>
      </c>
      <c r="BF82" s="14">
        <f t="shared" si="91"/>
        <v>80.649900547197902</v>
      </c>
      <c r="BG82" s="22">
        <f t="shared" si="61"/>
        <v>742.33508345303619</v>
      </c>
      <c r="BH82" s="62">
        <f t="shared" si="62"/>
        <v>1035.6684167863696</v>
      </c>
      <c r="BI82" s="62">
        <f ca="1">AVERAGE(OFFSET($BH$3,0,0,'Données projet'!$E$11+1,1))-AVERAGE(OFFSET($H$3,0,0,'Données projet'!$E$11+1,1))</f>
        <v>569.39473185784823</v>
      </c>
      <c r="BJ82" s="62">
        <f t="shared" si="92"/>
        <v>367.42881145517066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8.8000000000000007</v>
      </c>
      <c r="BY82" s="13">
        <f>IF('Données projet'!$A$114&gt;35,BY81+BX82-CG81,IF(A82&lt;'Données projet'!$A$114,$BV$205^A82,IF(A82='Données projet'!$A$114,'Données projet'!$B$114,BY81+BX82-CG81)))</f>
        <v>370.19999999999987</v>
      </c>
      <c r="BZ82" s="14">
        <f>BY82*VLOOKUP('Données projet'!$B$12,Paramètres!$A$1:$I$89,3,0)*VLOOKUP('Données projet'!$B$12,Paramètres!$A$1:$I$89,5,0)</f>
        <v>317.63159999999993</v>
      </c>
      <c r="CA82" s="14">
        <f t="shared" si="93"/>
        <v>74.860349124335727</v>
      </c>
      <c r="CB82" s="22">
        <f t="shared" si="64"/>
        <v>683.59014472488445</v>
      </c>
      <c r="CC82" s="62">
        <f t="shared" si="65"/>
        <v>976.92347805821782</v>
      </c>
      <c r="CD82" s="62">
        <f ca="1">AVERAGE(OFFSET($CC$3,0,0,'Données projet'!$E$12+1,1))-AVERAGE(OFFSET($H$3,0,0,'Données projet'!$E$12+1,1))</f>
        <v>554.06253050955502</v>
      </c>
      <c r="CE82" s="62">
        <f t="shared" si="94"/>
        <v>269.71949336355789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1.1368683772161603E-13</v>
      </c>
      <c r="CU82" s="18">
        <f>CT82*VLOOKUP('Données projet'!$B$13,Paramètres!$A$1:$I$89,3,0)*VLOOKUP('Données projet'!$B$13,Paramètres!$A$1:$I$89,5,0)</f>
        <v>8.8675733422860506E-14</v>
      </c>
      <c r="CV82" s="14">
        <f t="shared" si="95"/>
        <v>1.3509285393066301E-12</v>
      </c>
      <c r="CW82" s="22">
        <f t="shared" si="67"/>
        <v>2.5073107750038623E-12</v>
      </c>
      <c r="CX82" s="62">
        <f t="shared" si="68"/>
        <v>293.33333333333582</v>
      </c>
      <c r="CY82" s="62">
        <f ca="1">AVERAGE(OFFSET($CX$3,0,0,'Données projet'!$E$13+1,1))-AVERAGE(OFFSET($H$3,0,0,'Données projet'!$E$13+1,1))</f>
        <v>292.21364130214391</v>
      </c>
      <c r="CZ82" s="62">
        <f t="shared" si="96"/>
        <v>283.48738729114024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4.4871794871794917</v>
      </c>
      <c r="DO82" s="13">
        <f>IF('Données projet'!$A$166&gt;35,DO81+DN82-DW81,IF(A82&lt;'Données projet'!$A$166,$DL$205^A82,IF(A82='Données projet'!$A$166,'Données projet'!$B$166,DO81+DN82-DW81)))</f>
        <v>262.17948717948724</v>
      </c>
      <c r="DP82" s="18">
        <f>DO82*VLOOKUP('Données projet'!$B$14,Paramètres!$A$1:$I$89,3,0)*VLOOKUP('Données projet'!$B$14,Paramètres!$A$1:$I$89,5,0)</f>
        <v>249.49000000000007</v>
      </c>
      <c r="DQ82" s="14">
        <f t="shared" si="97"/>
        <v>60.476719052177842</v>
      </c>
      <c r="DR82" s="22">
        <f t="shared" si="70"/>
        <v>539.85870234920981</v>
      </c>
      <c r="DS82" s="62">
        <f t="shared" si="71"/>
        <v>833.19203568254306</v>
      </c>
      <c r="DT82" s="62">
        <f ca="1">AVERAGE(OFFSET($DS$3,0,0,'Données projet'!$E$14+1,1))-AVERAGE(OFFSET($H$3,0,0,'Données projet'!$E$14+1,1))</f>
        <v>427.47603885390191</v>
      </c>
      <c r="DU82" s="62">
        <f t="shared" si="98"/>
        <v>350.88664394632116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6</v>
      </c>
      <c r="EJ82" s="13">
        <f>IF('Données projet'!$A$192&gt;35,EJ81+EI82-ER81,IF(A82&lt;'Données projet'!$A$192,$EG$205^A82,IF(A82='Données projet'!$A$192,'Données projet'!$B$192,EJ81+EI82-ER81)))</f>
        <v>275.99999999999989</v>
      </c>
      <c r="EK82" s="18">
        <f>EJ82*VLOOKUP('Données projet'!$B$15,Paramètres!$A$1:$I$89,3,0)*VLOOKUP('Données projet'!$B$15,Paramètres!$A$1:$I$89,5,0)</f>
        <v>266.9471999999999</v>
      </c>
      <c r="EL82" s="14">
        <f t="shared" si="99"/>
        <v>64.200959938746379</v>
      </c>
      <c r="EM82" s="22">
        <f t="shared" si="73"/>
        <v>576.74971189331643</v>
      </c>
      <c r="EN82" s="62">
        <f t="shared" si="74"/>
        <v>870.0830452266498</v>
      </c>
      <c r="EO82" s="62">
        <f ca="1">AVERAGE(OFFSET($EN$3,0,0,'Données projet'!$E$15+1,1))-AVERAGE(OFFSET($H$3,0,0,'Données projet'!$E$15+1,1))</f>
        <v>455.50822833641354</v>
      </c>
      <c r="EP82" s="62">
        <f t="shared" si="100"/>
        <v>261.14722581688039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4</v>
      </c>
      <c r="FE82" s="13">
        <f>IF('Données projet'!$A$218&gt;35,FE81+FD82-FM81,IF(A82&lt;'Données projet'!$A$218,$FB$205^A82,IF(A82='Données projet'!$A$218,'Données projet'!$B$218,FE81+FD82-FM81)))</f>
        <v>257</v>
      </c>
      <c r="FF82" s="18">
        <f>FE82*VLOOKUP('Données projet'!$B$16,Paramètres!$A$1:$I$89,3,0)*VLOOKUP('Données projet'!$B$16,Paramètres!$A$1:$I$89,5,0)</f>
        <v>224.51520000000002</v>
      </c>
      <c r="FG82" s="14">
        <f t="shared" si="101"/>
        <v>55.095078782313543</v>
      </c>
      <c r="FH82" s="22">
        <f t="shared" si="76"/>
        <v>486.98790221252949</v>
      </c>
      <c r="FI82" s="62">
        <f t="shared" si="77"/>
        <v>780.32123554586281</v>
      </c>
      <c r="FJ82" s="62">
        <f ca="1">AVERAGE(OFFSET($FI$3,0,0,'Données projet'!$E$16+1,1))-AVERAGE(OFFSET($H$3,0,0,'Données projet'!$E$16+1,1))</f>
        <v>369.34989412920129</v>
      </c>
      <c r="FK82" s="62">
        <f t="shared" si="102"/>
        <v>371.26234252426553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0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>
        <f>FZ82*VLOOKUP('Données projet'!$B$17,Paramètres!$A$1:$I$89,3,0)*VLOOKUP('Données projet'!$B$17,Paramètres!$A$1:$I$89,5,0)</f>
        <v>0</v>
      </c>
      <c r="GB82" s="14" t="e">
        <f t="shared" si="103"/>
        <v>#NUM!</v>
      </c>
      <c r="GC82" s="22" t="e">
        <f t="shared" si="79"/>
        <v>#NUM!</v>
      </c>
      <c r="GD82" s="62" t="e">
        <f t="shared" si="80"/>
        <v>#NUM!</v>
      </c>
      <c r="GE82" s="62">
        <f ca="1">AVERAGE(OFFSET($GD$3,0,0,'Données projet'!$E$17+1,1))-AVERAGE(OFFSET($H$3,0,0,'Données projet'!$E$17+1,1))</f>
        <v>324.4489531703187</v>
      </c>
      <c r="GF82" s="62">
        <f t="shared" si="104"/>
        <v>446.55019360848706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projet'!$B$17,Paramètres!$A$1:$I$89,3,0)*0.475*44/12</f>
        <v>0</v>
      </c>
      <c r="GM82" s="23">
        <f>EXP(-LN(2)/25)*GM81+(1-EXP(-LN(2)/25))/(LN(2)/25)*Calculateur!GH82*Calculateur!GJ82*VLOOKUP('Données projet'!$B$17,Paramètres!$A$1:$I$89,3,0)*0.475*44/12</f>
        <v>0</v>
      </c>
      <c r="GN82" s="23">
        <f>EXP(-LN(2)/2)*GN81+(1-EXP(-LN(2)/2))/(LN(2)/2)*GH82*GK82*VLOOKUP('Données projet'!$B$17,Paramètres!$A$1:$I$89,3,0)*0.475*44/12</f>
        <v>0</v>
      </c>
      <c r="GO82" s="23">
        <f t="shared" si="81"/>
        <v>0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4.2307692307692264</v>
      </c>
      <c r="GU82" s="13">
        <f>IF('Données projet'!$A$270&gt;35,GU81+GT82-HC81,IF(A82&lt;'Données projet'!$A$270,$GR$205^A82,IF(A82='Données projet'!$A$270,'Données projet'!$B$270,GU81+GT82-HC81)))</f>
        <v>277.82051282051287</v>
      </c>
      <c r="GV82" s="18">
        <f>GU82*VLOOKUP('Données projet'!$B$18,Paramètres!$A$1:$I$89,3,0)*VLOOKUP('Données projet'!$B$18,Paramètres!$A$1:$I$89,5,0)</f>
        <v>186.36200000000002</v>
      </c>
      <c r="GW82" s="14">
        <f t="shared" si="105"/>
        <v>46.734739947740024</v>
      </c>
      <c r="GX82" s="22">
        <f t="shared" si="82"/>
        <v>405.97682207564725</v>
      </c>
      <c r="GY82" s="62">
        <f t="shared" si="83"/>
        <v>699.31015540898056</v>
      </c>
      <c r="GZ82" s="62">
        <f ca="1">AVERAGE(OFFSET($GY$3,0,0,'Données projet'!$E$18+1,1))-AVERAGE(OFFSET($H$3,0,0,'Données projet'!$E$18+1,1))</f>
        <v>312.06797204903796</v>
      </c>
      <c r="HA82" s="62">
        <f t="shared" si="106"/>
        <v>258.20189001775151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>
        <f>EXP(-LN(2)/35)*HG81+(1-EXP(-LN(2)/35))/(LN(2)/35)*HC82*HD82*VLOOKUP('Données projet'!$B$18,Paramètres!$A$1:$I$89,3,0)*0.475*44/12</f>
        <v>0</v>
      </c>
      <c r="HH82" s="23">
        <f>EXP(-LN(2)/25)*HH81+(1-EXP(-LN(2)/25))/(LN(2)/25)*Calculateur!HC82*Calculateur!HE82*VLOOKUP('Données projet'!$B$18,Paramètres!$A$1:$I$89,3,0)*0.475*44/12</f>
        <v>0</v>
      </c>
      <c r="HI82" s="23">
        <f>EXP(-LN(2)/2)*HI81+(1-EXP(-LN(2)/2))/(LN(2)/2)*HC82*HF82*VLOOKUP('Données projet'!$B$18,Paramètres!$A$1:$I$89,3,0)*0.475*44/12</f>
        <v>0</v>
      </c>
      <c r="HJ82" s="24">
        <f t="shared" si="84"/>
        <v>0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348</v>
      </c>
      <c r="L83" s="13">
        <f>VLOOKUP(A83,'Données projet'!$A$35:$I$55,9,0)</f>
        <v>7.2</v>
      </c>
      <c r="M83" s="13">
        <f t="array" ref="M83">INDEX(L:L,MIN(IF(ISNUMBER(L83:L279),ROW(L83:L279),"")))</f>
        <v>7.2</v>
      </c>
      <c r="N83" s="14">
        <f>IF('Données projet'!$A$36&gt;35,N82+M83-V82,IF(A83&lt;'Données projet'!$A$36,$K$205^A83,IF(A83='Données projet'!$A$36,'Données projet'!$B$36,N82+M83-V82)))</f>
        <v>347.99999999999989</v>
      </c>
      <c r="O83" s="14">
        <f>N83*VLOOKUP('Données projet'!$B$9,Paramètres!$A$1:$I$89,3,0)*VLOOKUP('Données projet'!$B$9,Paramètres!$A$1:$I$89,5,0)</f>
        <v>314.8703999999999</v>
      </c>
      <c r="P83" s="14">
        <f t="shared" si="87"/>
        <v>74.285038887149952</v>
      </c>
      <c r="Q83" s="22">
        <f t="shared" si="54"/>
        <v>677.77905606178604</v>
      </c>
      <c r="R83" s="62">
        <f t="shared" si="55"/>
        <v>971.11238939511941</v>
      </c>
      <c r="S83" s="62">
        <f ca="1">AVERAGE(OFFSET($R$3,0,0,'Données projet'!$E$9+1,1))-AVERAGE(OFFSET($H$3,0,0,'Données projet'!$E$9+1,1))</f>
        <v>512.84819850818667</v>
      </c>
      <c r="T83" s="62">
        <f t="shared" si="88"/>
        <v>332.61387922152159</v>
      </c>
      <c r="U83" s="16">
        <f>IF(ISNA(VLOOKUP(A83,'Données projet'!$A$35:$I$55,3,0)),0,VLOOKUP(A83,'Données projet'!$A$35:$I$55,3,0))</f>
        <v>7</v>
      </c>
      <c r="V83" s="16">
        <f>IF(ISNA(VLOOKUP(A83,'Données projet'!$A$35:$I$55,4,0)),0,VLOOKUP(A83,'Données projet'!$A$35:$I$55,4,0))</f>
        <v>56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341.3</v>
      </c>
      <c r="AG83" s="13">
        <f>VLOOKUP(A83,'Données projet'!$A$61:$I$81,9,0)</f>
        <v>3.5600000000000023</v>
      </c>
      <c r="AH83" s="13">
        <f t="array" ref="AH83">INDEX(AG:AG,MIN(IF(ISNUMBER(AG83:AG279),ROW(AG83:AG279),"")))</f>
        <v>3.5600000000000023</v>
      </c>
      <c r="AI83" s="14">
        <f>IF('Données projet'!$A$62&gt;35,AI82+AH83-AQ82,IF(A83&lt;'Données projet'!$A$62,$AF$205^A83,IF(A83='Données projet'!$A$62,'Données projet'!$B$62,AI82+AH83-AQ82)))</f>
        <v>341.29999999999995</v>
      </c>
      <c r="AJ83" s="14">
        <f>AI83*VLOOKUP('Données projet'!$B$10,Paramètres!$A$1:$I$89,3,0)*VLOOKUP('Données projet'!$B$10,Paramètres!$A$1:$I$89,5,0)</f>
        <v>250.24115999999998</v>
      </c>
      <c r="AK83" s="14">
        <f t="shared" si="89"/>
        <v>60.637578738550481</v>
      </c>
      <c r="AL83" s="22">
        <f t="shared" si="58"/>
        <v>541.44713663630864</v>
      </c>
      <c r="AM83" s="62">
        <f t="shared" si="59"/>
        <v>834.7804699696419</v>
      </c>
      <c r="AN83" s="62">
        <f ca="1">AVERAGE(OFFSET($AM$3,0,0,'Données projet'!$E$10+1,1))-AVERAGE(OFFSET($H$3,0,0,'Données projet'!$E$10+1,1))</f>
        <v>344.45199703750711</v>
      </c>
      <c r="AO83" s="62">
        <f t="shared" si="90"/>
        <v>376.41441893222185</v>
      </c>
      <c r="AP83" s="16">
        <f>IF(ISNA(VLOOKUP(A83,'Données projet'!$A$61:$I$81,3,0)),0,VLOOKUP(A83,'Données projet'!$A$61:$I$81,3,0))</f>
        <v>7</v>
      </c>
      <c r="AQ83" s="16">
        <f>IF(ISNA(VLOOKUP(A83,'Données projet'!$A$61:$I$81,4,0)),0,VLOOKUP(A83,'Données projet'!$A$61:$I$81,4,0))</f>
        <v>341.3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348</v>
      </c>
      <c r="BB83" s="13">
        <f>VLOOKUP(A83,'Données projet'!$A$87:$I$107,9,0)</f>
        <v>7.2</v>
      </c>
      <c r="BC83" s="13">
        <f t="array" ref="BC83">INDEX(BB:BB,MIN(IF(ISNUMBER(BB83:BB279),ROW(BB83:BB279),"")))</f>
        <v>7.2</v>
      </c>
      <c r="BD83" s="13">
        <f>IF('Données projet'!$A$88&gt;35,BD82+BC83-BL82,IF(A83&lt;'Données projet'!$A$88,$BA$205^A83,IF(A83='Données projet'!$A$88,'Données projet'!$B$88,BD82+BC83-BL82)))</f>
        <v>347.99999999999989</v>
      </c>
      <c r="BE83" s="14">
        <f>BD83*VLOOKUP('Données projet'!$B$11,Paramètres!$A$1:$I$89,3,0)*VLOOKUP('Données projet'!$B$11,Paramètres!$A$1:$I$89,5,0)</f>
        <v>352.8719999999999</v>
      </c>
      <c r="BF83" s="14">
        <f t="shared" si="91"/>
        <v>82.153604299641287</v>
      </c>
      <c r="BG83" s="22">
        <f t="shared" si="61"/>
        <v>757.66959415520842</v>
      </c>
      <c r="BH83" s="62">
        <f t="shared" si="62"/>
        <v>1051.0029274885417</v>
      </c>
      <c r="BI83" s="62">
        <f ca="1">AVERAGE(OFFSET($BH$3,0,0,'Données projet'!$E$11+1,1))-AVERAGE(OFFSET($H$3,0,0,'Données projet'!$E$11+1,1))</f>
        <v>569.39473185784823</v>
      </c>
      <c r="BJ83" s="62">
        <f t="shared" si="92"/>
        <v>367.42881145517066</v>
      </c>
      <c r="BK83" s="16">
        <f>IF(ISNA(VLOOKUP(A83,'Données projet'!$A$87:$I$107,3,0)),0,VLOOKUP(A83,'Données projet'!$A$87:$I$107,3,0))</f>
        <v>7</v>
      </c>
      <c r="BL83" s="23">
        <f>IF(ISNA(VLOOKUP(A83,'Données projet'!$A$87:$I$107,4,0)),0,VLOOKUP(A83,'Données projet'!$A$87:$I$107,4,0))</f>
        <v>56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379</v>
      </c>
      <c r="BW83" s="13">
        <f>VLOOKUP(A83,'Données projet'!$A$113:$I$133,9,0)</f>
        <v>8.8000000000000007</v>
      </c>
      <c r="BX83" s="13">
        <f t="array" ref="BX83">INDEX(BW:BW,MIN(IF(ISNUMBER(BW83:BW279),ROW(BW83:BW279),"")))</f>
        <v>8.8000000000000007</v>
      </c>
      <c r="BY83" s="13">
        <f>IF('Données projet'!$A$114&gt;35,BY82+BX83-CG82,IF(A83&lt;'Données projet'!$A$114,$BV$205^A83,IF(A83='Données projet'!$A$114,'Données projet'!$B$114,BY82+BX83-CG82)))</f>
        <v>378.99999999999989</v>
      </c>
      <c r="BZ83" s="14">
        <f>BY83*VLOOKUP('Données projet'!$B$12,Paramètres!$A$1:$I$89,3,0)*VLOOKUP('Données projet'!$B$12,Paramètres!$A$1:$I$89,5,0)</f>
        <v>325.18199999999996</v>
      </c>
      <c r="CA83" s="14">
        <f t="shared" si="93"/>
        <v>76.430559420348956</v>
      </c>
      <c r="CB83" s="22">
        <f t="shared" si="64"/>
        <v>699.47520765710772</v>
      </c>
      <c r="CC83" s="62">
        <f t="shared" si="65"/>
        <v>992.80854099044109</v>
      </c>
      <c r="CD83" s="62">
        <f ca="1">AVERAGE(OFFSET($CC$3,0,0,'Données projet'!$E$12+1,1))-AVERAGE(OFFSET($H$3,0,0,'Données projet'!$E$12+1,1))</f>
        <v>554.06253050955502</v>
      </c>
      <c r="CE83" s="62">
        <f t="shared" si="94"/>
        <v>269.71949336355789</v>
      </c>
      <c r="CF83" s="16">
        <f>IF(ISNA(VLOOKUP(A83,'Données projet'!$A$113:$I$133,3,0)),0,VLOOKUP(A83,'Données projet'!$A$113:$I$133,3,0))</f>
        <v>6</v>
      </c>
      <c r="CG83" s="16">
        <f>IF(ISNA(VLOOKUP(A83,'Données projet'!$A$113:$I$133,4,0)),0,VLOOKUP(A83,'Données projet'!$A$113:$I$133,4,0))</f>
        <v>66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1.1368683772161603E-13</v>
      </c>
      <c r="CU83" s="18">
        <f>CT83*VLOOKUP('Données projet'!$B$13,Paramètres!$A$1:$I$89,3,0)*VLOOKUP('Données projet'!$B$13,Paramètres!$A$1:$I$89,5,0)</f>
        <v>8.8675733422860506E-14</v>
      </c>
      <c r="CV83" s="14">
        <f t="shared" si="95"/>
        <v>1.3509285393066301E-12</v>
      </c>
      <c r="CW83" s="22">
        <f t="shared" si="67"/>
        <v>2.5073107750038623E-12</v>
      </c>
      <c r="CX83" s="62">
        <f t="shared" si="68"/>
        <v>293.33333333333582</v>
      </c>
      <c r="CY83" s="62">
        <f ca="1">AVERAGE(OFFSET($CX$3,0,0,'Données projet'!$E$13+1,1))-AVERAGE(OFFSET($H$3,0,0,'Données projet'!$E$13+1,1))</f>
        <v>292.21364130214391</v>
      </c>
      <c r="CZ83" s="62">
        <f t="shared" si="96"/>
        <v>283.48738729114024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266.66666666666669</v>
      </c>
      <c r="DM83" s="13">
        <f>VLOOKUP(A83,'Données projet'!$A$165:$I$185,9,0)</f>
        <v>4.4871794871794917</v>
      </c>
      <c r="DN83" s="13">
        <f t="array" ref="DN83">INDEX(DM:DM,MIN(IF(ISNUMBER(DM83:DM279),ROW(DM83:DM279),"")))</f>
        <v>4.4871794871794917</v>
      </c>
      <c r="DO83" s="13">
        <f>IF('Données projet'!$A$166&gt;35,DO82+DN83-DW82,IF(A83&lt;'Données projet'!$A$166,$DL$205^A83,IF(A83='Données projet'!$A$166,'Données projet'!$B$166,DO82+DN83-DW82)))</f>
        <v>266.66666666666674</v>
      </c>
      <c r="DP83" s="18">
        <f>DO83*VLOOKUP('Données projet'!$B$14,Paramètres!$A$1:$I$89,3,0)*VLOOKUP('Données projet'!$B$14,Paramètres!$A$1:$I$89,5,0)</f>
        <v>253.76000000000008</v>
      </c>
      <c r="DQ83" s="14">
        <f t="shared" si="97"/>
        <v>61.390387407231827</v>
      </c>
      <c r="DR83" s="22">
        <f t="shared" si="70"/>
        <v>548.88692473426227</v>
      </c>
      <c r="DS83" s="62">
        <f t="shared" si="71"/>
        <v>842.22025806759552</v>
      </c>
      <c r="DT83" s="62">
        <f ca="1">AVERAGE(OFFSET($DS$3,0,0,'Données projet'!$E$14+1,1))-AVERAGE(OFFSET($H$3,0,0,'Données projet'!$E$14+1,1))</f>
        <v>427.47603885390191</v>
      </c>
      <c r="DU83" s="62">
        <f t="shared" si="98"/>
        <v>350.88664394632116</v>
      </c>
      <c r="DV83" s="16">
        <f>IF(ISNA(VLOOKUP(A83,'Données projet'!$A$165:$I$185,3,0)),0,VLOOKUP(A83,'Données projet'!$A$165:$I$185,3,0))</f>
        <v>7</v>
      </c>
      <c r="DW83" s="16">
        <f>IF(ISNA(VLOOKUP(A83,'Données projet'!$A$165:$I$185,4,0)),0,VLOOKUP(A83,'Données projet'!$A$165:$I$185,4,0))</f>
        <v>31.410256410256409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282</v>
      </c>
      <c r="EH83" s="13">
        <f>VLOOKUP(A83,'Données projet'!$A$191:$I$211,9,0)</f>
        <v>6</v>
      </c>
      <c r="EI83" s="13">
        <f t="array" ref="EI83">INDEX(EH:EH,MIN(IF(ISNUMBER(EH83:EH279),ROW(EH83:EH279),"")))</f>
        <v>6</v>
      </c>
      <c r="EJ83" s="13">
        <f>IF('Données projet'!$A$192&gt;35,EJ82+EI83-ER82,IF(A83&lt;'Données projet'!$A$192,$EG$205^A83,IF(A83='Données projet'!$A$192,'Données projet'!$B$192,EJ82+EI83-ER82)))</f>
        <v>281.99999999999989</v>
      </c>
      <c r="EK83" s="18">
        <f>EJ83*VLOOKUP('Données projet'!$B$15,Paramètres!$A$1:$I$89,3,0)*VLOOKUP('Données projet'!$B$15,Paramètres!$A$1:$I$89,5,0)</f>
        <v>272.7503999999999</v>
      </c>
      <c r="EL83" s="14">
        <f t="shared" si="99"/>
        <v>65.432628830820633</v>
      </c>
      <c r="EM83" s="22">
        <f t="shared" si="73"/>
        <v>589.00210854701243</v>
      </c>
      <c r="EN83" s="62">
        <f t="shared" si="74"/>
        <v>882.3354418803458</v>
      </c>
      <c r="EO83" s="62">
        <f ca="1">AVERAGE(OFFSET($EN$3,0,0,'Données projet'!$E$15+1,1))-AVERAGE(OFFSET($H$3,0,0,'Données projet'!$E$15+1,1))</f>
        <v>455.50822833641354</v>
      </c>
      <c r="EP83" s="62">
        <f t="shared" si="100"/>
        <v>261.14722581688039</v>
      </c>
      <c r="EQ83" s="16">
        <f>IF(ISNA(VLOOKUP(A83,'Données projet'!$A$191:$I$211,3,0)),0,VLOOKUP(A83,'Données projet'!$A$191:$I$211,3,0))</f>
        <v>6</v>
      </c>
      <c r="ER83" s="16">
        <f>IF(ISNA(VLOOKUP(A83,'Données projet'!$A$191:$I$211,4,0)),0,VLOOKUP(A83,'Données projet'!$A$191:$I$211,4,0))</f>
        <v>42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>
        <f>VLOOKUP(A83,'Données projet'!$A$217:$I$237,2,0)</f>
        <v>261</v>
      </c>
      <c r="FC83" s="13">
        <f>VLOOKUP(A83,'Données projet'!$A$217:$I$237,9,0)</f>
        <v>4</v>
      </c>
      <c r="FD83" s="13">
        <f t="array" ref="FD83">INDEX(FC:FC,MIN(IF(ISNUMBER(FC83:FC279),ROW(FC83:FC279),"")))</f>
        <v>4</v>
      </c>
      <c r="FE83" s="13">
        <f>IF('Données projet'!$A$218&gt;35,FE82+FD83-FM82,IF(A83&lt;'Données projet'!$A$218,$FB$205^A83,IF(A83='Données projet'!$A$218,'Données projet'!$B$218,FE82+FD83-FM82)))</f>
        <v>261</v>
      </c>
      <c r="FF83" s="18">
        <f>FE83*VLOOKUP('Données projet'!$B$16,Paramètres!$A$1:$I$89,3,0)*VLOOKUP('Données projet'!$B$16,Paramètres!$A$1:$I$89,5,0)</f>
        <v>228.00960000000003</v>
      </c>
      <c r="FG83" s="14">
        <f t="shared" si="101"/>
        <v>55.852093054619829</v>
      </c>
      <c r="FH83" s="22">
        <f t="shared" si="76"/>
        <v>494.39244873679627</v>
      </c>
      <c r="FI83" s="62">
        <f t="shared" si="77"/>
        <v>787.72578207012953</v>
      </c>
      <c r="FJ83" s="62">
        <f ca="1">AVERAGE(OFFSET($FI$3,0,0,'Données projet'!$E$16+1,1))-AVERAGE(OFFSET($H$3,0,0,'Données projet'!$E$16+1,1))</f>
        <v>369.34989412920129</v>
      </c>
      <c r="FK83" s="62">
        <f t="shared" si="102"/>
        <v>371.26234252426553</v>
      </c>
      <c r="FL83" s="16">
        <f>IF(ISNA(VLOOKUP(A83,'Données projet'!$A$217:$I$237,3,0)),0,VLOOKUP(A83,'Données projet'!$A$217:$I$237,3,0))</f>
        <v>7</v>
      </c>
      <c r="FM83" s="16">
        <f>IF(ISNA(VLOOKUP(A83,'Données projet'!$A$217:$I$237,4,0)),0,VLOOKUP(A83,'Données projet'!$A$217:$I$237,4,0))</f>
        <v>31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0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>
        <f>FZ83*VLOOKUP('Données projet'!$B$17,Paramètres!$A$1:$I$89,3,0)*VLOOKUP('Données projet'!$B$17,Paramètres!$A$1:$I$89,5,0)</f>
        <v>0</v>
      </c>
      <c r="GB83" s="14" t="e">
        <f t="shared" si="103"/>
        <v>#NUM!</v>
      </c>
      <c r="GC83" s="22" t="e">
        <f t="shared" si="79"/>
        <v>#NUM!</v>
      </c>
      <c r="GD83" s="62" t="e">
        <f t="shared" si="80"/>
        <v>#NUM!</v>
      </c>
      <c r="GE83" s="62">
        <f ca="1">AVERAGE(OFFSET($GD$3,0,0,'Données projet'!$E$17+1,1))-AVERAGE(OFFSET($H$3,0,0,'Données projet'!$E$17+1,1))</f>
        <v>324.4489531703187</v>
      </c>
      <c r="GF83" s="62">
        <f t="shared" si="104"/>
        <v>446.55019360848706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projet'!$B$17,Paramètres!$A$1:$I$89,3,0)*0.475*44/12</f>
        <v>0</v>
      </c>
      <c r="GM83" s="23">
        <f>EXP(-LN(2)/25)*GM82+(1-EXP(-LN(2)/25))/(LN(2)/25)*Calculateur!GH83*Calculateur!GJ83*VLOOKUP('Données projet'!$B$17,Paramètres!$A$1:$I$89,3,0)*0.475*44/12</f>
        <v>0</v>
      </c>
      <c r="GN83" s="23">
        <f>EXP(-LN(2)/2)*GN82+(1-EXP(-LN(2)/2))/(LN(2)/2)*GH83*GK83*VLOOKUP('Données projet'!$B$17,Paramètres!$A$1:$I$89,3,0)*0.475*44/12</f>
        <v>0</v>
      </c>
      <c r="GO83" s="23">
        <f t="shared" si="81"/>
        <v>0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>
        <f>VLOOKUP(A83,'Données projet'!$A$269:$I$289,2,0)</f>
        <v>282.05128205128204</v>
      </c>
      <c r="GS83" s="13">
        <f>VLOOKUP(A83,'Données projet'!$A$269:$I$289,9,0)</f>
        <v>4.2307692307692264</v>
      </c>
      <c r="GT83" s="13">
        <f t="array" ref="GT83">INDEX(GS:GS,MIN(IF(ISNUMBER(GS83:GS279),ROW(GS83:GS279),"")))</f>
        <v>4.2307692307692264</v>
      </c>
      <c r="GU83" s="13">
        <f>IF('Données projet'!$A$270&gt;35,GU82+GT83-HC82,IF(A83&lt;'Données projet'!$A$270,$GR$205^A83,IF(A83='Données projet'!$A$270,'Données projet'!$B$270,GU82+GT83-HC82)))</f>
        <v>282.0512820512821</v>
      </c>
      <c r="GV83" s="18">
        <f>GU83*VLOOKUP('Données projet'!$B$18,Paramètres!$A$1:$I$89,3,0)*VLOOKUP('Données projet'!$B$18,Paramètres!$A$1:$I$89,5,0)</f>
        <v>189.20000000000005</v>
      </c>
      <c r="GW83" s="14">
        <f t="shared" si="105"/>
        <v>47.363040799609742</v>
      </c>
      <c r="GX83" s="22">
        <f t="shared" si="82"/>
        <v>412.01396272598703</v>
      </c>
      <c r="GY83" s="62">
        <f t="shared" si="83"/>
        <v>705.34729605932034</v>
      </c>
      <c r="GZ83" s="62">
        <f ca="1">AVERAGE(OFFSET($GY$3,0,0,'Données projet'!$E$18+1,1))-AVERAGE(OFFSET($H$3,0,0,'Données projet'!$E$18+1,1))</f>
        <v>312.06797204903796</v>
      </c>
      <c r="HA83" s="62">
        <f t="shared" si="106"/>
        <v>258.20189001775151</v>
      </c>
      <c r="HB83" s="16">
        <f>IF(ISNA(VLOOKUP(A83,'Données projet'!$A$269:$I$289,3,0)),0,VLOOKUP(A83,'Données projet'!$A$269:$I$289,3,0))</f>
        <v>7</v>
      </c>
      <c r="HC83" s="16">
        <f>IF(ISNA(VLOOKUP(A83,'Données projet'!$A$269:$I$289,4,0)),0,VLOOKUP(A83,'Données projet'!$A$269:$I$289,4,0))</f>
        <v>26.282051282051281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>
        <f>EXP(-LN(2)/35)*HG82+(1-EXP(-LN(2)/35))/(LN(2)/35)*HC83*HD83*VLOOKUP('Données projet'!$B$18,Paramètres!$A$1:$I$89,3,0)*0.475*44/12</f>
        <v>0</v>
      </c>
      <c r="HH83" s="23">
        <f>EXP(-LN(2)/25)*HH82+(1-EXP(-LN(2)/25))/(LN(2)/25)*Calculateur!HC83*Calculateur!HE83*VLOOKUP('Données projet'!$B$18,Paramètres!$A$1:$I$89,3,0)*0.475*44/12</f>
        <v>0</v>
      </c>
      <c r="HI83" s="23">
        <f>EXP(-LN(2)/2)*HI82+(1-EXP(-LN(2)/2))/(LN(2)/2)*HC83*HF83*VLOOKUP('Données projet'!$B$18,Paramètres!$A$1:$I$89,3,0)*0.475*44/12</f>
        <v>0</v>
      </c>
      <c r="HJ83" s="24">
        <f t="shared" si="84"/>
        <v>0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6.6</v>
      </c>
      <c r="N84" s="14">
        <f>IF('Données projet'!$A$36&gt;35,N83+M84-V83,IF(A84&lt;'Données projet'!$A$36,$K$205^A84,IF(A84='Données projet'!$A$36,'Données projet'!$B$36,N83+M84-V83)))</f>
        <v>298.59999999999991</v>
      </c>
      <c r="O84" s="14">
        <f>N84*VLOOKUP('Données projet'!$B$9,Paramètres!$A$1:$I$89,3,0)*VLOOKUP('Données projet'!$B$9,Paramètres!$A$1:$I$89,5,0)</f>
        <v>270.17327999999992</v>
      </c>
      <c r="P84" s="14">
        <f t="shared" si="87"/>
        <v>64.886042303882988</v>
      </c>
      <c r="Q84" s="22">
        <f t="shared" si="54"/>
        <v>583.56165301259614</v>
      </c>
      <c r="R84" s="62">
        <f t="shared" si="55"/>
        <v>876.89498634592951</v>
      </c>
      <c r="S84" s="62">
        <f ca="1">AVERAGE(OFFSET($R$3,0,0,'Données projet'!$E$9+1,1))-AVERAGE(OFFSET($H$3,0,0,'Données projet'!$E$9+1,1))</f>
        <v>512.84819850818667</v>
      </c>
      <c r="T84" s="62">
        <f t="shared" si="88"/>
        <v>332.61387922152159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-5.6843418860808015E-14</v>
      </c>
      <c r="AJ84" s="14">
        <f>AI84*VLOOKUP('Données projet'!$B$10,Paramètres!$A$1:$I$89,3,0)*VLOOKUP('Données projet'!$B$10,Paramètres!$A$1:$I$89,5,0)</f>
        <v>-4.1677594708744434E-14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344.45199703750711</v>
      </c>
      <c r="AO84" s="62">
        <f t="shared" si="90"/>
        <v>376.41441893222185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6.6</v>
      </c>
      <c r="BD84" s="13">
        <f>IF('Données projet'!$A$88&gt;35,BD83+BC84-BL83,IF(A84&lt;'Données projet'!$A$88,$BA$205^A84,IF(A84='Données projet'!$A$88,'Données projet'!$B$88,BD83+BC84-BL83)))</f>
        <v>298.59999999999991</v>
      </c>
      <c r="BE84" s="14">
        <f>BD84*VLOOKUP('Données projet'!$B$11,Paramètres!$A$1:$I$89,3,0)*VLOOKUP('Données projet'!$B$11,Paramètres!$A$1:$I$89,5,0)</f>
        <v>302.78039999999993</v>
      </c>
      <c r="BF84" s="14">
        <f t="shared" si="91"/>
        <v>71.75902878776165</v>
      </c>
      <c r="BG84" s="22">
        <f t="shared" si="61"/>
        <v>652.32283847201813</v>
      </c>
      <c r="BH84" s="62">
        <f t="shared" si="62"/>
        <v>945.65617180535151</v>
      </c>
      <c r="BI84" s="62">
        <f ca="1">AVERAGE(OFFSET($BH$3,0,0,'Données projet'!$E$11+1,1))-AVERAGE(OFFSET($H$3,0,0,'Données projet'!$E$11+1,1))</f>
        <v>569.39473185784823</v>
      </c>
      <c r="BJ84" s="62">
        <f t="shared" si="92"/>
        <v>367.42881145517066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9.1</v>
      </c>
      <c r="BY84" s="13">
        <f>IF('Données projet'!$A$114&gt;35,BY83+BX84-CG83,IF(A84&lt;'Données projet'!$A$114,$BV$205^A84,IF(A84='Données projet'!$A$114,'Données projet'!$B$114,BY83+BX84-CG83)))</f>
        <v>322.09999999999991</v>
      </c>
      <c r="BZ84" s="14">
        <f>BY84*VLOOKUP('Données projet'!$B$12,Paramètres!$A$1:$I$89,3,0)*VLOOKUP('Données projet'!$B$12,Paramètres!$A$1:$I$89,5,0)</f>
        <v>276.36179999999996</v>
      </c>
      <c r="CA84" s="14">
        <f t="shared" si="93"/>
        <v>66.197568375369357</v>
      </c>
      <c r="CB84" s="22">
        <f t="shared" si="64"/>
        <v>596.62423325376824</v>
      </c>
      <c r="CC84" s="62">
        <f t="shared" si="65"/>
        <v>889.95756658710161</v>
      </c>
      <c r="CD84" s="62">
        <f ca="1">AVERAGE(OFFSET($CC$3,0,0,'Données projet'!$E$12+1,1))-AVERAGE(OFFSET($H$3,0,0,'Données projet'!$E$12+1,1))</f>
        <v>554.06253050955502</v>
      </c>
      <c r="CE84" s="62">
        <f t="shared" si="94"/>
        <v>269.71949336355789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1.1368683772161603E-13</v>
      </c>
      <c r="CU84" s="18">
        <f>CT84*VLOOKUP('Données projet'!$B$13,Paramètres!$A$1:$I$89,3,0)*VLOOKUP('Données projet'!$B$13,Paramètres!$A$1:$I$89,5,0)</f>
        <v>8.8675733422860506E-14</v>
      </c>
      <c r="CV84" s="14">
        <f t="shared" si="95"/>
        <v>1.3509285393066301E-12</v>
      </c>
      <c r="CW84" s="22">
        <f t="shared" si="67"/>
        <v>2.5073107750038623E-12</v>
      </c>
      <c r="CX84" s="62">
        <f t="shared" si="68"/>
        <v>293.33333333333582</v>
      </c>
      <c r="CY84" s="62">
        <f ca="1">AVERAGE(OFFSET($CX$3,0,0,'Données projet'!$E$13+1,1))-AVERAGE(OFFSET($H$3,0,0,'Données projet'!$E$13+1,1))</f>
        <v>292.21364130214391</v>
      </c>
      <c r="CZ84" s="62">
        <f t="shared" si="96"/>
        <v>283.48738729114024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4.3589743589743533</v>
      </c>
      <c r="DO84" s="13">
        <f>IF('Données projet'!$A$166&gt;35,DO83+DN84-DW83,IF(A84&lt;'Données projet'!$A$166,$DL$205^A84,IF(A84='Données projet'!$A$166,'Données projet'!$B$166,DO83+DN84-DW83)))</f>
        <v>239.6153846153847</v>
      </c>
      <c r="DP84" s="18">
        <f>DO84*VLOOKUP('Données projet'!$B$14,Paramètres!$A$1:$I$89,3,0)*VLOOKUP('Données projet'!$B$14,Paramètres!$A$1:$I$89,5,0)</f>
        <v>228.01800000000006</v>
      </c>
      <c r="DQ84" s="14">
        <f t="shared" si="97"/>
        <v>55.853911165569251</v>
      </c>
      <c r="DR84" s="22">
        <f t="shared" si="70"/>
        <v>494.41024528003317</v>
      </c>
      <c r="DS84" s="62">
        <f t="shared" si="71"/>
        <v>787.74357861336648</v>
      </c>
      <c r="DT84" s="62">
        <f ca="1">AVERAGE(OFFSET($DS$3,0,0,'Données projet'!$E$14+1,1))-AVERAGE(OFFSET($H$3,0,0,'Données projet'!$E$14+1,1))</f>
        <v>427.47603885390191</v>
      </c>
      <c r="DU84" s="62">
        <f t="shared" si="98"/>
        <v>350.88664394632116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5.6</v>
      </c>
      <c r="EJ84" s="13">
        <f>IF('Données projet'!$A$192&gt;35,EJ83+EI84-ER83,IF(A84&lt;'Données projet'!$A$192,$EG$205^A84,IF(A84='Données projet'!$A$192,'Données projet'!$B$192,EJ83+EI84-ER83)))</f>
        <v>245.59999999999991</v>
      </c>
      <c r="EK84" s="18">
        <f>EJ84*VLOOKUP('Données projet'!$B$15,Paramètres!$A$1:$I$89,3,0)*VLOOKUP('Données projet'!$B$15,Paramètres!$A$1:$I$89,5,0)</f>
        <v>237.54431999999991</v>
      </c>
      <c r="EL84" s="14">
        <f t="shared" si="99"/>
        <v>57.910863128487989</v>
      </c>
      <c r="EM84" s="22">
        <f t="shared" si="73"/>
        <v>514.58444394878302</v>
      </c>
      <c r="EN84" s="62">
        <f t="shared" si="74"/>
        <v>807.91777728211628</v>
      </c>
      <c r="EO84" s="62">
        <f ca="1">AVERAGE(OFFSET($EN$3,0,0,'Données projet'!$E$15+1,1))-AVERAGE(OFFSET($H$3,0,0,'Données projet'!$E$15+1,1))</f>
        <v>455.50822833641354</v>
      </c>
      <c r="EP84" s="62">
        <f t="shared" si="100"/>
        <v>261.14722581688039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3.6</v>
      </c>
      <c r="FE84" s="13">
        <f>IF('Données projet'!$A$218&gt;35,FE83+FD84-FM83,IF(A84&lt;'Données projet'!$A$218,$FB$205^A84,IF(A84='Données projet'!$A$218,'Données projet'!$B$218,FE83+FD84-FM83)))</f>
        <v>233.60000000000002</v>
      </c>
      <c r="FF84" s="18">
        <f>FE84*VLOOKUP('Données projet'!$B$16,Paramètres!$A$1:$I$89,3,0)*VLOOKUP('Données projet'!$B$16,Paramètres!$A$1:$I$89,5,0)</f>
        <v>204.07296000000005</v>
      </c>
      <c r="FG84" s="14">
        <f t="shared" si="101"/>
        <v>50.638228095278635</v>
      </c>
      <c r="FH84" s="22">
        <f t="shared" si="76"/>
        <v>443.62198593261041</v>
      </c>
      <c r="FI84" s="62">
        <f t="shared" si="77"/>
        <v>736.95531926594367</v>
      </c>
      <c r="FJ84" s="62">
        <f ca="1">AVERAGE(OFFSET($FI$3,0,0,'Données projet'!$E$16+1,1))-AVERAGE(OFFSET($H$3,0,0,'Données projet'!$E$16+1,1))</f>
        <v>369.34989412920129</v>
      </c>
      <c r="FK84" s="62">
        <f t="shared" si="102"/>
        <v>371.26234252426553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0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>
        <f>FZ84*VLOOKUP('Données projet'!$B$17,Paramètres!$A$1:$I$89,3,0)*VLOOKUP('Données projet'!$B$17,Paramètres!$A$1:$I$89,5,0)</f>
        <v>0</v>
      </c>
      <c r="GB84" s="14" t="e">
        <f t="shared" si="103"/>
        <v>#NUM!</v>
      </c>
      <c r="GC84" s="22" t="e">
        <f t="shared" si="79"/>
        <v>#NUM!</v>
      </c>
      <c r="GD84" s="62" t="e">
        <f t="shared" si="80"/>
        <v>#NUM!</v>
      </c>
      <c r="GE84" s="62">
        <f ca="1">AVERAGE(OFFSET($GD$3,0,0,'Données projet'!$E$17+1,1))-AVERAGE(OFFSET($H$3,0,0,'Données projet'!$E$17+1,1))</f>
        <v>324.4489531703187</v>
      </c>
      <c r="GF84" s="62">
        <f t="shared" si="104"/>
        <v>446.55019360848706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projet'!$B$17,Paramètres!$A$1:$I$89,3,0)*0.475*44/12</f>
        <v>0</v>
      </c>
      <c r="GM84" s="23">
        <f>EXP(-LN(2)/25)*GM83+(1-EXP(-LN(2)/25))/(LN(2)/25)*Calculateur!GH84*Calculateur!GJ84*VLOOKUP('Données projet'!$B$17,Paramètres!$A$1:$I$89,3,0)*0.475*44/12</f>
        <v>0</v>
      </c>
      <c r="GN84" s="23">
        <f>EXP(-LN(2)/2)*GN83+(1-EXP(-LN(2)/2))/(LN(2)/2)*GH84*GK84*VLOOKUP('Données projet'!$B$17,Paramètres!$A$1:$I$89,3,0)*0.475*44/12</f>
        <v>0</v>
      </c>
      <c r="GO84" s="23">
        <f t="shared" si="81"/>
        <v>0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4.1025641025640995</v>
      </c>
      <c r="GU84" s="13">
        <f>IF('Données projet'!$A$270&gt;35,GU83+GT84-HC83,IF(A84&lt;'Données projet'!$A$270,$GR$205^A84,IF(A84='Données projet'!$A$270,'Données projet'!$B$270,GU83+GT84-HC83)))</f>
        <v>259.87179487179492</v>
      </c>
      <c r="GV84" s="18">
        <f>GU84*VLOOKUP('Données projet'!$B$18,Paramètres!$A$1:$I$89,3,0)*VLOOKUP('Données projet'!$B$18,Paramètres!$A$1:$I$89,5,0)</f>
        <v>174.32200000000003</v>
      </c>
      <c r="GW84" s="14">
        <f t="shared" si="105"/>
        <v>44.056588905148665</v>
      </c>
      <c r="GX84" s="22">
        <f t="shared" si="82"/>
        <v>380.34270900980056</v>
      </c>
      <c r="GY84" s="62">
        <f t="shared" si="83"/>
        <v>673.67604234313387</v>
      </c>
      <c r="GZ84" s="62">
        <f ca="1">AVERAGE(OFFSET($GY$3,0,0,'Données projet'!$E$18+1,1))-AVERAGE(OFFSET($H$3,0,0,'Données projet'!$E$18+1,1))</f>
        <v>312.06797204903796</v>
      </c>
      <c r="HA84" s="62">
        <f t="shared" si="106"/>
        <v>258.20189001775151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>
        <f>EXP(-LN(2)/35)*HG83+(1-EXP(-LN(2)/35))/(LN(2)/35)*HC84*HD84*VLOOKUP('Données projet'!$B$18,Paramètres!$A$1:$I$89,3,0)*0.475*44/12</f>
        <v>0</v>
      </c>
      <c r="HH84" s="23">
        <f>EXP(-LN(2)/25)*HH83+(1-EXP(-LN(2)/25))/(LN(2)/25)*Calculateur!HC84*Calculateur!HE84*VLOOKUP('Données projet'!$B$18,Paramètres!$A$1:$I$89,3,0)*0.475*44/12</f>
        <v>0</v>
      </c>
      <c r="HI84" s="23">
        <f>EXP(-LN(2)/2)*HI83+(1-EXP(-LN(2)/2))/(LN(2)/2)*HC84*HF84*VLOOKUP('Données projet'!$B$18,Paramètres!$A$1:$I$89,3,0)*0.475*44/12</f>
        <v>0</v>
      </c>
      <c r="HJ84" s="24">
        <f t="shared" si="84"/>
        <v>0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6.6</v>
      </c>
      <c r="N85" s="14">
        <f>IF('Données projet'!$A$36&gt;35,N84+M85-V84,IF(A85&lt;'Données projet'!$A$36,$K$205^A85,IF(A85='Données projet'!$A$36,'Données projet'!$B$36,N84+M85-V84)))</f>
        <v>305.19999999999993</v>
      </c>
      <c r="O85" s="14">
        <f>N85*VLOOKUP('Données projet'!$B$9,Paramètres!$A$1:$I$89,3,0)*VLOOKUP('Données projet'!$B$9,Paramètres!$A$1:$I$89,5,0)</f>
        <v>276.14495999999991</v>
      </c>
      <c r="P85" s="14">
        <f t="shared" si="87"/>
        <v>66.151671938851194</v>
      </c>
      <c r="Q85" s="22">
        <f t="shared" si="54"/>
        <v>596.16663396016554</v>
      </c>
      <c r="R85" s="62">
        <f t="shared" si="55"/>
        <v>889.49996729349891</v>
      </c>
      <c r="S85" s="62">
        <f ca="1">AVERAGE(OFFSET($R$3,0,0,'Données projet'!$E$9+1,1))-AVERAGE(OFFSET($H$3,0,0,'Données projet'!$E$9+1,1))</f>
        <v>512.84819850818667</v>
      </c>
      <c r="T85" s="62">
        <f t="shared" si="88"/>
        <v>332.61387922152159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-5.6843418860808015E-14</v>
      </c>
      <c r="AJ85" s="14">
        <f>AI85*VLOOKUP('Données projet'!$B$10,Paramètres!$A$1:$I$89,3,0)*VLOOKUP('Données projet'!$B$10,Paramètres!$A$1:$I$89,5,0)</f>
        <v>-4.1677594708744434E-14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344.45199703750711</v>
      </c>
      <c r="AO85" s="62">
        <f t="shared" si="90"/>
        <v>376.41441893222185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6.6</v>
      </c>
      <c r="BD85" s="13">
        <f>IF('Données projet'!$A$88&gt;35,BD84+BC85-BL84,IF(A85&lt;'Données projet'!$A$88,$BA$205^A85,IF(A85='Données projet'!$A$88,'Données projet'!$B$88,BD84+BC85-BL84)))</f>
        <v>305.19999999999993</v>
      </c>
      <c r="BE85" s="14">
        <f>BD85*VLOOKUP('Données projet'!$B$11,Paramètres!$A$1:$I$89,3,0)*VLOOKUP('Données projet'!$B$11,Paramètres!$A$1:$I$89,5,0)</f>
        <v>309.47279999999995</v>
      </c>
      <c r="BF85" s="14">
        <f t="shared" si="91"/>
        <v>73.15871892427802</v>
      </c>
      <c r="BG85" s="22">
        <f t="shared" si="61"/>
        <v>666.41656212645091</v>
      </c>
      <c r="BH85" s="62">
        <f t="shared" si="62"/>
        <v>959.74989545978428</v>
      </c>
      <c r="BI85" s="62">
        <f ca="1">AVERAGE(OFFSET($BH$3,0,0,'Données projet'!$E$11+1,1))-AVERAGE(OFFSET($H$3,0,0,'Données projet'!$E$11+1,1))</f>
        <v>569.39473185784823</v>
      </c>
      <c r="BJ85" s="62">
        <f t="shared" si="92"/>
        <v>367.42881145517066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9.1</v>
      </c>
      <c r="BY85" s="13">
        <f>IF('Données projet'!$A$114&gt;35,BY84+BX85-CG84,IF(A85&lt;'Données projet'!$A$114,$BV$205^A85,IF(A85='Données projet'!$A$114,'Données projet'!$B$114,BY84+BX85-CG84)))</f>
        <v>331.19999999999993</v>
      </c>
      <c r="BZ85" s="14">
        <f>BY85*VLOOKUP('Données projet'!$B$12,Paramètres!$A$1:$I$89,3,0)*VLOOKUP('Données projet'!$B$12,Paramètres!$A$1:$I$89,5,0)</f>
        <v>284.16959999999995</v>
      </c>
      <c r="CA85" s="14">
        <f t="shared" si="93"/>
        <v>67.847405740313931</v>
      </c>
      <c r="CB85" s="22">
        <f t="shared" si="64"/>
        <v>613.09628499771327</v>
      </c>
      <c r="CC85" s="62">
        <f t="shared" si="65"/>
        <v>906.42961833104664</v>
      </c>
      <c r="CD85" s="62">
        <f ca="1">AVERAGE(OFFSET($CC$3,0,0,'Données projet'!$E$12+1,1))-AVERAGE(OFFSET($H$3,0,0,'Données projet'!$E$12+1,1))</f>
        <v>554.06253050955502</v>
      </c>
      <c r="CE85" s="62">
        <f t="shared" si="94"/>
        <v>269.71949336355789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1.1368683772161603E-13</v>
      </c>
      <c r="CU85" s="18">
        <f>CT85*VLOOKUP('Données projet'!$B$13,Paramètres!$A$1:$I$89,3,0)*VLOOKUP('Données projet'!$B$13,Paramètres!$A$1:$I$89,5,0)</f>
        <v>8.8675733422860506E-14</v>
      </c>
      <c r="CV85" s="14">
        <f t="shared" si="95"/>
        <v>1.3509285393066301E-12</v>
      </c>
      <c r="CW85" s="22">
        <f t="shared" si="67"/>
        <v>2.5073107750038623E-12</v>
      </c>
      <c r="CX85" s="62">
        <f t="shared" si="68"/>
        <v>293.33333333333582</v>
      </c>
      <c r="CY85" s="62">
        <f ca="1">AVERAGE(OFFSET($CX$3,0,0,'Données projet'!$E$13+1,1))-AVERAGE(OFFSET($H$3,0,0,'Données projet'!$E$13+1,1))</f>
        <v>292.21364130214391</v>
      </c>
      <c r="CZ85" s="62">
        <f t="shared" si="96"/>
        <v>283.48738729114024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4.3589743589743533</v>
      </c>
      <c r="DO85" s="13">
        <f>IF('Données projet'!$A$166&gt;35,DO84+DN85-DW84,IF(A85&lt;'Données projet'!$A$166,$DL$205^A85,IF(A85='Données projet'!$A$166,'Données projet'!$B$166,DO84+DN85-DW84)))</f>
        <v>243.97435897435906</v>
      </c>
      <c r="DP85" s="18">
        <f>DO85*VLOOKUP('Données projet'!$B$14,Paramètres!$A$1:$I$89,3,0)*VLOOKUP('Données projet'!$B$14,Paramètres!$A$1:$I$89,5,0)</f>
        <v>232.16600000000008</v>
      </c>
      <c r="DQ85" s="14">
        <f t="shared" si="97"/>
        <v>56.750765573960223</v>
      </c>
      <c r="DR85" s="22">
        <f t="shared" si="70"/>
        <v>503.19670004131422</v>
      </c>
      <c r="DS85" s="62">
        <f t="shared" si="71"/>
        <v>796.53003337464747</v>
      </c>
      <c r="DT85" s="62">
        <f ca="1">AVERAGE(OFFSET($DS$3,0,0,'Données projet'!$E$14+1,1))-AVERAGE(OFFSET($H$3,0,0,'Données projet'!$E$14+1,1))</f>
        <v>427.47603885390191</v>
      </c>
      <c r="DU85" s="62">
        <f t="shared" si="98"/>
        <v>350.88664394632116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5.6</v>
      </c>
      <c r="EJ85" s="13">
        <f>IF('Données projet'!$A$192&gt;35,EJ84+EI85-ER84,IF(A85&lt;'Données projet'!$A$192,$EG$205^A85,IF(A85='Données projet'!$A$192,'Données projet'!$B$192,EJ84+EI85-ER84)))</f>
        <v>251.1999999999999</v>
      </c>
      <c r="EK85" s="18">
        <f>EJ85*VLOOKUP('Données projet'!$B$15,Paramètres!$A$1:$I$89,3,0)*VLOOKUP('Données projet'!$B$15,Paramètres!$A$1:$I$89,5,0)</f>
        <v>242.96063999999993</v>
      </c>
      <c r="EL85" s="14">
        <f t="shared" si="99"/>
        <v>59.076071351835715</v>
      </c>
      <c r="EM85" s="22">
        <f t="shared" si="73"/>
        <v>526.04727227111368</v>
      </c>
      <c r="EN85" s="62">
        <f t="shared" si="74"/>
        <v>819.38060560444706</v>
      </c>
      <c r="EO85" s="62">
        <f ca="1">AVERAGE(OFFSET($EN$3,0,0,'Données projet'!$E$15+1,1))-AVERAGE(OFFSET($H$3,0,0,'Données projet'!$E$15+1,1))</f>
        <v>455.50822833641354</v>
      </c>
      <c r="EP85" s="62">
        <f t="shared" si="100"/>
        <v>261.14722581688039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3.6</v>
      </c>
      <c r="FE85" s="13">
        <f>IF('Données projet'!$A$218&gt;35,FE84+FD85-FM84,IF(A85&lt;'Données projet'!$A$218,$FB$205^A85,IF(A85='Données projet'!$A$218,'Données projet'!$B$218,FE84+FD85-FM84)))</f>
        <v>237.20000000000002</v>
      </c>
      <c r="FF85" s="18">
        <f>FE85*VLOOKUP('Données projet'!$B$16,Paramètres!$A$1:$I$89,3,0)*VLOOKUP('Données projet'!$B$16,Paramètres!$A$1:$I$89,5,0)</f>
        <v>207.21792000000005</v>
      </c>
      <c r="FG85" s="14">
        <f t="shared" si="101"/>
        <v>51.327160141561521</v>
      </c>
      <c r="FH85" s="22">
        <f t="shared" si="76"/>
        <v>450.29934791321972</v>
      </c>
      <c r="FI85" s="62">
        <f t="shared" si="77"/>
        <v>743.63268124655303</v>
      </c>
      <c r="FJ85" s="62">
        <f ca="1">AVERAGE(OFFSET($FI$3,0,0,'Données projet'!$E$16+1,1))-AVERAGE(OFFSET($H$3,0,0,'Données projet'!$E$16+1,1))</f>
        <v>369.34989412920129</v>
      </c>
      <c r="FK85" s="62">
        <f t="shared" si="102"/>
        <v>371.26234252426553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0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>
        <f>FZ85*VLOOKUP('Données projet'!$B$17,Paramètres!$A$1:$I$89,3,0)*VLOOKUP('Données projet'!$B$17,Paramètres!$A$1:$I$89,5,0)</f>
        <v>0</v>
      </c>
      <c r="GB85" s="14" t="e">
        <f t="shared" si="103"/>
        <v>#NUM!</v>
      </c>
      <c r="GC85" s="22" t="e">
        <f t="shared" si="79"/>
        <v>#NUM!</v>
      </c>
      <c r="GD85" s="62" t="e">
        <f t="shared" si="80"/>
        <v>#NUM!</v>
      </c>
      <c r="GE85" s="62">
        <f ca="1">AVERAGE(OFFSET($GD$3,0,0,'Données projet'!$E$17+1,1))-AVERAGE(OFFSET($H$3,0,0,'Données projet'!$E$17+1,1))</f>
        <v>324.4489531703187</v>
      </c>
      <c r="GF85" s="62">
        <f t="shared" si="104"/>
        <v>446.55019360848706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projet'!$B$17,Paramètres!$A$1:$I$89,3,0)*0.475*44/12</f>
        <v>0</v>
      </c>
      <c r="GM85" s="23">
        <f>EXP(-LN(2)/25)*GM84+(1-EXP(-LN(2)/25))/(LN(2)/25)*Calculateur!GH85*Calculateur!GJ85*VLOOKUP('Données projet'!$B$17,Paramètres!$A$1:$I$89,3,0)*0.475*44/12</f>
        <v>0</v>
      </c>
      <c r="GN85" s="23">
        <f>EXP(-LN(2)/2)*GN84+(1-EXP(-LN(2)/2))/(LN(2)/2)*GH85*GK85*VLOOKUP('Données projet'!$B$17,Paramètres!$A$1:$I$89,3,0)*0.475*44/12</f>
        <v>0</v>
      </c>
      <c r="GO85" s="23">
        <f t="shared" si="81"/>
        <v>0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4.1025641025640995</v>
      </c>
      <c r="GU85" s="13">
        <f>IF('Données projet'!$A$270&gt;35,GU84+GT85-HC84,IF(A85&lt;'Données projet'!$A$270,$GR$205^A85,IF(A85='Données projet'!$A$270,'Données projet'!$B$270,GU84+GT85-HC84)))</f>
        <v>263.97435897435901</v>
      </c>
      <c r="GV85" s="18">
        <f>GU85*VLOOKUP('Données projet'!$B$18,Paramètres!$A$1:$I$89,3,0)*VLOOKUP('Données projet'!$B$18,Paramètres!$A$1:$I$89,5,0)</f>
        <v>177.07400000000001</v>
      </c>
      <c r="GW85" s="14">
        <f t="shared" si="105"/>
        <v>44.670585441115527</v>
      </c>
      <c r="GX85" s="22">
        <f t="shared" si="82"/>
        <v>386.2051529766095</v>
      </c>
      <c r="GY85" s="62">
        <f t="shared" si="83"/>
        <v>679.53848630994275</v>
      </c>
      <c r="GZ85" s="62">
        <f ca="1">AVERAGE(OFFSET($GY$3,0,0,'Données projet'!$E$18+1,1))-AVERAGE(OFFSET($H$3,0,0,'Données projet'!$E$18+1,1))</f>
        <v>312.06797204903796</v>
      </c>
      <c r="HA85" s="62">
        <f t="shared" si="106"/>
        <v>258.20189001775151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>
        <f>EXP(-LN(2)/35)*HG84+(1-EXP(-LN(2)/35))/(LN(2)/35)*HC85*HD85*VLOOKUP('Données projet'!$B$18,Paramètres!$A$1:$I$89,3,0)*0.475*44/12</f>
        <v>0</v>
      </c>
      <c r="HH85" s="23">
        <f>EXP(-LN(2)/25)*HH84+(1-EXP(-LN(2)/25))/(LN(2)/25)*Calculateur!HC85*Calculateur!HE85*VLOOKUP('Données projet'!$B$18,Paramètres!$A$1:$I$89,3,0)*0.475*44/12</f>
        <v>0</v>
      </c>
      <c r="HI85" s="23">
        <f>EXP(-LN(2)/2)*HI84+(1-EXP(-LN(2)/2))/(LN(2)/2)*HC85*HF85*VLOOKUP('Données projet'!$B$18,Paramètres!$A$1:$I$89,3,0)*0.475*44/12</f>
        <v>0</v>
      </c>
      <c r="HJ85" s="24">
        <f t="shared" si="84"/>
        <v>0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6.6</v>
      </c>
      <c r="N86" s="14">
        <f>IF('Données projet'!$A$36&gt;35,N85+M86-V85,IF(A86&lt;'Données projet'!$A$36,$K$205^A86,IF(A86='Données projet'!$A$36,'Données projet'!$B$36,N85+M86-V85)))</f>
        <v>311.79999999999995</v>
      </c>
      <c r="O86" s="14">
        <f>N86*VLOOKUP('Données projet'!$B$9,Paramètres!$A$1:$I$89,3,0)*VLOOKUP('Données projet'!$B$9,Paramètres!$A$1:$I$89,5,0)</f>
        <v>282.11663999999996</v>
      </c>
      <c r="P86" s="14">
        <f t="shared" si="87"/>
        <v>67.414119514142243</v>
      </c>
      <c r="Q86" s="22">
        <f t="shared" si="54"/>
        <v>608.76607282046439</v>
      </c>
      <c r="R86" s="62">
        <f t="shared" si="55"/>
        <v>902.09940615379764</v>
      </c>
      <c r="S86" s="62">
        <f ca="1">AVERAGE(OFFSET($R$3,0,0,'Données projet'!$E$9+1,1))-AVERAGE(OFFSET($H$3,0,0,'Données projet'!$E$9+1,1))</f>
        <v>512.84819850818667</v>
      </c>
      <c r="T86" s="62">
        <f t="shared" si="88"/>
        <v>332.61387922152159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-5.6843418860808015E-14</v>
      </c>
      <c r="AJ86" s="14">
        <f>AI86*VLOOKUP('Données projet'!$B$10,Paramètres!$A$1:$I$89,3,0)*VLOOKUP('Données projet'!$B$10,Paramètres!$A$1:$I$89,5,0)</f>
        <v>-4.1677594708744434E-14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344.45199703750711</v>
      </c>
      <c r="AO86" s="62">
        <f t="shared" si="90"/>
        <v>376.41441893222185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6.6</v>
      </c>
      <c r="BD86" s="13">
        <f>IF('Données projet'!$A$88&gt;35,BD85+BC86-BL85,IF(A86&lt;'Données projet'!$A$88,$BA$205^A86,IF(A86='Données projet'!$A$88,'Données projet'!$B$88,BD85+BC86-BL85)))</f>
        <v>311.79999999999995</v>
      </c>
      <c r="BE86" s="14">
        <f>BD86*VLOOKUP('Données projet'!$B$11,Paramètres!$A$1:$I$89,3,0)*VLOOKUP('Données projet'!$B$11,Paramètres!$A$1:$I$89,5,0)</f>
        <v>316.16519999999997</v>
      </c>
      <c r="BF86" s="14">
        <f t="shared" si="91"/>
        <v>74.554889944758472</v>
      </c>
      <c r="BG86" s="22">
        <f t="shared" si="61"/>
        <v>680.50415665378762</v>
      </c>
      <c r="BH86" s="62">
        <f t="shared" si="62"/>
        <v>973.83748998712099</v>
      </c>
      <c r="BI86" s="62">
        <f ca="1">AVERAGE(OFFSET($BH$3,0,0,'Données projet'!$E$11+1,1))-AVERAGE(OFFSET($H$3,0,0,'Données projet'!$E$11+1,1))</f>
        <v>569.39473185784823</v>
      </c>
      <c r="BJ86" s="62">
        <f t="shared" si="92"/>
        <v>367.42881145517066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9.1</v>
      </c>
      <c r="BY86" s="13">
        <f>IF('Données projet'!$A$114&gt;35,BY85+BX86-CG85,IF(A86&lt;'Données projet'!$A$114,$BV$205^A86,IF(A86='Données projet'!$A$114,'Données projet'!$B$114,BY85+BX86-CG85)))</f>
        <v>340.29999999999995</v>
      </c>
      <c r="BZ86" s="14">
        <f>BY86*VLOOKUP('Données projet'!$B$12,Paramètres!$A$1:$I$89,3,0)*VLOOKUP('Données projet'!$B$12,Paramètres!$A$1:$I$89,5,0)</f>
        <v>291.97739999999999</v>
      </c>
      <c r="CA86" s="14">
        <f t="shared" si="93"/>
        <v>69.491974342637931</v>
      </c>
      <c r="CB86" s="22">
        <f t="shared" si="64"/>
        <v>629.5591603134277</v>
      </c>
      <c r="CC86" s="62">
        <f t="shared" si="65"/>
        <v>922.89249364676107</v>
      </c>
      <c r="CD86" s="62">
        <f ca="1">AVERAGE(OFFSET($CC$3,0,0,'Données projet'!$E$12+1,1))-AVERAGE(OFFSET($H$3,0,0,'Données projet'!$E$12+1,1))</f>
        <v>554.06253050955502</v>
      </c>
      <c r="CE86" s="62">
        <f t="shared" si="94"/>
        <v>269.71949336355789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1.1368683772161603E-13</v>
      </c>
      <c r="CU86" s="18">
        <f>CT86*VLOOKUP('Données projet'!$B$13,Paramètres!$A$1:$I$89,3,0)*VLOOKUP('Données projet'!$B$13,Paramètres!$A$1:$I$89,5,0)</f>
        <v>8.8675733422860506E-14</v>
      </c>
      <c r="CV86" s="14">
        <f t="shared" si="95"/>
        <v>1.3509285393066301E-12</v>
      </c>
      <c r="CW86" s="22">
        <f t="shared" si="67"/>
        <v>2.5073107750038623E-12</v>
      </c>
      <c r="CX86" s="62">
        <f t="shared" si="68"/>
        <v>293.33333333333582</v>
      </c>
      <c r="CY86" s="62">
        <f ca="1">AVERAGE(OFFSET($CX$3,0,0,'Données projet'!$E$13+1,1))-AVERAGE(OFFSET($H$3,0,0,'Données projet'!$E$13+1,1))</f>
        <v>292.21364130214391</v>
      </c>
      <c r="CZ86" s="62">
        <f t="shared" si="96"/>
        <v>283.48738729114024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4.3589743589743533</v>
      </c>
      <c r="DO86" s="13">
        <f>IF('Données projet'!$A$166&gt;35,DO85+DN86-DW85,IF(A86&lt;'Données projet'!$A$166,$DL$205^A86,IF(A86='Données projet'!$A$166,'Données projet'!$B$166,DO85+DN86-DW85)))</f>
        <v>248.33333333333343</v>
      </c>
      <c r="DP86" s="18">
        <f>DO86*VLOOKUP('Données projet'!$B$14,Paramètres!$A$1:$I$89,3,0)*VLOOKUP('Données projet'!$B$14,Paramètres!$A$1:$I$89,5,0)</f>
        <v>236.31400000000008</v>
      </c>
      <c r="DQ86" s="14">
        <f t="shared" si="97"/>
        <v>57.645756660106933</v>
      </c>
      <c r="DR86" s="22">
        <f t="shared" si="70"/>
        <v>511.97990951635302</v>
      </c>
      <c r="DS86" s="62">
        <f t="shared" si="71"/>
        <v>805.31324284968628</v>
      </c>
      <c r="DT86" s="62">
        <f ca="1">AVERAGE(OFFSET($DS$3,0,0,'Données projet'!$E$14+1,1))-AVERAGE(OFFSET($H$3,0,0,'Données projet'!$E$14+1,1))</f>
        <v>427.47603885390191</v>
      </c>
      <c r="DU86" s="62">
        <f t="shared" si="98"/>
        <v>350.88664394632116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5.6</v>
      </c>
      <c r="EJ86" s="13">
        <f>IF('Données projet'!$A$192&gt;35,EJ85+EI86-ER85,IF(A86&lt;'Données projet'!$A$192,$EG$205^A86,IF(A86='Données projet'!$A$192,'Données projet'!$B$192,EJ85+EI86-ER85)))</f>
        <v>256.7999999999999</v>
      </c>
      <c r="EK86" s="18">
        <f>EJ86*VLOOKUP('Données projet'!$B$15,Paramètres!$A$1:$I$89,3,0)*VLOOKUP('Données projet'!$B$15,Paramètres!$A$1:$I$89,5,0)</f>
        <v>248.37695999999988</v>
      </c>
      <c r="EL86" s="14">
        <f t="shared" si="99"/>
        <v>60.238259626372319</v>
      </c>
      <c r="EM86" s="22">
        <f t="shared" si="73"/>
        <v>537.50484084926495</v>
      </c>
      <c r="EN86" s="62">
        <f t="shared" si="74"/>
        <v>830.83817418259832</v>
      </c>
      <c r="EO86" s="62">
        <f ca="1">AVERAGE(OFFSET($EN$3,0,0,'Données projet'!$E$15+1,1))-AVERAGE(OFFSET($H$3,0,0,'Données projet'!$E$15+1,1))</f>
        <v>455.50822833641354</v>
      </c>
      <c r="EP86" s="62">
        <f t="shared" si="100"/>
        <v>261.14722581688039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3.6</v>
      </c>
      <c r="FE86" s="13">
        <f>IF('Données projet'!$A$218&gt;35,FE85+FD86-FM85,IF(A86&lt;'Données projet'!$A$218,$FB$205^A86,IF(A86='Données projet'!$A$218,'Données projet'!$B$218,FE85+FD86-FM85)))</f>
        <v>240.8</v>
      </c>
      <c r="FF86" s="18">
        <f>FE86*VLOOKUP('Données projet'!$B$16,Paramètres!$A$1:$I$89,3,0)*VLOOKUP('Données projet'!$B$16,Paramètres!$A$1:$I$89,5,0)</f>
        <v>210.36288000000002</v>
      </c>
      <c r="FG86" s="14">
        <f t="shared" si="101"/>
        <v>52.014876138342963</v>
      </c>
      <c r="FH86" s="22">
        <f t="shared" si="76"/>
        <v>456.97459194094728</v>
      </c>
      <c r="FI86" s="62">
        <f t="shared" si="77"/>
        <v>750.30792527428059</v>
      </c>
      <c r="FJ86" s="62">
        <f ca="1">AVERAGE(OFFSET($FI$3,0,0,'Données projet'!$E$16+1,1))-AVERAGE(OFFSET($H$3,0,0,'Données projet'!$E$16+1,1))</f>
        <v>369.34989412920129</v>
      </c>
      <c r="FK86" s="62">
        <f t="shared" si="102"/>
        <v>371.26234252426553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0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>
        <f>FZ86*VLOOKUP('Données projet'!$B$17,Paramètres!$A$1:$I$89,3,0)*VLOOKUP('Données projet'!$B$17,Paramètres!$A$1:$I$89,5,0)</f>
        <v>0</v>
      </c>
      <c r="GB86" s="14" t="e">
        <f t="shared" si="103"/>
        <v>#NUM!</v>
      </c>
      <c r="GC86" s="22" t="e">
        <f t="shared" si="79"/>
        <v>#NUM!</v>
      </c>
      <c r="GD86" s="62" t="e">
        <f t="shared" si="80"/>
        <v>#NUM!</v>
      </c>
      <c r="GE86" s="62">
        <f ca="1">AVERAGE(OFFSET($GD$3,0,0,'Données projet'!$E$17+1,1))-AVERAGE(OFFSET($H$3,0,0,'Données projet'!$E$17+1,1))</f>
        <v>324.4489531703187</v>
      </c>
      <c r="GF86" s="62">
        <f t="shared" si="104"/>
        <v>446.55019360848706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projet'!$B$17,Paramètres!$A$1:$I$89,3,0)*0.475*44/12</f>
        <v>0</v>
      </c>
      <c r="GM86" s="23">
        <f>EXP(-LN(2)/25)*GM85+(1-EXP(-LN(2)/25))/(LN(2)/25)*Calculateur!GH86*Calculateur!GJ86*VLOOKUP('Données projet'!$B$17,Paramètres!$A$1:$I$89,3,0)*0.475*44/12</f>
        <v>0</v>
      </c>
      <c r="GN86" s="23">
        <f>EXP(-LN(2)/2)*GN85+(1-EXP(-LN(2)/2))/(LN(2)/2)*GH86*GK86*VLOOKUP('Données projet'!$B$17,Paramètres!$A$1:$I$89,3,0)*0.475*44/12</f>
        <v>0</v>
      </c>
      <c r="GO86" s="23">
        <f t="shared" si="81"/>
        <v>0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4.1025641025640995</v>
      </c>
      <c r="GU86" s="13">
        <f>IF('Données projet'!$A$270&gt;35,GU85+GT86-HC85,IF(A86&lt;'Données projet'!$A$270,$GR$205^A86,IF(A86='Données projet'!$A$270,'Données projet'!$B$270,GU85+GT86-HC85)))</f>
        <v>268.07692307692309</v>
      </c>
      <c r="GV86" s="18">
        <f>GU86*VLOOKUP('Données projet'!$B$18,Paramètres!$A$1:$I$89,3,0)*VLOOKUP('Données projet'!$B$18,Paramètres!$A$1:$I$89,5,0)</f>
        <v>179.82600000000002</v>
      </c>
      <c r="GW86" s="14">
        <f t="shared" si="105"/>
        <v>45.283472193614408</v>
      </c>
      <c r="GX86" s="22">
        <f t="shared" si="82"/>
        <v>392.06566407054515</v>
      </c>
      <c r="GY86" s="62">
        <f t="shared" si="83"/>
        <v>685.39899740387841</v>
      </c>
      <c r="GZ86" s="62">
        <f ca="1">AVERAGE(OFFSET($GY$3,0,0,'Données projet'!$E$18+1,1))-AVERAGE(OFFSET($H$3,0,0,'Données projet'!$E$18+1,1))</f>
        <v>312.06797204903796</v>
      </c>
      <c r="HA86" s="62">
        <f t="shared" si="106"/>
        <v>258.20189001775151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>
        <f>EXP(-LN(2)/35)*HG85+(1-EXP(-LN(2)/35))/(LN(2)/35)*HC86*HD86*VLOOKUP('Données projet'!$B$18,Paramètres!$A$1:$I$89,3,0)*0.475*44/12</f>
        <v>0</v>
      </c>
      <c r="HH86" s="23">
        <f>EXP(-LN(2)/25)*HH85+(1-EXP(-LN(2)/25))/(LN(2)/25)*Calculateur!HC86*Calculateur!HE86*VLOOKUP('Données projet'!$B$18,Paramètres!$A$1:$I$89,3,0)*0.475*44/12</f>
        <v>0</v>
      </c>
      <c r="HI86" s="23">
        <f>EXP(-LN(2)/2)*HI85+(1-EXP(-LN(2)/2))/(LN(2)/2)*HC86*HF86*VLOOKUP('Données projet'!$B$18,Paramètres!$A$1:$I$89,3,0)*0.475*44/12</f>
        <v>0</v>
      </c>
      <c r="HJ86" s="24">
        <f t="shared" si="84"/>
        <v>0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6.6</v>
      </c>
      <c r="N87" s="14">
        <f>IF('Données projet'!$A$36&gt;35,N86+M87-V86,IF(A87&lt;'Données projet'!$A$36,$K$205^A87,IF(A87='Données projet'!$A$36,'Données projet'!$B$36,N86+M87-V86)))</f>
        <v>318.39999999999998</v>
      </c>
      <c r="O87" s="14">
        <f>N87*VLOOKUP('Données projet'!$B$9,Paramètres!$A$1:$I$89,3,0)*VLOOKUP('Données projet'!$B$9,Paramètres!$A$1:$I$89,5,0)</f>
        <v>288.08831999999995</v>
      </c>
      <c r="P87" s="14">
        <f t="shared" si="87"/>
        <v>68.673460144735557</v>
      </c>
      <c r="Q87" s="22">
        <f t="shared" si="54"/>
        <v>621.36010041874761</v>
      </c>
      <c r="R87" s="62">
        <f t="shared" si="55"/>
        <v>914.69343375208086</v>
      </c>
      <c r="S87" s="62">
        <f ca="1">AVERAGE(OFFSET($R$3,0,0,'Données projet'!$E$9+1,1))-AVERAGE(OFFSET($H$3,0,0,'Données projet'!$E$9+1,1))</f>
        <v>512.84819850818667</v>
      </c>
      <c r="T87" s="62">
        <f t="shared" si="88"/>
        <v>332.61387922152159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-5.6843418860808015E-14</v>
      </c>
      <c r="AJ87" s="14">
        <f>AI87*VLOOKUP('Données projet'!$B$10,Paramètres!$A$1:$I$89,3,0)*VLOOKUP('Données projet'!$B$10,Paramètres!$A$1:$I$89,5,0)</f>
        <v>-4.1677594708744434E-14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344.45199703750711</v>
      </c>
      <c r="AO87" s="62">
        <f t="shared" si="90"/>
        <v>376.41441893222185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6.6</v>
      </c>
      <c r="BD87" s="13">
        <f>IF('Données projet'!$A$88&gt;35,BD86+BC87-BL86,IF(A87&lt;'Données projet'!$A$88,$BA$205^A87,IF(A87='Données projet'!$A$88,'Données projet'!$B$88,BD86+BC87-BL86)))</f>
        <v>318.39999999999998</v>
      </c>
      <c r="BE87" s="14">
        <f>BD87*VLOOKUP('Données projet'!$B$11,Paramètres!$A$1:$I$89,3,0)*VLOOKUP('Données projet'!$B$11,Paramètres!$A$1:$I$89,5,0)</f>
        <v>322.85759999999999</v>
      </c>
      <c r="BF87" s="14">
        <f t="shared" si="91"/>
        <v>75.947624920658441</v>
      </c>
      <c r="BG87" s="22">
        <f t="shared" si="61"/>
        <v>694.5857667368133</v>
      </c>
      <c r="BH87" s="62">
        <f t="shared" si="62"/>
        <v>987.91910007014667</v>
      </c>
      <c r="BI87" s="62">
        <f ca="1">AVERAGE(OFFSET($BH$3,0,0,'Données projet'!$E$11+1,1))-AVERAGE(OFFSET($H$3,0,0,'Données projet'!$E$11+1,1))</f>
        <v>569.39473185784823</v>
      </c>
      <c r="BJ87" s="62">
        <f t="shared" si="92"/>
        <v>367.42881145517066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9.1</v>
      </c>
      <c r="BY87" s="13">
        <f>IF('Données projet'!$A$114&gt;35,BY86+BX87-CG86,IF(A87&lt;'Données projet'!$A$114,$BV$205^A87,IF(A87='Données projet'!$A$114,'Données projet'!$B$114,BY86+BX87-CG86)))</f>
        <v>349.4</v>
      </c>
      <c r="BZ87" s="14">
        <f>BY87*VLOOKUP('Données projet'!$B$12,Paramètres!$A$1:$I$89,3,0)*VLOOKUP('Données projet'!$B$12,Paramètres!$A$1:$I$89,5,0)</f>
        <v>299.78520000000003</v>
      </c>
      <c r="CA87" s="14">
        <f t="shared" si="93"/>
        <v>71.131431268161151</v>
      </c>
      <c r="CB87" s="22">
        <f t="shared" si="64"/>
        <v>646.01313279204737</v>
      </c>
      <c r="CC87" s="62">
        <f t="shared" si="65"/>
        <v>939.34646612538063</v>
      </c>
      <c r="CD87" s="62">
        <f ca="1">AVERAGE(OFFSET($CC$3,0,0,'Données projet'!$E$12+1,1))-AVERAGE(OFFSET($H$3,0,0,'Données projet'!$E$12+1,1))</f>
        <v>554.06253050955502</v>
      </c>
      <c r="CE87" s="62">
        <f t="shared" si="94"/>
        <v>269.71949336355789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1.1368683772161603E-13</v>
      </c>
      <c r="CU87" s="18">
        <f>CT87*VLOOKUP('Données projet'!$B$13,Paramètres!$A$1:$I$89,3,0)*VLOOKUP('Données projet'!$B$13,Paramètres!$A$1:$I$89,5,0)</f>
        <v>8.8675733422860506E-14</v>
      </c>
      <c r="CV87" s="14">
        <f t="shared" si="95"/>
        <v>1.3509285393066301E-12</v>
      </c>
      <c r="CW87" s="22">
        <f t="shared" si="67"/>
        <v>2.5073107750038623E-12</v>
      </c>
      <c r="CX87" s="62">
        <f t="shared" si="68"/>
        <v>293.33333333333582</v>
      </c>
      <c r="CY87" s="62">
        <f ca="1">AVERAGE(OFFSET($CX$3,0,0,'Données projet'!$E$13+1,1))-AVERAGE(OFFSET($H$3,0,0,'Données projet'!$E$13+1,1))</f>
        <v>292.21364130214391</v>
      </c>
      <c r="CZ87" s="62">
        <f t="shared" si="96"/>
        <v>283.48738729114024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4.3589743589743533</v>
      </c>
      <c r="DO87" s="13">
        <f>IF('Données projet'!$A$166&gt;35,DO86+DN87-DW86,IF(A87&lt;'Données projet'!$A$166,$DL$205^A87,IF(A87='Données projet'!$A$166,'Données projet'!$B$166,DO86+DN87-DW86)))</f>
        <v>252.69230769230779</v>
      </c>
      <c r="DP87" s="18">
        <f>DO87*VLOOKUP('Données projet'!$B$14,Paramètres!$A$1:$I$89,3,0)*VLOOKUP('Données projet'!$B$14,Paramètres!$A$1:$I$89,5,0)</f>
        <v>240.4620000000001</v>
      </c>
      <c r="DQ87" s="14">
        <f t="shared" si="97"/>
        <v>58.538920904314509</v>
      </c>
      <c r="DR87" s="22">
        <f t="shared" si="70"/>
        <v>520.75993724168131</v>
      </c>
      <c r="DS87" s="62">
        <f t="shared" si="71"/>
        <v>814.09327057501469</v>
      </c>
      <c r="DT87" s="62">
        <f ca="1">AVERAGE(OFFSET($DS$3,0,0,'Données projet'!$E$14+1,1))-AVERAGE(OFFSET($H$3,0,0,'Données projet'!$E$14+1,1))</f>
        <v>427.47603885390191</v>
      </c>
      <c r="DU87" s="62">
        <f t="shared" si="98"/>
        <v>350.88664394632116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5.6</v>
      </c>
      <c r="EJ87" s="13">
        <f>IF('Données projet'!$A$192&gt;35,EJ86+EI87-ER86,IF(A87&lt;'Données projet'!$A$192,$EG$205^A87,IF(A87='Données projet'!$A$192,'Données projet'!$B$192,EJ86+EI87-ER86)))</f>
        <v>262.39999999999992</v>
      </c>
      <c r="EK87" s="18">
        <f>EJ87*VLOOKUP('Données projet'!$B$15,Paramètres!$A$1:$I$89,3,0)*VLOOKUP('Données projet'!$B$15,Paramètres!$A$1:$I$89,5,0)</f>
        <v>253.79327999999995</v>
      </c>
      <c r="EL87" s="14">
        <f t="shared" si="99"/>
        <v>61.39750139179521</v>
      </c>
      <c r="EM87" s="22">
        <f t="shared" si="73"/>
        <v>548.95727759070985</v>
      </c>
      <c r="EN87" s="62">
        <f t="shared" si="74"/>
        <v>842.29061092404322</v>
      </c>
      <c r="EO87" s="62">
        <f ca="1">AVERAGE(OFFSET($EN$3,0,0,'Données projet'!$E$15+1,1))-AVERAGE(OFFSET($H$3,0,0,'Données projet'!$E$15+1,1))</f>
        <v>455.50822833641354</v>
      </c>
      <c r="EP87" s="62">
        <f t="shared" si="100"/>
        <v>261.14722581688039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3.6</v>
      </c>
      <c r="FE87" s="13">
        <f>IF('Données projet'!$A$218&gt;35,FE86+FD87-FM86,IF(A87&lt;'Données projet'!$A$218,$FB$205^A87,IF(A87='Données projet'!$A$218,'Données projet'!$B$218,FE86+FD87-FM86)))</f>
        <v>244.4</v>
      </c>
      <c r="FF87" s="18">
        <f>FE87*VLOOKUP('Données projet'!$B$16,Paramètres!$A$1:$I$89,3,0)*VLOOKUP('Données projet'!$B$16,Paramètres!$A$1:$I$89,5,0)</f>
        <v>213.50784000000002</v>
      </c>
      <c r="FG87" s="14">
        <f t="shared" si="101"/>
        <v>52.701396365805124</v>
      </c>
      <c r="FH87" s="22">
        <f t="shared" si="76"/>
        <v>463.6477533371106</v>
      </c>
      <c r="FI87" s="62">
        <f t="shared" si="77"/>
        <v>756.98108667044391</v>
      </c>
      <c r="FJ87" s="62">
        <f ca="1">AVERAGE(OFFSET($FI$3,0,0,'Données projet'!$E$16+1,1))-AVERAGE(OFFSET($H$3,0,0,'Données projet'!$E$16+1,1))</f>
        <v>369.34989412920129</v>
      </c>
      <c r="FK87" s="62">
        <f t="shared" si="102"/>
        <v>371.26234252426553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0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>
        <f>FZ87*VLOOKUP('Données projet'!$B$17,Paramètres!$A$1:$I$89,3,0)*VLOOKUP('Données projet'!$B$17,Paramètres!$A$1:$I$89,5,0)</f>
        <v>0</v>
      </c>
      <c r="GB87" s="14" t="e">
        <f t="shared" si="103"/>
        <v>#NUM!</v>
      </c>
      <c r="GC87" s="22" t="e">
        <f t="shared" si="79"/>
        <v>#NUM!</v>
      </c>
      <c r="GD87" s="62" t="e">
        <f t="shared" si="80"/>
        <v>#NUM!</v>
      </c>
      <c r="GE87" s="62">
        <f ca="1">AVERAGE(OFFSET($GD$3,0,0,'Données projet'!$E$17+1,1))-AVERAGE(OFFSET($H$3,0,0,'Données projet'!$E$17+1,1))</f>
        <v>324.4489531703187</v>
      </c>
      <c r="GF87" s="62">
        <f t="shared" si="104"/>
        <v>446.55019360848706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projet'!$B$17,Paramètres!$A$1:$I$89,3,0)*0.475*44/12</f>
        <v>0</v>
      </c>
      <c r="GM87" s="23">
        <f>EXP(-LN(2)/25)*GM86+(1-EXP(-LN(2)/25))/(LN(2)/25)*Calculateur!GH87*Calculateur!GJ87*VLOOKUP('Données projet'!$B$17,Paramètres!$A$1:$I$89,3,0)*0.475*44/12</f>
        <v>0</v>
      </c>
      <c r="GN87" s="23">
        <f>EXP(-LN(2)/2)*GN86+(1-EXP(-LN(2)/2))/(LN(2)/2)*GH87*GK87*VLOOKUP('Données projet'!$B$17,Paramètres!$A$1:$I$89,3,0)*0.475*44/12</f>
        <v>0</v>
      </c>
      <c r="GO87" s="23">
        <f t="shared" si="81"/>
        <v>0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4.1025641025640995</v>
      </c>
      <c r="GU87" s="13">
        <f>IF('Données projet'!$A$270&gt;35,GU86+GT87-HC86,IF(A87&lt;'Données projet'!$A$270,$GR$205^A87,IF(A87='Données projet'!$A$270,'Données projet'!$B$270,GU86+GT87-HC86)))</f>
        <v>272.17948717948718</v>
      </c>
      <c r="GV87" s="18">
        <f>GU87*VLOOKUP('Données projet'!$B$18,Paramètres!$A$1:$I$89,3,0)*VLOOKUP('Données projet'!$B$18,Paramètres!$A$1:$I$89,5,0)</f>
        <v>182.578</v>
      </c>
      <c r="GW87" s="14">
        <f t="shared" si="105"/>
        <v>45.895268107941853</v>
      </c>
      <c r="GX87" s="22">
        <f t="shared" si="82"/>
        <v>397.9242752879988</v>
      </c>
      <c r="GY87" s="62">
        <f t="shared" si="83"/>
        <v>691.25760862133211</v>
      </c>
      <c r="GZ87" s="62">
        <f ca="1">AVERAGE(OFFSET($GY$3,0,0,'Données projet'!$E$18+1,1))-AVERAGE(OFFSET($H$3,0,0,'Données projet'!$E$18+1,1))</f>
        <v>312.06797204903796</v>
      </c>
      <c r="HA87" s="62">
        <f t="shared" si="106"/>
        <v>258.20189001775151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>
        <f>EXP(-LN(2)/35)*HG86+(1-EXP(-LN(2)/35))/(LN(2)/35)*HC87*HD87*VLOOKUP('Données projet'!$B$18,Paramètres!$A$1:$I$89,3,0)*0.475*44/12</f>
        <v>0</v>
      </c>
      <c r="HH87" s="23">
        <f>EXP(-LN(2)/25)*HH86+(1-EXP(-LN(2)/25))/(LN(2)/25)*Calculateur!HC87*Calculateur!HE87*VLOOKUP('Données projet'!$B$18,Paramètres!$A$1:$I$89,3,0)*0.475*44/12</f>
        <v>0</v>
      </c>
      <c r="HI87" s="23">
        <f>EXP(-LN(2)/2)*HI86+(1-EXP(-LN(2)/2))/(LN(2)/2)*HC87*HF87*VLOOKUP('Données projet'!$B$18,Paramètres!$A$1:$I$89,3,0)*0.475*44/12</f>
        <v>0</v>
      </c>
      <c r="HJ87" s="24">
        <f t="shared" si="84"/>
        <v>0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6.6</v>
      </c>
      <c r="N88" s="14">
        <f>IF('Données projet'!$A$36&gt;35,N87+M88-V87,IF(A88&lt;'Données projet'!$A$36,$K$205^A88,IF(A88='Données projet'!$A$36,'Données projet'!$B$36,N87+M88-V87)))</f>
        <v>325</v>
      </c>
      <c r="O88" s="14">
        <f>N88*VLOOKUP('Données projet'!$B$9,Paramètres!$A$1:$I$89,3,0)*VLOOKUP('Données projet'!$B$9,Paramètres!$A$1:$I$89,5,0)</f>
        <v>294.06</v>
      </c>
      <c r="P88" s="14">
        <f t="shared" si="87"/>
        <v>69.929765653573313</v>
      </c>
      <c r="Q88" s="22">
        <f t="shared" si="54"/>
        <v>633.94884184664022</v>
      </c>
      <c r="R88" s="62">
        <f t="shared" si="55"/>
        <v>927.28217517997359</v>
      </c>
      <c r="S88" s="62">
        <f ca="1">AVERAGE(OFFSET($R$3,0,0,'Données projet'!$E$9+1,1))-AVERAGE(OFFSET($H$3,0,0,'Données projet'!$E$9+1,1))</f>
        <v>512.84819850818667</v>
      </c>
      <c r="T88" s="62">
        <f t="shared" si="88"/>
        <v>332.61387922152159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-5.6843418860808015E-14</v>
      </c>
      <c r="AJ88" s="14">
        <f>AI88*VLOOKUP('Données projet'!$B$10,Paramètres!$A$1:$I$89,3,0)*VLOOKUP('Données projet'!$B$10,Paramètres!$A$1:$I$89,5,0)</f>
        <v>-4.1677594708744434E-14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344.45199703750711</v>
      </c>
      <c r="AO88" s="62">
        <f t="shared" si="90"/>
        <v>376.41441893222185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6.6</v>
      </c>
      <c r="BD88" s="13">
        <f>IF('Données projet'!$A$88&gt;35,BD87+BC88-BL87,IF(A88&lt;'Données projet'!$A$88,$BA$205^A88,IF(A88='Données projet'!$A$88,'Données projet'!$B$88,BD87+BC88-BL87)))</f>
        <v>325</v>
      </c>
      <c r="BE88" s="14">
        <f>BD88*VLOOKUP('Données projet'!$B$11,Paramètres!$A$1:$I$89,3,0)*VLOOKUP('Données projet'!$B$11,Paramètres!$A$1:$I$89,5,0)</f>
        <v>329.55</v>
      </c>
      <c r="BF88" s="14">
        <f t="shared" si="91"/>
        <v>77.337003282690645</v>
      </c>
      <c r="BG88" s="22">
        <f t="shared" si="61"/>
        <v>708.66153071735289</v>
      </c>
      <c r="BH88" s="62">
        <f t="shared" si="62"/>
        <v>1001.9948640506861</v>
      </c>
      <c r="BI88" s="62">
        <f ca="1">AVERAGE(OFFSET($BH$3,0,0,'Données projet'!$E$11+1,1))-AVERAGE(OFFSET($H$3,0,0,'Données projet'!$E$11+1,1))</f>
        <v>569.39473185784823</v>
      </c>
      <c r="BJ88" s="62">
        <f t="shared" si="92"/>
        <v>367.42881145517066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9.1</v>
      </c>
      <c r="BY88" s="13">
        <f>IF('Données projet'!$A$114&gt;35,BY87+BX88-CG87,IF(A88&lt;'Données projet'!$A$114,$BV$205^A88,IF(A88='Données projet'!$A$114,'Données projet'!$B$114,BY87+BX88-CG87)))</f>
        <v>358.5</v>
      </c>
      <c r="BZ88" s="14">
        <f>BY88*VLOOKUP('Données projet'!$B$12,Paramètres!$A$1:$I$89,3,0)*VLOOKUP('Données projet'!$B$12,Paramètres!$A$1:$I$89,5,0)</f>
        <v>307.59300000000002</v>
      </c>
      <c r="CA88" s="14">
        <f t="shared" si="93"/>
        <v>72.765924954153391</v>
      </c>
      <c r="CB88" s="22">
        <f t="shared" si="64"/>
        <v>662.45846096181708</v>
      </c>
      <c r="CC88" s="62">
        <f t="shared" si="65"/>
        <v>955.79179429515034</v>
      </c>
      <c r="CD88" s="62">
        <f ca="1">AVERAGE(OFFSET($CC$3,0,0,'Données projet'!$E$12+1,1))-AVERAGE(OFFSET($H$3,0,0,'Données projet'!$E$12+1,1))</f>
        <v>554.06253050955502</v>
      </c>
      <c r="CE88" s="62">
        <f t="shared" si="94"/>
        <v>269.71949336355789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1.1368683772161603E-13</v>
      </c>
      <c r="CU88" s="18">
        <f>CT88*VLOOKUP('Données projet'!$B$13,Paramètres!$A$1:$I$89,3,0)*VLOOKUP('Données projet'!$B$13,Paramètres!$A$1:$I$89,5,0)</f>
        <v>8.8675733422860506E-14</v>
      </c>
      <c r="CV88" s="14">
        <f t="shared" si="95"/>
        <v>1.3509285393066301E-12</v>
      </c>
      <c r="CW88" s="22">
        <f t="shared" si="67"/>
        <v>2.5073107750038623E-12</v>
      </c>
      <c r="CX88" s="62">
        <f t="shared" si="68"/>
        <v>293.33333333333582</v>
      </c>
      <c r="CY88" s="62">
        <f ca="1">AVERAGE(OFFSET($CX$3,0,0,'Données projet'!$E$13+1,1))-AVERAGE(OFFSET($H$3,0,0,'Données projet'!$E$13+1,1))</f>
        <v>292.21364130214391</v>
      </c>
      <c r="CZ88" s="62">
        <f t="shared" si="96"/>
        <v>283.48738729114024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257.05128205128204</v>
      </c>
      <c r="DM88" s="13">
        <f>VLOOKUP(A88,'Données projet'!$A$165:$I$185,9,0)</f>
        <v>4.3589743589743533</v>
      </c>
      <c r="DN88" s="13">
        <f t="array" ref="DN88">INDEX(DM:DM,MIN(IF(ISNUMBER(DM88:DM284),ROW(DM88:DM284),"")))</f>
        <v>4.3589743589743533</v>
      </c>
      <c r="DO88" s="13">
        <f>IF('Données projet'!$A$166&gt;35,DO87+DN88-DW87,IF(A88&lt;'Données projet'!$A$166,$DL$205^A88,IF(A88='Données projet'!$A$166,'Données projet'!$B$166,DO87+DN88-DW87)))</f>
        <v>257.05128205128216</v>
      </c>
      <c r="DP88" s="18">
        <f>DO88*VLOOKUP('Données projet'!$B$14,Paramètres!$A$1:$I$89,3,0)*VLOOKUP('Données projet'!$B$14,Paramètres!$A$1:$I$89,5,0)</f>
        <v>244.6100000000001</v>
      </c>
      <c r="DQ88" s="14">
        <f t="shared" si="97"/>
        <v>59.430293456197738</v>
      </c>
      <c r="DR88" s="22">
        <f t="shared" si="70"/>
        <v>529.53684443621125</v>
      </c>
      <c r="DS88" s="62">
        <f t="shared" si="71"/>
        <v>822.87017776954463</v>
      </c>
      <c r="DT88" s="62">
        <f ca="1">AVERAGE(OFFSET($DS$3,0,0,'Données projet'!$E$14+1,1))-AVERAGE(OFFSET($H$3,0,0,'Données projet'!$E$14+1,1))</f>
        <v>427.47603885390191</v>
      </c>
      <c r="DU88" s="62">
        <f t="shared" si="98"/>
        <v>350.88664394632116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5.6</v>
      </c>
      <c r="EJ88" s="13">
        <f>IF('Données projet'!$A$192&gt;35,EJ87+EI88-ER87,IF(A88&lt;'Données projet'!$A$192,$EG$205^A88,IF(A88='Données projet'!$A$192,'Données projet'!$B$192,EJ87+EI88-ER87)))</f>
        <v>267.99999999999994</v>
      </c>
      <c r="EK88" s="18">
        <f>EJ88*VLOOKUP('Données projet'!$B$15,Paramètres!$A$1:$I$89,3,0)*VLOOKUP('Données projet'!$B$15,Paramètres!$A$1:$I$89,5,0)</f>
        <v>259.20959999999997</v>
      </c>
      <c r="EL88" s="14">
        <f t="shared" si="99"/>
        <v>62.553866774106702</v>
      </c>
      <c r="EM88" s="22">
        <f t="shared" si="73"/>
        <v>560.40470463156907</v>
      </c>
      <c r="EN88" s="62">
        <f t="shared" si="74"/>
        <v>853.73803796490233</v>
      </c>
      <c r="EO88" s="62">
        <f ca="1">AVERAGE(OFFSET($EN$3,0,0,'Données projet'!$E$15+1,1))-AVERAGE(OFFSET($H$3,0,0,'Données projet'!$E$15+1,1))</f>
        <v>455.50822833641354</v>
      </c>
      <c r="EP88" s="62">
        <f t="shared" si="100"/>
        <v>261.14722581688039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>
        <f>VLOOKUP(A88,'Données projet'!$A$217:$I$237,2,0)</f>
        <v>248</v>
      </c>
      <c r="FC88" s="13">
        <f>VLOOKUP(A88,'Données projet'!$A$217:$I$237,9,0)</f>
        <v>3.6</v>
      </c>
      <c r="FD88" s="13">
        <f t="array" ref="FD88">INDEX(FC:FC,MIN(IF(ISNUMBER(FC88:FC284),ROW(FC88:FC284),"")))</f>
        <v>3.6</v>
      </c>
      <c r="FE88" s="13">
        <f>IF('Données projet'!$A$218&gt;35,FE87+FD88-FM87,IF(A88&lt;'Données projet'!$A$218,$FB$205^A88,IF(A88='Données projet'!$A$218,'Données projet'!$B$218,FE87+FD88-FM87)))</f>
        <v>248</v>
      </c>
      <c r="FF88" s="18">
        <f>FE88*VLOOKUP('Données projet'!$B$16,Paramètres!$A$1:$I$89,3,0)*VLOOKUP('Données projet'!$B$16,Paramètres!$A$1:$I$89,5,0)</f>
        <v>216.65280000000004</v>
      </c>
      <c r="FG88" s="14">
        <f t="shared" si="101"/>
        <v>53.38674047237982</v>
      </c>
      <c r="FH88" s="22">
        <f t="shared" si="76"/>
        <v>470.3188663227283</v>
      </c>
      <c r="FI88" s="62">
        <f t="shared" si="77"/>
        <v>763.65219965606161</v>
      </c>
      <c r="FJ88" s="62">
        <f ca="1">AVERAGE(OFFSET($FI$3,0,0,'Données projet'!$E$16+1,1))-AVERAGE(OFFSET($H$3,0,0,'Données projet'!$E$16+1,1))</f>
        <v>369.34989412920129</v>
      </c>
      <c r="FK88" s="62">
        <f t="shared" si="102"/>
        <v>371.26234252426553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0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>
        <f>FZ88*VLOOKUP('Données projet'!$B$17,Paramètres!$A$1:$I$89,3,0)*VLOOKUP('Données projet'!$B$17,Paramètres!$A$1:$I$89,5,0)</f>
        <v>0</v>
      </c>
      <c r="GB88" s="14" t="e">
        <f t="shared" si="103"/>
        <v>#NUM!</v>
      </c>
      <c r="GC88" s="22" t="e">
        <f t="shared" si="79"/>
        <v>#NUM!</v>
      </c>
      <c r="GD88" s="62" t="e">
        <f t="shared" si="80"/>
        <v>#NUM!</v>
      </c>
      <c r="GE88" s="62">
        <f ca="1">AVERAGE(OFFSET($GD$3,0,0,'Données projet'!$E$17+1,1))-AVERAGE(OFFSET($H$3,0,0,'Données projet'!$E$17+1,1))</f>
        <v>324.4489531703187</v>
      </c>
      <c r="GF88" s="62">
        <f t="shared" si="104"/>
        <v>446.55019360848706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projet'!$B$17,Paramètres!$A$1:$I$89,3,0)*0.475*44/12</f>
        <v>0</v>
      </c>
      <c r="GM88" s="23">
        <f>EXP(-LN(2)/25)*GM87+(1-EXP(-LN(2)/25))/(LN(2)/25)*Calculateur!GH88*Calculateur!GJ88*VLOOKUP('Données projet'!$B$17,Paramètres!$A$1:$I$89,3,0)*0.475*44/12</f>
        <v>0</v>
      </c>
      <c r="GN88" s="23">
        <f>EXP(-LN(2)/2)*GN87+(1-EXP(-LN(2)/2))/(LN(2)/2)*GH88*GK88*VLOOKUP('Données projet'!$B$17,Paramètres!$A$1:$I$89,3,0)*0.475*44/12</f>
        <v>0</v>
      </c>
      <c r="GO88" s="23">
        <f t="shared" si="81"/>
        <v>0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>
        <f>VLOOKUP(A88,'Données projet'!$A$269:$I$289,2,0)</f>
        <v>276.28205128205127</v>
      </c>
      <c r="GS88" s="13">
        <f>VLOOKUP(A88,'Données projet'!$A$269:$I$289,9,0)</f>
        <v>4.1025641025640995</v>
      </c>
      <c r="GT88" s="13">
        <f t="array" ref="GT88">INDEX(GS:GS,MIN(IF(ISNUMBER(GS88:GS284),ROW(GS88:GS284),"")))</f>
        <v>4.1025641025640995</v>
      </c>
      <c r="GU88" s="13">
        <f>IF('Données projet'!$A$270&gt;35,GU87+GT88-HC87,IF(A88&lt;'Données projet'!$A$270,$GR$205^A88,IF(A88='Données projet'!$A$270,'Données projet'!$B$270,GU87+GT88-HC87)))</f>
        <v>276.28205128205127</v>
      </c>
      <c r="GV88" s="18">
        <f>GU88*VLOOKUP('Données projet'!$B$18,Paramètres!$A$1:$I$89,3,0)*VLOOKUP('Données projet'!$B$18,Paramètres!$A$1:$I$89,5,0)</f>
        <v>185.32999999999998</v>
      </c>
      <c r="GW88" s="14">
        <f t="shared" si="105"/>
        <v>46.505991525491268</v>
      </c>
      <c r="GX88" s="22">
        <f t="shared" si="82"/>
        <v>403.78101857356387</v>
      </c>
      <c r="GY88" s="62">
        <f t="shared" si="83"/>
        <v>697.11435190689713</v>
      </c>
      <c r="GZ88" s="62">
        <f ca="1">AVERAGE(OFFSET($GY$3,0,0,'Données projet'!$E$18+1,1))-AVERAGE(OFFSET($H$3,0,0,'Données projet'!$E$18+1,1))</f>
        <v>312.06797204903796</v>
      </c>
      <c r="HA88" s="62">
        <f t="shared" si="106"/>
        <v>258.20189001775151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>
        <f>EXP(-LN(2)/35)*HG87+(1-EXP(-LN(2)/35))/(LN(2)/35)*HC88*HD88*VLOOKUP('Données projet'!$B$18,Paramètres!$A$1:$I$89,3,0)*0.475*44/12</f>
        <v>0</v>
      </c>
      <c r="HH88" s="23">
        <f>EXP(-LN(2)/25)*HH87+(1-EXP(-LN(2)/25))/(LN(2)/25)*Calculateur!HC88*Calculateur!HE88*VLOOKUP('Données projet'!$B$18,Paramètres!$A$1:$I$89,3,0)*0.475*44/12</f>
        <v>0</v>
      </c>
      <c r="HI88" s="23">
        <f>EXP(-LN(2)/2)*HI87+(1-EXP(-LN(2)/2))/(LN(2)/2)*HC88*HF88*VLOOKUP('Données projet'!$B$18,Paramètres!$A$1:$I$89,3,0)*0.475*44/12</f>
        <v>0</v>
      </c>
      <c r="HJ88" s="24">
        <f t="shared" si="84"/>
        <v>0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6.6</v>
      </c>
      <c r="N89" s="14">
        <f>IF('Données projet'!$A$36&gt;35,N88+M89-V88,IF(A89&lt;'Données projet'!$A$36,$K$205^A89,IF(A89='Données projet'!$A$36,'Données projet'!$B$36,N88+M89-V88)))</f>
        <v>331.6</v>
      </c>
      <c r="O89" s="14">
        <f>N89*VLOOKUP('Données projet'!$B$9,Paramètres!$A$1:$I$89,3,0)*VLOOKUP('Données projet'!$B$9,Paramètres!$A$1:$I$89,5,0)</f>
        <v>300.03167999999999</v>
      </c>
      <c r="P89" s="14">
        <f t="shared" si="87"/>
        <v>71.183104779714938</v>
      </c>
      <c r="Q89" s="22">
        <f t="shared" si="54"/>
        <v>646.53241682467012</v>
      </c>
      <c r="R89" s="62">
        <f t="shared" si="55"/>
        <v>939.86575015800349</v>
      </c>
      <c r="S89" s="62">
        <f ca="1">AVERAGE(OFFSET($R$3,0,0,'Données projet'!$E$9+1,1))-AVERAGE(OFFSET($H$3,0,0,'Données projet'!$E$9+1,1))</f>
        <v>512.84819850818667</v>
      </c>
      <c r="T89" s="62">
        <f t="shared" si="88"/>
        <v>332.61387922152159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-5.6843418860808015E-14</v>
      </c>
      <c r="AJ89" s="14">
        <f>AI89*VLOOKUP('Données projet'!$B$10,Paramètres!$A$1:$I$89,3,0)*VLOOKUP('Données projet'!$B$10,Paramètres!$A$1:$I$89,5,0)</f>
        <v>-4.1677594708744434E-14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344.45199703750711</v>
      </c>
      <c r="AO89" s="62">
        <f t="shared" si="90"/>
        <v>376.41441893222185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6.6</v>
      </c>
      <c r="BD89" s="13">
        <f>IF('Données projet'!$A$88&gt;35,BD88+BC89-BL88,IF(A89&lt;'Données projet'!$A$88,$BA$205^A89,IF(A89='Données projet'!$A$88,'Données projet'!$B$88,BD88+BC89-BL88)))</f>
        <v>331.6</v>
      </c>
      <c r="BE89" s="14">
        <f>BD89*VLOOKUP('Données projet'!$B$11,Paramètres!$A$1:$I$89,3,0)*VLOOKUP('Données projet'!$B$11,Paramètres!$A$1:$I$89,5,0)</f>
        <v>336.24240000000003</v>
      </c>
      <c r="BF89" s="14">
        <f t="shared" si="91"/>
        <v>78.723101051027399</v>
      </c>
      <c r="BG89" s="22">
        <f t="shared" si="61"/>
        <v>722.73158099720615</v>
      </c>
      <c r="BH89" s="62">
        <f t="shared" si="62"/>
        <v>1016.0649143305395</v>
      </c>
      <c r="BI89" s="62">
        <f ca="1">AVERAGE(OFFSET($BH$3,0,0,'Données projet'!$E$11+1,1))-AVERAGE(OFFSET($H$3,0,0,'Données projet'!$E$11+1,1))</f>
        <v>569.39473185784823</v>
      </c>
      <c r="BJ89" s="62">
        <f t="shared" si="92"/>
        <v>367.42881145517066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9.1</v>
      </c>
      <c r="BY89" s="13">
        <f>IF('Données projet'!$A$114&gt;35,BY88+BX89-CG88,IF(A89&lt;'Données projet'!$A$114,$BV$205^A89,IF(A89='Données projet'!$A$114,'Données projet'!$B$114,BY88+BX89-CG88)))</f>
        <v>367.6</v>
      </c>
      <c r="BZ89" s="14">
        <f>BY89*VLOOKUP('Données projet'!$B$12,Paramètres!$A$1:$I$89,3,0)*VLOOKUP('Données projet'!$B$12,Paramètres!$A$1:$I$89,5,0)</f>
        <v>315.40080000000006</v>
      </c>
      <c r="CA89" s="14">
        <f t="shared" si="93"/>
        <v>74.395595872766933</v>
      </c>
      <c r="CB89" s="22">
        <f t="shared" si="64"/>
        <v>678.89538947840242</v>
      </c>
      <c r="CC89" s="62">
        <f t="shared" si="65"/>
        <v>972.22872281173568</v>
      </c>
      <c r="CD89" s="62">
        <f ca="1">AVERAGE(OFFSET($CC$3,0,0,'Données projet'!$E$12+1,1))-AVERAGE(OFFSET($H$3,0,0,'Données projet'!$E$12+1,1))</f>
        <v>554.06253050955502</v>
      </c>
      <c r="CE89" s="62">
        <f t="shared" si="94"/>
        <v>269.71949336355789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1.1368683772161603E-13</v>
      </c>
      <c r="CU89" s="18">
        <f>CT89*VLOOKUP('Données projet'!$B$13,Paramètres!$A$1:$I$89,3,0)*VLOOKUP('Données projet'!$B$13,Paramètres!$A$1:$I$89,5,0)</f>
        <v>8.8675733422860506E-14</v>
      </c>
      <c r="CV89" s="14">
        <f t="shared" si="95"/>
        <v>1.3509285393066301E-12</v>
      </c>
      <c r="CW89" s="22">
        <f t="shared" si="67"/>
        <v>2.5073107750038623E-12</v>
      </c>
      <c r="CX89" s="62">
        <f t="shared" si="68"/>
        <v>293.33333333333582</v>
      </c>
      <c r="CY89" s="62">
        <f ca="1">AVERAGE(OFFSET($CX$3,0,0,'Données projet'!$E$13+1,1))-AVERAGE(OFFSET($H$3,0,0,'Données projet'!$E$13+1,1))</f>
        <v>292.21364130214391</v>
      </c>
      <c r="CZ89" s="62">
        <f t="shared" si="96"/>
        <v>283.48738729114024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4.1025641025640995</v>
      </c>
      <c r="DO89" s="13">
        <f>IF('Données projet'!$A$166&gt;35,DO88+DN89-DW88,IF(A89&lt;'Données projet'!$A$166,$DL$205^A89,IF(A89='Données projet'!$A$166,'Données projet'!$B$166,DO88+DN89-DW88)))</f>
        <v>261.15384615384625</v>
      </c>
      <c r="DP89" s="18">
        <f>DO89*VLOOKUP('Données projet'!$B$14,Paramètres!$A$1:$I$89,3,0)*VLOOKUP('Données projet'!$B$14,Paramètres!$A$1:$I$89,5,0)</f>
        <v>248.51400000000007</v>
      </c>
      <c r="DQ89" s="14">
        <f t="shared" si="97"/>
        <v>60.267625993420467</v>
      </c>
      <c r="DR89" s="22">
        <f t="shared" si="70"/>
        <v>537.79466527187412</v>
      </c>
      <c r="DS89" s="62">
        <f t="shared" si="71"/>
        <v>831.12799860520749</v>
      </c>
      <c r="DT89" s="62">
        <f ca="1">AVERAGE(OFFSET($DS$3,0,0,'Données projet'!$E$14+1,1))-AVERAGE(OFFSET($H$3,0,0,'Données projet'!$E$14+1,1))</f>
        <v>427.47603885390191</v>
      </c>
      <c r="DU89" s="62">
        <f t="shared" si="98"/>
        <v>350.88664394632116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5.6</v>
      </c>
      <c r="EJ89" s="13">
        <f>IF('Données projet'!$A$192&gt;35,EJ88+EI89-ER88,IF(A89&lt;'Données projet'!$A$192,$EG$205^A89,IF(A89='Données projet'!$A$192,'Données projet'!$B$192,EJ88+EI89-ER88)))</f>
        <v>273.59999999999997</v>
      </c>
      <c r="EK89" s="18">
        <f>EJ89*VLOOKUP('Données projet'!$B$15,Paramètres!$A$1:$I$89,3,0)*VLOOKUP('Données projet'!$B$15,Paramètres!$A$1:$I$89,5,0)</f>
        <v>264.62591999999995</v>
      </c>
      <c r="EL89" s="14">
        <f t="shared" si="99"/>
        <v>63.707422801198604</v>
      </c>
      <c r="EM89" s="22">
        <f t="shared" si="73"/>
        <v>571.84723871208746</v>
      </c>
      <c r="EN89" s="62">
        <f t="shared" si="74"/>
        <v>865.18057204542083</v>
      </c>
      <c r="EO89" s="62">
        <f ca="1">AVERAGE(OFFSET($EN$3,0,0,'Données projet'!$E$15+1,1))-AVERAGE(OFFSET($H$3,0,0,'Données projet'!$E$15+1,1))</f>
        <v>455.50822833641354</v>
      </c>
      <c r="EP89" s="62">
        <f t="shared" si="100"/>
        <v>261.14722581688039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3</v>
      </c>
      <c r="FE89" s="13">
        <f>IF('Données projet'!$A$218&gt;35,FE88+FD89-FM88,IF(A89&lt;'Données projet'!$A$218,$FB$205^A89,IF(A89='Données projet'!$A$218,'Données projet'!$B$218,FE88+FD89-FM88)))</f>
        <v>251</v>
      </c>
      <c r="FF89" s="18">
        <f>FE89*VLOOKUP('Données projet'!$B$16,Paramètres!$A$1:$I$89,3,0)*VLOOKUP('Données projet'!$B$16,Paramètres!$A$1:$I$89,5,0)</f>
        <v>219.27360000000002</v>
      </c>
      <c r="FG89" s="14">
        <f t="shared" si="101"/>
        <v>53.956975893220125</v>
      </c>
      <c r="FH89" s="22">
        <f t="shared" si="76"/>
        <v>475.8765863473584</v>
      </c>
      <c r="FI89" s="62">
        <f t="shared" si="77"/>
        <v>769.20991968069166</v>
      </c>
      <c r="FJ89" s="62">
        <f ca="1">AVERAGE(OFFSET($FI$3,0,0,'Données projet'!$E$16+1,1))-AVERAGE(OFFSET($H$3,0,0,'Données projet'!$E$16+1,1))</f>
        <v>369.34989412920129</v>
      </c>
      <c r="FK89" s="62">
        <f t="shared" si="102"/>
        <v>371.26234252426553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0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>
        <f>FZ89*VLOOKUP('Données projet'!$B$17,Paramètres!$A$1:$I$89,3,0)*VLOOKUP('Données projet'!$B$17,Paramètres!$A$1:$I$89,5,0)</f>
        <v>0</v>
      </c>
      <c r="GB89" s="14" t="e">
        <f t="shared" si="103"/>
        <v>#NUM!</v>
      </c>
      <c r="GC89" s="22" t="e">
        <f t="shared" si="79"/>
        <v>#NUM!</v>
      </c>
      <c r="GD89" s="62" t="e">
        <f t="shared" si="80"/>
        <v>#NUM!</v>
      </c>
      <c r="GE89" s="62">
        <f ca="1">AVERAGE(OFFSET($GD$3,0,0,'Données projet'!$E$17+1,1))-AVERAGE(OFFSET($H$3,0,0,'Données projet'!$E$17+1,1))</f>
        <v>324.4489531703187</v>
      </c>
      <c r="GF89" s="62">
        <f t="shared" si="104"/>
        <v>446.55019360848706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projet'!$B$17,Paramètres!$A$1:$I$89,3,0)*0.475*44/12</f>
        <v>0</v>
      </c>
      <c r="GM89" s="23">
        <f>EXP(-LN(2)/25)*GM88+(1-EXP(-LN(2)/25))/(LN(2)/25)*Calculateur!GH89*Calculateur!GJ89*VLOOKUP('Données projet'!$B$17,Paramètres!$A$1:$I$89,3,0)*0.475*44/12</f>
        <v>0</v>
      </c>
      <c r="GN89" s="23">
        <f>EXP(-LN(2)/2)*GN88+(1-EXP(-LN(2)/2))/(LN(2)/2)*GH89*GK89*VLOOKUP('Données projet'!$B$17,Paramètres!$A$1:$I$89,3,0)*0.475*44/12</f>
        <v>0</v>
      </c>
      <c r="GO89" s="23">
        <f t="shared" si="81"/>
        <v>0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3.8461538461538454</v>
      </c>
      <c r="GU89" s="13">
        <f>IF('Données projet'!$A$270&gt;35,GU88+GT89-HC88,IF(A89&lt;'Données projet'!$A$270,$GR$205^A89,IF(A89='Données projet'!$A$270,'Données projet'!$B$270,GU88+GT89-HC88)))</f>
        <v>280.12820512820514</v>
      </c>
      <c r="GV89" s="18">
        <f>GU89*VLOOKUP('Données projet'!$B$18,Paramètres!$A$1:$I$89,3,0)*VLOOKUP('Données projet'!$B$18,Paramètres!$A$1:$I$89,5,0)</f>
        <v>187.91</v>
      </c>
      <c r="GW89" s="14">
        <f t="shared" si="105"/>
        <v>47.077586490700433</v>
      </c>
      <c r="GX89" s="22">
        <f t="shared" si="82"/>
        <v>409.27004647130326</v>
      </c>
      <c r="GY89" s="62">
        <f t="shared" si="83"/>
        <v>702.60337980463657</v>
      </c>
      <c r="GZ89" s="62">
        <f ca="1">AVERAGE(OFFSET($GY$3,0,0,'Données projet'!$E$18+1,1))-AVERAGE(OFFSET($H$3,0,0,'Données projet'!$E$18+1,1))</f>
        <v>312.06797204903796</v>
      </c>
      <c r="HA89" s="62">
        <f t="shared" si="106"/>
        <v>258.20189001775151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>
        <f>EXP(-LN(2)/35)*HG88+(1-EXP(-LN(2)/35))/(LN(2)/35)*HC89*HD89*VLOOKUP('Données projet'!$B$18,Paramètres!$A$1:$I$89,3,0)*0.475*44/12</f>
        <v>0</v>
      </c>
      <c r="HH89" s="23">
        <f>EXP(-LN(2)/25)*HH88+(1-EXP(-LN(2)/25))/(LN(2)/25)*Calculateur!HC89*Calculateur!HE89*VLOOKUP('Données projet'!$B$18,Paramètres!$A$1:$I$89,3,0)*0.475*44/12</f>
        <v>0</v>
      </c>
      <c r="HI89" s="23">
        <f>EXP(-LN(2)/2)*HI88+(1-EXP(-LN(2)/2))/(LN(2)/2)*HC89*HF89*VLOOKUP('Données projet'!$B$18,Paramètres!$A$1:$I$89,3,0)*0.475*44/12</f>
        <v>0</v>
      </c>
      <c r="HJ89" s="24">
        <f t="shared" si="84"/>
        <v>0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6.6</v>
      </c>
      <c r="N90" s="14">
        <f>IF('Données projet'!$A$36&gt;35,N89+M90-V89,IF(A90&lt;'Données projet'!$A$36,$K$205^A90,IF(A90='Données projet'!$A$36,'Données projet'!$B$36,N89+M90-V89)))</f>
        <v>338.20000000000005</v>
      </c>
      <c r="O90" s="14">
        <f>N90*VLOOKUP('Données projet'!$B$9,Paramètres!$A$1:$I$89,3,0)*VLOOKUP('Données projet'!$B$9,Paramètres!$A$1:$I$89,5,0)</f>
        <v>306.00336000000004</v>
      </c>
      <c r="P90" s="14">
        <f t="shared" si="87"/>
        <v>72.433543369450447</v>
      </c>
      <c r="Q90" s="22">
        <f t="shared" si="54"/>
        <v>659.11094003512619</v>
      </c>
      <c r="R90" s="62">
        <f t="shared" si="55"/>
        <v>952.44427336845956</v>
      </c>
      <c r="S90" s="62">
        <f ca="1">AVERAGE(OFFSET($R$3,0,0,'Données projet'!$E$9+1,1))-AVERAGE(OFFSET($H$3,0,0,'Données projet'!$E$9+1,1))</f>
        <v>512.84819850818667</v>
      </c>
      <c r="T90" s="62">
        <f t="shared" si="88"/>
        <v>332.61387922152159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-5.6843418860808015E-14</v>
      </c>
      <c r="AJ90" s="14">
        <f>AI90*VLOOKUP('Données projet'!$B$10,Paramètres!$A$1:$I$89,3,0)*VLOOKUP('Données projet'!$B$10,Paramètres!$A$1:$I$89,5,0)</f>
        <v>-4.1677594708744434E-14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344.45199703750711</v>
      </c>
      <c r="AO90" s="62">
        <f t="shared" si="90"/>
        <v>376.41441893222185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6.6</v>
      </c>
      <c r="BD90" s="13">
        <f>IF('Données projet'!$A$88&gt;35,BD89+BC90-BL89,IF(A90&lt;'Données projet'!$A$88,$BA$205^A90,IF(A90='Données projet'!$A$88,'Données projet'!$B$88,BD89+BC90-BL89)))</f>
        <v>338.20000000000005</v>
      </c>
      <c r="BE90" s="14">
        <f>BD90*VLOOKUP('Données projet'!$B$11,Paramètres!$A$1:$I$89,3,0)*VLOOKUP('Données projet'!$B$11,Paramètres!$A$1:$I$89,5,0)</f>
        <v>342.93480000000005</v>
      </c>
      <c r="BF90" s="14">
        <f t="shared" si="91"/>
        <v>80.105991046658843</v>
      </c>
      <c r="BG90" s="22">
        <f t="shared" si="61"/>
        <v>736.79604440626429</v>
      </c>
      <c r="BH90" s="62">
        <f t="shared" si="62"/>
        <v>1030.1293777395977</v>
      </c>
      <c r="BI90" s="62">
        <f ca="1">AVERAGE(OFFSET($BH$3,0,0,'Données projet'!$E$11+1,1))-AVERAGE(OFFSET($H$3,0,0,'Données projet'!$E$11+1,1))</f>
        <v>569.39473185784823</v>
      </c>
      <c r="BJ90" s="62">
        <f t="shared" si="92"/>
        <v>367.42881145517066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9.1</v>
      </c>
      <c r="BY90" s="13">
        <f>IF('Données projet'!$A$114&gt;35,BY89+BX90-CG89,IF(A90&lt;'Données projet'!$A$114,$BV$205^A90,IF(A90='Données projet'!$A$114,'Données projet'!$B$114,BY89+BX90-CG89)))</f>
        <v>376.70000000000005</v>
      </c>
      <c r="BZ90" s="14">
        <f>BY90*VLOOKUP('Données projet'!$B$12,Paramètres!$A$1:$I$89,3,0)*VLOOKUP('Données projet'!$B$12,Paramètres!$A$1:$I$89,5,0)</f>
        <v>323.20860000000005</v>
      </c>
      <c r="CA90" s="14">
        <f t="shared" si="93"/>
        <v>76.020577144890012</v>
      </c>
      <c r="CB90" s="22">
        <f t="shared" si="64"/>
        <v>695.32415019401685</v>
      </c>
      <c r="CC90" s="62">
        <f t="shared" si="65"/>
        <v>988.65748352735022</v>
      </c>
      <c r="CD90" s="62">
        <f ca="1">AVERAGE(OFFSET($CC$3,0,0,'Données projet'!$E$12+1,1))-AVERAGE(OFFSET($H$3,0,0,'Données projet'!$E$12+1,1))</f>
        <v>554.06253050955502</v>
      </c>
      <c r="CE90" s="62">
        <f t="shared" si="94"/>
        <v>269.71949336355789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1.1368683772161603E-13</v>
      </c>
      <c r="CU90" s="18">
        <f>CT90*VLOOKUP('Données projet'!$B$13,Paramètres!$A$1:$I$89,3,0)*VLOOKUP('Données projet'!$B$13,Paramètres!$A$1:$I$89,5,0)</f>
        <v>8.8675733422860506E-14</v>
      </c>
      <c r="CV90" s="14">
        <f t="shared" si="95"/>
        <v>1.3509285393066301E-12</v>
      </c>
      <c r="CW90" s="22">
        <f t="shared" si="67"/>
        <v>2.5073107750038623E-12</v>
      </c>
      <c r="CX90" s="62">
        <f t="shared" si="68"/>
        <v>293.33333333333582</v>
      </c>
      <c r="CY90" s="62">
        <f ca="1">AVERAGE(OFFSET($CX$3,0,0,'Données projet'!$E$13+1,1))-AVERAGE(OFFSET($H$3,0,0,'Données projet'!$E$13+1,1))</f>
        <v>292.21364130214391</v>
      </c>
      <c r="CZ90" s="62">
        <f t="shared" si="96"/>
        <v>283.48738729114024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4.1025641025640995</v>
      </c>
      <c r="DO90" s="13">
        <f>IF('Données projet'!$A$166&gt;35,DO89+DN90-DW89,IF(A90&lt;'Données projet'!$A$166,$DL$205^A90,IF(A90='Données projet'!$A$166,'Données projet'!$B$166,DO89+DN90-DW89)))</f>
        <v>265.25641025641033</v>
      </c>
      <c r="DP90" s="18">
        <f>DO90*VLOOKUP('Données projet'!$B$14,Paramètres!$A$1:$I$89,3,0)*VLOOKUP('Données projet'!$B$14,Paramètres!$A$1:$I$89,5,0)</f>
        <v>252.41800000000006</v>
      </c>
      <c r="DQ90" s="14">
        <f t="shared" si="97"/>
        <v>61.103428740793305</v>
      </c>
      <c r="DR90" s="22">
        <f t="shared" si="70"/>
        <v>546.04982172354835</v>
      </c>
      <c r="DS90" s="62">
        <f t="shared" si="71"/>
        <v>839.38315505688161</v>
      </c>
      <c r="DT90" s="62">
        <f ca="1">AVERAGE(OFFSET($DS$3,0,0,'Données projet'!$E$14+1,1))-AVERAGE(OFFSET($H$3,0,0,'Données projet'!$E$14+1,1))</f>
        <v>427.47603885390191</v>
      </c>
      <c r="DU90" s="62">
        <f t="shared" si="98"/>
        <v>350.88664394632116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5.6</v>
      </c>
      <c r="EJ90" s="13">
        <f>IF('Données projet'!$A$192&gt;35,EJ89+EI90-ER89,IF(A90&lt;'Données projet'!$A$192,$EG$205^A90,IF(A90='Données projet'!$A$192,'Données projet'!$B$192,EJ89+EI90-ER89)))</f>
        <v>279.2</v>
      </c>
      <c r="EK90" s="18">
        <f>EJ90*VLOOKUP('Données projet'!$B$15,Paramètres!$A$1:$I$89,3,0)*VLOOKUP('Données projet'!$B$15,Paramètres!$A$1:$I$89,5,0)</f>
        <v>270.04223999999999</v>
      </c>
      <c r="EL90" s="14">
        <f t="shared" si="99"/>
        <v>64.858233600288145</v>
      </c>
      <c r="EM90" s="22">
        <f t="shared" si="73"/>
        <v>583.28499152050188</v>
      </c>
      <c r="EN90" s="62">
        <f t="shared" si="74"/>
        <v>876.61832485383525</v>
      </c>
      <c r="EO90" s="62">
        <f ca="1">AVERAGE(OFFSET($EN$3,0,0,'Données projet'!$E$15+1,1))-AVERAGE(OFFSET($H$3,0,0,'Données projet'!$E$15+1,1))</f>
        <v>455.50822833641354</v>
      </c>
      <c r="EP90" s="62">
        <f t="shared" si="100"/>
        <v>261.14722581688039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3</v>
      </c>
      <c r="FE90" s="13">
        <f>IF('Données projet'!$A$218&gt;35,FE89+FD90-FM89,IF(A90&lt;'Données projet'!$A$218,$FB$205^A90,IF(A90='Données projet'!$A$218,'Données projet'!$B$218,FE89+FD90-FM89)))</f>
        <v>254</v>
      </c>
      <c r="FF90" s="18">
        <f>FE90*VLOOKUP('Données projet'!$B$16,Paramètres!$A$1:$I$89,3,0)*VLOOKUP('Données projet'!$B$16,Paramètres!$A$1:$I$89,5,0)</f>
        <v>221.89440000000002</v>
      </c>
      <c r="FG90" s="14">
        <f t="shared" si="101"/>
        <v>54.526418514188897</v>
      </c>
      <c r="FH90" s="22">
        <f t="shared" si="76"/>
        <v>481.43292557887906</v>
      </c>
      <c r="FI90" s="62">
        <f t="shared" si="77"/>
        <v>774.76625891221238</v>
      </c>
      <c r="FJ90" s="62">
        <f ca="1">AVERAGE(OFFSET($FI$3,0,0,'Données projet'!$E$16+1,1))-AVERAGE(OFFSET($H$3,0,0,'Données projet'!$E$16+1,1))</f>
        <v>369.34989412920129</v>
      </c>
      <c r="FK90" s="62">
        <f t="shared" si="102"/>
        <v>371.26234252426553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0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>
        <f>FZ90*VLOOKUP('Données projet'!$B$17,Paramètres!$A$1:$I$89,3,0)*VLOOKUP('Données projet'!$B$17,Paramètres!$A$1:$I$89,5,0)</f>
        <v>0</v>
      </c>
      <c r="GB90" s="14" t="e">
        <f t="shared" si="103"/>
        <v>#NUM!</v>
      </c>
      <c r="GC90" s="22" t="e">
        <f t="shared" si="79"/>
        <v>#NUM!</v>
      </c>
      <c r="GD90" s="62" t="e">
        <f t="shared" si="80"/>
        <v>#NUM!</v>
      </c>
      <c r="GE90" s="62">
        <f ca="1">AVERAGE(OFFSET($GD$3,0,0,'Données projet'!$E$17+1,1))-AVERAGE(OFFSET($H$3,0,0,'Données projet'!$E$17+1,1))</f>
        <v>324.4489531703187</v>
      </c>
      <c r="GF90" s="62">
        <f t="shared" si="104"/>
        <v>446.55019360848706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projet'!$B$17,Paramètres!$A$1:$I$89,3,0)*0.475*44/12</f>
        <v>0</v>
      </c>
      <c r="GM90" s="23">
        <f>EXP(-LN(2)/25)*GM89+(1-EXP(-LN(2)/25))/(LN(2)/25)*Calculateur!GH90*Calculateur!GJ90*VLOOKUP('Données projet'!$B$17,Paramètres!$A$1:$I$89,3,0)*0.475*44/12</f>
        <v>0</v>
      </c>
      <c r="GN90" s="23">
        <f>EXP(-LN(2)/2)*GN89+(1-EXP(-LN(2)/2))/(LN(2)/2)*GH90*GK90*VLOOKUP('Données projet'!$B$17,Paramètres!$A$1:$I$89,3,0)*0.475*44/12</f>
        <v>0</v>
      </c>
      <c r="GO90" s="23">
        <f t="shared" si="81"/>
        <v>0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3.8461538461538454</v>
      </c>
      <c r="GU90" s="13">
        <f>IF('Données projet'!$A$270&gt;35,GU89+GT90-HC89,IF(A90&lt;'Données projet'!$A$270,$GR$205^A90,IF(A90='Données projet'!$A$270,'Données projet'!$B$270,GU89+GT90-HC89)))</f>
        <v>283.97435897435901</v>
      </c>
      <c r="GV90" s="18">
        <f>GU90*VLOOKUP('Données projet'!$B$18,Paramètres!$A$1:$I$89,3,0)*VLOOKUP('Données projet'!$B$18,Paramètres!$A$1:$I$89,5,0)</f>
        <v>190.49</v>
      </c>
      <c r="GW90" s="14">
        <f t="shared" si="105"/>
        <v>47.648268649617435</v>
      </c>
      <c r="GX90" s="22">
        <f t="shared" si="82"/>
        <v>414.75748456475031</v>
      </c>
      <c r="GY90" s="62">
        <f t="shared" si="83"/>
        <v>708.09081789808363</v>
      </c>
      <c r="GZ90" s="62">
        <f ca="1">AVERAGE(OFFSET($GY$3,0,0,'Données projet'!$E$18+1,1))-AVERAGE(OFFSET($H$3,0,0,'Données projet'!$E$18+1,1))</f>
        <v>312.06797204903796</v>
      </c>
      <c r="HA90" s="62">
        <f t="shared" si="106"/>
        <v>258.20189001775151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>
        <f>EXP(-LN(2)/35)*HG89+(1-EXP(-LN(2)/35))/(LN(2)/35)*HC90*HD90*VLOOKUP('Données projet'!$B$18,Paramètres!$A$1:$I$89,3,0)*0.475*44/12</f>
        <v>0</v>
      </c>
      <c r="HH90" s="23">
        <f>EXP(-LN(2)/25)*HH89+(1-EXP(-LN(2)/25))/(LN(2)/25)*Calculateur!HC90*Calculateur!HE90*VLOOKUP('Données projet'!$B$18,Paramètres!$A$1:$I$89,3,0)*0.475*44/12</f>
        <v>0</v>
      </c>
      <c r="HI90" s="23">
        <f>EXP(-LN(2)/2)*HI89+(1-EXP(-LN(2)/2))/(LN(2)/2)*HC90*HF90*VLOOKUP('Données projet'!$B$18,Paramètres!$A$1:$I$89,3,0)*0.475*44/12</f>
        <v>0</v>
      </c>
      <c r="HJ90" s="24">
        <f t="shared" si="84"/>
        <v>0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6.6</v>
      </c>
      <c r="N91" s="14">
        <f>IF('Données projet'!$A$36&gt;35,N90+M91-V90,IF(A91&lt;'Données projet'!$A$36,$K$205^A91,IF(A91='Données projet'!$A$36,'Données projet'!$B$36,N90+M91-V90)))</f>
        <v>344.80000000000007</v>
      </c>
      <c r="O91" s="14">
        <f>N91*VLOOKUP('Données projet'!$B$9,Paramètres!$A$1:$I$89,3,0)*VLOOKUP('Données projet'!$B$9,Paramètres!$A$1:$I$89,5,0)</f>
        <v>311.97504000000009</v>
      </c>
      <c r="P91" s="14">
        <f t="shared" si="87"/>
        <v>73.681144552074599</v>
      </c>
      <c r="Q91" s="22">
        <f t="shared" si="54"/>
        <v>671.68452142819672</v>
      </c>
      <c r="R91" s="62">
        <f t="shared" si="55"/>
        <v>965.01785476153009</v>
      </c>
      <c r="S91" s="62">
        <f ca="1">AVERAGE(OFFSET($R$3,0,0,'Données projet'!$E$9+1,1))-AVERAGE(OFFSET($H$3,0,0,'Données projet'!$E$9+1,1))</f>
        <v>512.84819850818667</v>
      </c>
      <c r="T91" s="62">
        <f t="shared" si="88"/>
        <v>332.61387922152159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-5.6843418860808015E-14</v>
      </c>
      <c r="AJ91" s="14">
        <f>AI91*VLOOKUP('Données projet'!$B$10,Paramètres!$A$1:$I$89,3,0)*VLOOKUP('Données projet'!$B$10,Paramètres!$A$1:$I$89,5,0)</f>
        <v>-4.1677594708744434E-14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344.45199703750711</v>
      </c>
      <c r="AO91" s="62">
        <f t="shared" si="90"/>
        <v>376.41441893222185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6.6</v>
      </c>
      <c r="BD91" s="13">
        <f>IF('Données projet'!$A$88&gt;35,BD90+BC91-BL90,IF(A91&lt;'Données projet'!$A$88,$BA$205^A91,IF(A91='Données projet'!$A$88,'Données projet'!$B$88,BD90+BC91-BL90)))</f>
        <v>344.80000000000007</v>
      </c>
      <c r="BE91" s="14">
        <f>BD91*VLOOKUP('Données projet'!$B$11,Paramètres!$A$1:$I$89,3,0)*VLOOKUP('Données projet'!$B$11,Paramètres!$A$1:$I$89,5,0)</f>
        <v>349.62720000000013</v>
      </c>
      <c r="BF91" s="14">
        <f t="shared" si="91"/>
        <v>81.485743085784506</v>
      </c>
      <c r="BG91" s="22">
        <f t="shared" si="61"/>
        <v>750.85504254107491</v>
      </c>
      <c r="BH91" s="62">
        <f t="shared" si="62"/>
        <v>1044.1883758744082</v>
      </c>
      <c r="BI91" s="62">
        <f ca="1">AVERAGE(OFFSET($BH$3,0,0,'Données projet'!$E$11+1,1))-AVERAGE(OFFSET($H$3,0,0,'Données projet'!$E$11+1,1))</f>
        <v>569.39473185784823</v>
      </c>
      <c r="BJ91" s="62">
        <f t="shared" si="92"/>
        <v>367.42881145517066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9.1</v>
      </c>
      <c r="BY91" s="13">
        <f>IF('Données projet'!$A$114&gt;35,BY90+BX91-CG90,IF(A91&lt;'Données projet'!$A$114,$BV$205^A91,IF(A91='Données projet'!$A$114,'Données projet'!$B$114,BY90+BX91-CG90)))</f>
        <v>385.80000000000007</v>
      </c>
      <c r="BZ91" s="14">
        <f>BY91*VLOOKUP('Données projet'!$B$12,Paramètres!$A$1:$I$89,3,0)*VLOOKUP('Données projet'!$B$12,Paramètres!$A$1:$I$89,5,0)</f>
        <v>331.01640000000009</v>
      </c>
      <c r="CA91" s="14">
        <f t="shared" si="93"/>
        <v>77.640995093013743</v>
      </c>
      <c r="CB91" s="22">
        <f t="shared" si="64"/>
        <v>711.7449631203325</v>
      </c>
      <c r="CC91" s="62">
        <f t="shared" si="65"/>
        <v>1005.0782964536659</v>
      </c>
      <c r="CD91" s="62">
        <f ca="1">AVERAGE(OFFSET($CC$3,0,0,'Données projet'!$E$12+1,1))-AVERAGE(OFFSET($H$3,0,0,'Données projet'!$E$12+1,1))</f>
        <v>554.06253050955502</v>
      </c>
      <c r="CE91" s="62">
        <f t="shared" si="94"/>
        <v>269.71949336355789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1.1368683772161603E-13</v>
      </c>
      <c r="CU91" s="18">
        <f>CT91*VLOOKUP('Données projet'!$B$13,Paramètres!$A$1:$I$89,3,0)*VLOOKUP('Données projet'!$B$13,Paramètres!$A$1:$I$89,5,0)</f>
        <v>8.8675733422860506E-14</v>
      </c>
      <c r="CV91" s="14">
        <f t="shared" si="95"/>
        <v>1.3509285393066301E-12</v>
      </c>
      <c r="CW91" s="22">
        <f t="shared" si="67"/>
        <v>2.5073107750038623E-12</v>
      </c>
      <c r="CX91" s="62">
        <f t="shared" si="68"/>
        <v>293.33333333333582</v>
      </c>
      <c r="CY91" s="62">
        <f ca="1">AVERAGE(OFFSET($CX$3,0,0,'Données projet'!$E$13+1,1))-AVERAGE(OFFSET($H$3,0,0,'Données projet'!$E$13+1,1))</f>
        <v>292.21364130214391</v>
      </c>
      <c r="CZ91" s="62">
        <f t="shared" si="96"/>
        <v>283.48738729114024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4.1025641025640995</v>
      </c>
      <c r="DO91" s="13">
        <f>IF('Données projet'!$A$166&gt;35,DO90+DN91-DW90,IF(A91&lt;'Données projet'!$A$166,$DL$205^A91,IF(A91='Données projet'!$A$166,'Données projet'!$B$166,DO90+DN91-DW90)))</f>
        <v>269.35897435897442</v>
      </c>
      <c r="DP91" s="18">
        <f>DO91*VLOOKUP('Données projet'!$B$14,Paramètres!$A$1:$I$89,3,0)*VLOOKUP('Données projet'!$B$14,Paramètres!$A$1:$I$89,5,0)</f>
        <v>256.32200000000006</v>
      </c>
      <c r="DQ91" s="14">
        <f t="shared" si="97"/>
        <v>61.937728091093639</v>
      </c>
      <c r="DR91" s="22">
        <f t="shared" si="70"/>
        <v>554.3023597586548</v>
      </c>
      <c r="DS91" s="62">
        <f t="shared" si="71"/>
        <v>847.63569309198806</v>
      </c>
      <c r="DT91" s="62">
        <f ca="1">AVERAGE(OFFSET($DS$3,0,0,'Données projet'!$E$14+1,1))-AVERAGE(OFFSET($H$3,0,0,'Données projet'!$E$14+1,1))</f>
        <v>427.47603885390191</v>
      </c>
      <c r="DU91" s="62">
        <f t="shared" si="98"/>
        <v>350.88664394632116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5.6</v>
      </c>
      <c r="EJ91" s="13">
        <f>IF('Données projet'!$A$192&gt;35,EJ90+EI91-ER90,IF(A91&lt;'Données projet'!$A$192,$EG$205^A91,IF(A91='Données projet'!$A$192,'Données projet'!$B$192,EJ90+EI91-ER90)))</f>
        <v>284.8</v>
      </c>
      <c r="EK91" s="18">
        <f>EJ91*VLOOKUP('Données projet'!$B$15,Paramètres!$A$1:$I$89,3,0)*VLOOKUP('Données projet'!$B$15,Paramètres!$A$1:$I$89,5,0)</f>
        <v>275.45855999999998</v>
      </c>
      <c r="EL91" s="14">
        <f t="shared" si="99"/>
        <v>66.006360579066197</v>
      </c>
      <c r="EM91" s="22">
        <f t="shared" si="73"/>
        <v>594.71807000854017</v>
      </c>
      <c r="EN91" s="62">
        <f t="shared" si="74"/>
        <v>888.05140334187354</v>
      </c>
      <c r="EO91" s="62">
        <f ca="1">AVERAGE(OFFSET($EN$3,0,0,'Données projet'!$E$15+1,1))-AVERAGE(OFFSET($H$3,0,0,'Données projet'!$E$15+1,1))</f>
        <v>455.50822833641354</v>
      </c>
      <c r="EP91" s="62">
        <f t="shared" si="100"/>
        <v>261.14722581688039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3</v>
      </c>
      <c r="FE91" s="13">
        <f>IF('Données projet'!$A$218&gt;35,FE90+FD91-FM90,IF(A91&lt;'Données projet'!$A$218,$FB$205^A91,IF(A91='Données projet'!$A$218,'Données projet'!$B$218,FE90+FD91-FM90)))</f>
        <v>257</v>
      </c>
      <c r="FF91" s="18">
        <f>FE91*VLOOKUP('Données projet'!$B$16,Paramètres!$A$1:$I$89,3,0)*VLOOKUP('Données projet'!$B$16,Paramètres!$A$1:$I$89,5,0)</f>
        <v>224.51520000000002</v>
      </c>
      <c r="FG91" s="14">
        <f t="shared" si="101"/>
        <v>55.095078782313543</v>
      </c>
      <c r="FH91" s="22">
        <f t="shared" si="76"/>
        <v>486.98790221252949</v>
      </c>
      <c r="FI91" s="62">
        <f t="shared" si="77"/>
        <v>780.32123554586281</v>
      </c>
      <c r="FJ91" s="62">
        <f ca="1">AVERAGE(OFFSET($FI$3,0,0,'Données projet'!$E$16+1,1))-AVERAGE(OFFSET($H$3,0,0,'Données projet'!$E$16+1,1))</f>
        <v>369.34989412920129</v>
      </c>
      <c r="FK91" s="62">
        <f t="shared" si="102"/>
        <v>371.26234252426553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0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>
        <f>FZ91*VLOOKUP('Données projet'!$B$17,Paramètres!$A$1:$I$89,3,0)*VLOOKUP('Données projet'!$B$17,Paramètres!$A$1:$I$89,5,0)</f>
        <v>0</v>
      </c>
      <c r="GB91" s="14" t="e">
        <f t="shared" si="103"/>
        <v>#NUM!</v>
      </c>
      <c r="GC91" s="22" t="e">
        <f t="shared" si="79"/>
        <v>#NUM!</v>
      </c>
      <c r="GD91" s="62" t="e">
        <f t="shared" si="80"/>
        <v>#NUM!</v>
      </c>
      <c r="GE91" s="62">
        <f ca="1">AVERAGE(OFFSET($GD$3,0,0,'Données projet'!$E$17+1,1))-AVERAGE(OFFSET($H$3,0,0,'Données projet'!$E$17+1,1))</f>
        <v>324.4489531703187</v>
      </c>
      <c r="GF91" s="62">
        <f t="shared" si="104"/>
        <v>446.55019360848706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projet'!$B$17,Paramètres!$A$1:$I$89,3,0)*0.475*44/12</f>
        <v>0</v>
      </c>
      <c r="GM91" s="23">
        <f>EXP(-LN(2)/25)*GM90+(1-EXP(-LN(2)/25))/(LN(2)/25)*Calculateur!GH91*Calculateur!GJ91*VLOOKUP('Données projet'!$B$17,Paramètres!$A$1:$I$89,3,0)*0.475*44/12</f>
        <v>0</v>
      </c>
      <c r="GN91" s="23">
        <f>EXP(-LN(2)/2)*GN90+(1-EXP(-LN(2)/2))/(LN(2)/2)*GH91*GK91*VLOOKUP('Données projet'!$B$17,Paramètres!$A$1:$I$89,3,0)*0.475*44/12</f>
        <v>0</v>
      </c>
      <c r="GO91" s="23">
        <f t="shared" si="81"/>
        <v>0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3.8461538461538454</v>
      </c>
      <c r="GU91" s="13">
        <f>IF('Données projet'!$A$270&gt;35,GU90+GT91-HC90,IF(A91&lt;'Données projet'!$A$270,$GR$205^A91,IF(A91='Données projet'!$A$270,'Données projet'!$B$270,GU90+GT91-HC90)))</f>
        <v>287.82051282051287</v>
      </c>
      <c r="GV91" s="18">
        <f>GU91*VLOOKUP('Données projet'!$B$18,Paramètres!$A$1:$I$89,3,0)*VLOOKUP('Données projet'!$B$18,Paramètres!$A$1:$I$89,5,0)</f>
        <v>193.07000000000005</v>
      </c>
      <c r="GW91" s="14">
        <f t="shared" si="105"/>
        <v>48.218051794342536</v>
      </c>
      <c r="GX91" s="22">
        <f t="shared" si="82"/>
        <v>420.24335687514667</v>
      </c>
      <c r="GY91" s="62">
        <f t="shared" si="83"/>
        <v>713.57669020847993</v>
      </c>
      <c r="GZ91" s="62">
        <f ca="1">AVERAGE(OFFSET($GY$3,0,0,'Données projet'!$E$18+1,1))-AVERAGE(OFFSET($H$3,0,0,'Données projet'!$E$18+1,1))</f>
        <v>312.06797204903796</v>
      </c>
      <c r="HA91" s="62">
        <f t="shared" si="106"/>
        <v>258.20189001775151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>
        <f>EXP(-LN(2)/35)*HG90+(1-EXP(-LN(2)/35))/(LN(2)/35)*HC91*HD91*VLOOKUP('Données projet'!$B$18,Paramètres!$A$1:$I$89,3,0)*0.475*44/12</f>
        <v>0</v>
      </c>
      <c r="HH91" s="23">
        <f>EXP(-LN(2)/25)*HH90+(1-EXP(-LN(2)/25))/(LN(2)/25)*Calculateur!HC91*Calculateur!HE91*VLOOKUP('Données projet'!$B$18,Paramètres!$A$1:$I$89,3,0)*0.475*44/12</f>
        <v>0</v>
      </c>
      <c r="HI91" s="23">
        <f>EXP(-LN(2)/2)*HI90+(1-EXP(-LN(2)/2))/(LN(2)/2)*HC91*HF91*VLOOKUP('Données projet'!$B$18,Paramètres!$A$1:$I$89,3,0)*0.475*44/12</f>
        <v>0</v>
      </c>
      <c r="HJ91" s="24">
        <f t="shared" si="84"/>
        <v>0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6.6</v>
      </c>
      <c r="N92" s="14">
        <f>IF('Données projet'!$A$36&gt;35,N91+M92-V91,IF(A92&lt;'Données projet'!$A$36,$K$205^A92,IF(A92='Données projet'!$A$36,'Données projet'!$B$36,N91+M92-V91)))</f>
        <v>351.40000000000009</v>
      </c>
      <c r="O92" s="14">
        <f>N92*VLOOKUP('Données projet'!$B$9,Paramètres!$A$1:$I$89,3,0)*VLOOKUP('Données projet'!$B$9,Paramètres!$A$1:$I$89,5,0)</f>
        <v>317.94672000000008</v>
      </c>
      <c r="P92" s="14">
        <f t="shared" si="87"/>
        <v>74.925968901822259</v>
      </c>
      <c r="Q92" s="22">
        <f t="shared" si="54"/>
        <v>684.25326650400723</v>
      </c>
      <c r="R92" s="62">
        <f t="shared" si="55"/>
        <v>977.5865998373406</v>
      </c>
      <c r="S92" s="62">
        <f ca="1">AVERAGE(OFFSET($R$3,0,0,'Données projet'!$E$9+1,1))-AVERAGE(OFFSET($H$3,0,0,'Données projet'!$E$9+1,1))</f>
        <v>512.84819850818667</v>
      </c>
      <c r="T92" s="62">
        <f t="shared" si="88"/>
        <v>332.61387922152159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-5.6843418860808015E-14</v>
      </c>
      <c r="AJ92" s="14">
        <f>AI92*VLOOKUP('Données projet'!$B$10,Paramètres!$A$1:$I$89,3,0)*VLOOKUP('Données projet'!$B$10,Paramètres!$A$1:$I$89,5,0)</f>
        <v>-4.1677594708744434E-14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344.45199703750711</v>
      </c>
      <c r="AO92" s="62">
        <f t="shared" si="90"/>
        <v>376.41441893222185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6.6</v>
      </c>
      <c r="BD92" s="13">
        <f>IF('Données projet'!$A$88&gt;35,BD91+BC92-BL91,IF(A92&lt;'Données projet'!$A$88,$BA$205^A92,IF(A92='Données projet'!$A$88,'Données projet'!$B$88,BD91+BC92-BL91)))</f>
        <v>351.40000000000009</v>
      </c>
      <c r="BE92" s="14">
        <f>BD92*VLOOKUP('Données projet'!$B$11,Paramètres!$A$1:$I$89,3,0)*VLOOKUP('Données projet'!$B$11,Paramètres!$A$1:$I$89,5,0)</f>
        <v>356.31960000000009</v>
      </c>
      <c r="BF92" s="14">
        <f t="shared" si="91"/>
        <v>82.862424158901803</v>
      </c>
      <c r="BG92" s="22">
        <f t="shared" si="61"/>
        <v>764.90869207675405</v>
      </c>
      <c r="BH92" s="62">
        <f t="shared" si="62"/>
        <v>1058.2420254100873</v>
      </c>
      <c r="BI92" s="62">
        <f ca="1">AVERAGE(OFFSET($BH$3,0,0,'Données projet'!$E$11+1,1))-AVERAGE(OFFSET($H$3,0,0,'Données projet'!$E$11+1,1))</f>
        <v>569.39473185784823</v>
      </c>
      <c r="BJ92" s="62">
        <f t="shared" si="92"/>
        <v>367.42881145517066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9.1</v>
      </c>
      <c r="BY92" s="13">
        <f>IF('Données projet'!$A$114&gt;35,BY91+BX92-CG91,IF(A92&lt;'Données projet'!$A$114,$BV$205^A92,IF(A92='Données projet'!$A$114,'Données projet'!$B$114,BY91+BX92-CG91)))</f>
        <v>394.90000000000009</v>
      </c>
      <c r="BZ92" s="14">
        <f>BY92*VLOOKUP('Données projet'!$B$12,Paramètres!$A$1:$I$89,3,0)*VLOOKUP('Données projet'!$B$12,Paramètres!$A$1:$I$89,5,0)</f>
        <v>338.82420000000013</v>
      </c>
      <c r="CA92" s="14">
        <f t="shared" si="93"/>
        <v>79.256969740466772</v>
      </c>
      <c r="CB92" s="22">
        <f t="shared" si="64"/>
        <v>728.15803729797983</v>
      </c>
      <c r="CC92" s="62">
        <f t="shared" si="65"/>
        <v>1021.4913706313132</v>
      </c>
      <c r="CD92" s="62">
        <f ca="1">AVERAGE(OFFSET($CC$3,0,0,'Données projet'!$E$12+1,1))-AVERAGE(OFFSET($H$3,0,0,'Données projet'!$E$12+1,1))</f>
        <v>554.06253050955502</v>
      </c>
      <c r="CE92" s="62">
        <f t="shared" si="94"/>
        <v>269.71949336355789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1.1368683772161603E-13</v>
      </c>
      <c r="CU92" s="18">
        <f>CT92*VLOOKUP('Données projet'!$B$13,Paramètres!$A$1:$I$89,3,0)*VLOOKUP('Données projet'!$B$13,Paramètres!$A$1:$I$89,5,0)</f>
        <v>8.8675733422860506E-14</v>
      </c>
      <c r="CV92" s="14">
        <f t="shared" si="95"/>
        <v>1.3509285393066301E-12</v>
      </c>
      <c r="CW92" s="22">
        <f t="shared" si="67"/>
        <v>2.5073107750038623E-12</v>
      </c>
      <c r="CX92" s="62">
        <f t="shared" si="68"/>
        <v>293.33333333333582</v>
      </c>
      <c r="CY92" s="62">
        <f ca="1">AVERAGE(OFFSET($CX$3,0,0,'Données projet'!$E$13+1,1))-AVERAGE(OFFSET($H$3,0,0,'Données projet'!$E$13+1,1))</f>
        <v>292.21364130214391</v>
      </c>
      <c r="CZ92" s="62">
        <f t="shared" si="96"/>
        <v>283.48738729114024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4.1025641025640995</v>
      </c>
      <c r="DO92" s="13">
        <f>IF('Données projet'!$A$166&gt;35,DO91+DN92-DW91,IF(A92&lt;'Données projet'!$A$166,$DL$205^A92,IF(A92='Données projet'!$A$166,'Données projet'!$B$166,DO91+DN92-DW91)))</f>
        <v>273.46153846153851</v>
      </c>
      <c r="DP92" s="18">
        <f>DO92*VLOOKUP('Données projet'!$B$14,Paramètres!$A$1:$I$89,3,0)*VLOOKUP('Données projet'!$B$14,Paramètres!$A$1:$I$89,5,0)</f>
        <v>260.22600000000006</v>
      </c>
      <c r="DQ92" s="14">
        <f t="shared" si="97"/>
        <v>62.770549586994875</v>
      </c>
      <c r="DR92" s="22">
        <f t="shared" si="70"/>
        <v>562.5523238640161</v>
      </c>
      <c r="DS92" s="62">
        <f t="shared" si="71"/>
        <v>855.88565719734947</v>
      </c>
      <c r="DT92" s="62">
        <f ca="1">AVERAGE(OFFSET($DS$3,0,0,'Données projet'!$E$14+1,1))-AVERAGE(OFFSET($H$3,0,0,'Données projet'!$E$14+1,1))</f>
        <v>427.47603885390191</v>
      </c>
      <c r="DU92" s="62">
        <f t="shared" si="98"/>
        <v>350.88664394632116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5.6</v>
      </c>
      <c r="EJ92" s="13">
        <f>IF('Données projet'!$A$192&gt;35,EJ91+EI92-ER91,IF(A92&lt;'Données projet'!$A$192,$EG$205^A92,IF(A92='Données projet'!$A$192,'Données projet'!$B$192,EJ91+EI92-ER91)))</f>
        <v>290.40000000000003</v>
      </c>
      <c r="EK92" s="18">
        <f>EJ92*VLOOKUP('Données projet'!$B$15,Paramètres!$A$1:$I$89,3,0)*VLOOKUP('Données projet'!$B$15,Paramètres!$A$1:$I$89,5,0)</f>
        <v>280.87488000000008</v>
      </c>
      <c r="EL92" s="14">
        <f t="shared" si="99"/>
        <v>67.151862592195855</v>
      </c>
      <c r="EM92" s="22">
        <f t="shared" si="73"/>
        <v>606.14657668140785</v>
      </c>
      <c r="EN92" s="62">
        <f t="shared" si="74"/>
        <v>899.47991001474111</v>
      </c>
      <c r="EO92" s="62">
        <f ca="1">AVERAGE(OFFSET($EN$3,0,0,'Données projet'!$E$15+1,1))-AVERAGE(OFFSET($H$3,0,0,'Données projet'!$E$15+1,1))</f>
        <v>455.50822833641354</v>
      </c>
      <c r="EP92" s="62">
        <f t="shared" si="100"/>
        <v>261.14722581688039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3</v>
      </c>
      <c r="FE92" s="13">
        <f>IF('Données projet'!$A$218&gt;35,FE91+FD92-FM91,IF(A92&lt;'Données projet'!$A$218,$FB$205^A92,IF(A92='Données projet'!$A$218,'Données projet'!$B$218,FE91+FD92-FM91)))</f>
        <v>260</v>
      </c>
      <c r="FF92" s="18">
        <f>FE92*VLOOKUP('Données projet'!$B$16,Paramètres!$A$1:$I$89,3,0)*VLOOKUP('Données projet'!$B$16,Paramètres!$A$1:$I$89,5,0)</f>
        <v>227.13600000000005</v>
      </c>
      <c r="FG92" s="14">
        <f t="shared" si="101"/>
        <v>55.662966886685133</v>
      </c>
      <c r="FH92" s="22">
        <f t="shared" si="76"/>
        <v>492.54153399430999</v>
      </c>
      <c r="FI92" s="62">
        <f t="shared" si="77"/>
        <v>785.8748673276433</v>
      </c>
      <c r="FJ92" s="62">
        <f ca="1">AVERAGE(OFFSET($FI$3,0,0,'Données projet'!$E$16+1,1))-AVERAGE(OFFSET($H$3,0,0,'Données projet'!$E$16+1,1))</f>
        <v>369.34989412920129</v>
      </c>
      <c r="FK92" s="62">
        <f t="shared" si="102"/>
        <v>371.26234252426553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0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>
        <f>FZ92*VLOOKUP('Données projet'!$B$17,Paramètres!$A$1:$I$89,3,0)*VLOOKUP('Données projet'!$B$17,Paramètres!$A$1:$I$89,5,0)</f>
        <v>0</v>
      </c>
      <c r="GB92" s="14" t="e">
        <f t="shared" si="103"/>
        <v>#NUM!</v>
      </c>
      <c r="GC92" s="22" t="e">
        <f t="shared" si="79"/>
        <v>#NUM!</v>
      </c>
      <c r="GD92" s="62" t="e">
        <f t="shared" si="80"/>
        <v>#NUM!</v>
      </c>
      <c r="GE92" s="62">
        <f ca="1">AVERAGE(OFFSET($GD$3,0,0,'Données projet'!$E$17+1,1))-AVERAGE(OFFSET($H$3,0,0,'Données projet'!$E$17+1,1))</f>
        <v>324.4489531703187</v>
      </c>
      <c r="GF92" s="62">
        <f t="shared" si="104"/>
        <v>446.55019360848706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projet'!$B$17,Paramètres!$A$1:$I$89,3,0)*0.475*44/12</f>
        <v>0</v>
      </c>
      <c r="GM92" s="23">
        <f>EXP(-LN(2)/25)*GM91+(1-EXP(-LN(2)/25))/(LN(2)/25)*Calculateur!GH92*Calculateur!GJ92*VLOOKUP('Données projet'!$B$17,Paramètres!$A$1:$I$89,3,0)*0.475*44/12</f>
        <v>0</v>
      </c>
      <c r="GN92" s="23">
        <f>EXP(-LN(2)/2)*GN91+(1-EXP(-LN(2)/2))/(LN(2)/2)*GH92*GK92*VLOOKUP('Données projet'!$B$17,Paramètres!$A$1:$I$89,3,0)*0.475*44/12</f>
        <v>0</v>
      </c>
      <c r="GO92" s="23">
        <f t="shared" si="81"/>
        <v>0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3.8461538461538454</v>
      </c>
      <c r="GU92" s="13">
        <f>IF('Données projet'!$A$270&gt;35,GU91+GT92-HC91,IF(A92&lt;'Données projet'!$A$270,$GR$205^A92,IF(A92='Données projet'!$A$270,'Données projet'!$B$270,GU91+GT92-HC91)))</f>
        <v>291.66666666666674</v>
      </c>
      <c r="GV92" s="18">
        <f>GU92*VLOOKUP('Données projet'!$B$18,Paramètres!$A$1:$I$89,3,0)*VLOOKUP('Données projet'!$B$18,Paramètres!$A$1:$I$89,5,0)</f>
        <v>195.65000000000006</v>
      </c>
      <c r="GW92" s="14">
        <f t="shared" si="105"/>
        <v>48.786949327182981</v>
      </c>
      <c r="GX92" s="22">
        <f t="shared" si="82"/>
        <v>425.72768674484382</v>
      </c>
      <c r="GY92" s="62">
        <f t="shared" si="83"/>
        <v>719.06102007817708</v>
      </c>
      <c r="GZ92" s="62">
        <f ca="1">AVERAGE(OFFSET($GY$3,0,0,'Données projet'!$E$18+1,1))-AVERAGE(OFFSET($H$3,0,0,'Données projet'!$E$18+1,1))</f>
        <v>312.06797204903796</v>
      </c>
      <c r="HA92" s="62">
        <f t="shared" si="106"/>
        <v>258.20189001775151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>
        <f>EXP(-LN(2)/35)*HG91+(1-EXP(-LN(2)/35))/(LN(2)/35)*HC92*HD92*VLOOKUP('Données projet'!$B$18,Paramètres!$A$1:$I$89,3,0)*0.475*44/12</f>
        <v>0</v>
      </c>
      <c r="HH92" s="23">
        <f>EXP(-LN(2)/25)*HH91+(1-EXP(-LN(2)/25))/(LN(2)/25)*Calculateur!HC92*Calculateur!HE92*VLOOKUP('Données projet'!$B$18,Paramètres!$A$1:$I$89,3,0)*0.475*44/12</f>
        <v>0</v>
      </c>
      <c r="HI92" s="23">
        <f>EXP(-LN(2)/2)*HI91+(1-EXP(-LN(2)/2))/(LN(2)/2)*HC92*HF92*VLOOKUP('Données projet'!$B$18,Paramètres!$A$1:$I$89,3,0)*0.475*44/12</f>
        <v>0</v>
      </c>
      <c r="HJ92" s="24">
        <f t="shared" si="84"/>
        <v>0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358</v>
      </c>
      <c r="L93" s="13">
        <f>VLOOKUP(A93,'Données projet'!$A$35:$I$55,9,0)</f>
        <v>6.6</v>
      </c>
      <c r="M93" s="13">
        <f t="array" ref="M93">INDEX(L:L,MIN(IF(ISNUMBER(L93:L289),ROW(L93:L289),"")))</f>
        <v>6.6</v>
      </c>
      <c r="N93" s="14">
        <f>IF('Données projet'!$A$36&gt;35,N92+M93-V92,IF(A93&lt;'Données projet'!$A$36,$K$205^A93,IF(A93='Données projet'!$A$36,'Données projet'!$B$36,N92+M93-V92)))</f>
        <v>358.00000000000011</v>
      </c>
      <c r="O93" s="14">
        <f>N93*VLOOKUP('Données projet'!$B$9,Paramètres!$A$1:$I$89,3,0)*VLOOKUP('Données projet'!$B$9,Paramètres!$A$1:$I$89,5,0)</f>
        <v>323.91840000000008</v>
      </c>
      <c r="P93" s="14">
        <f t="shared" si="87"/>
        <v>76.168074587293091</v>
      </c>
      <c r="Q93" s="22">
        <f t="shared" si="54"/>
        <v>696.81727657286899</v>
      </c>
      <c r="R93" s="62">
        <f t="shared" si="55"/>
        <v>990.15060990620236</v>
      </c>
      <c r="S93" s="62">
        <f ca="1">AVERAGE(OFFSET($R$3,0,0,'Données projet'!$E$9+1,1))-AVERAGE(OFFSET($H$3,0,0,'Données projet'!$E$9+1,1))</f>
        <v>512.84819850818667</v>
      </c>
      <c r="T93" s="62">
        <f t="shared" si="88"/>
        <v>332.61387922152159</v>
      </c>
      <c r="U93" s="16">
        <f>IF(ISNA(VLOOKUP(A93,'Données projet'!$A$35:$I$55,3,0)),0,VLOOKUP(A93,'Données projet'!$A$35:$I$55,3,0))</f>
        <v>8</v>
      </c>
      <c r="V93" s="16">
        <f>IF(ISNA(VLOOKUP(A93,'Données projet'!$A$35:$I$55,4,0)),0,VLOOKUP(A93,'Données projet'!$A$35:$I$55,4,0))</f>
        <v>56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-5.6843418860808015E-14</v>
      </c>
      <c r="AJ93" s="14">
        <f>AI93*VLOOKUP('Données projet'!$B$10,Paramètres!$A$1:$I$89,3,0)*VLOOKUP('Données projet'!$B$10,Paramètres!$A$1:$I$89,5,0)</f>
        <v>-4.1677594708744434E-14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344.45199703750711</v>
      </c>
      <c r="AO93" s="62">
        <f t="shared" si="90"/>
        <v>376.41441893222185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358</v>
      </c>
      <c r="BB93" s="13">
        <f>VLOOKUP(A93,'Données projet'!$A$87:$I$107,9,0)</f>
        <v>6.6</v>
      </c>
      <c r="BC93" s="13">
        <f t="array" ref="BC93">INDEX(BB:BB,MIN(IF(ISNUMBER(BB93:BB289),ROW(BB93:BB289),"")))</f>
        <v>6.6</v>
      </c>
      <c r="BD93" s="13">
        <f>IF('Données projet'!$A$88&gt;35,BD92+BC93-BL92,IF(A93&lt;'Données projet'!$A$88,$BA$205^A93,IF(A93='Données projet'!$A$88,'Données projet'!$B$88,BD92+BC93-BL92)))</f>
        <v>358.00000000000011</v>
      </c>
      <c r="BE93" s="14">
        <f>BD93*VLOOKUP('Données projet'!$B$11,Paramètres!$A$1:$I$89,3,0)*VLOOKUP('Données projet'!$B$11,Paramètres!$A$1:$I$89,5,0)</f>
        <v>363.01200000000011</v>
      </c>
      <c r="BF93" s="14">
        <f t="shared" si="91"/>
        <v>84.23609859605908</v>
      </c>
      <c r="BG93" s="22">
        <f t="shared" si="61"/>
        <v>778.95710505480304</v>
      </c>
      <c r="BH93" s="62">
        <f t="shared" si="62"/>
        <v>1072.2904383881364</v>
      </c>
      <c r="BI93" s="62">
        <f ca="1">AVERAGE(OFFSET($BH$3,0,0,'Données projet'!$E$11+1,1))-AVERAGE(OFFSET($H$3,0,0,'Données projet'!$E$11+1,1))</f>
        <v>569.39473185784823</v>
      </c>
      <c r="BJ93" s="62">
        <f t="shared" si="92"/>
        <v>367.42881145517066</v>
      </c>
      <c r="BK93" s="16">
        <f>IF(ISNA(VLOOKUP(A93,'Données projet'!$A$87:$I$107,3,0)),0,VLOOKUP(A93,'Données projet'!$A$87:$I$107,3,0))</f>
        <v>8</v>
      </c>
      <c r="BL93" s="16">
        <f>IF(ISNA(VLOOKUP(A93,'Données projet'!$A$87:$I$107,4,0)),0,VLOOKUP(A93,'Données projet'!$A$87:$I$107,4,0))</f>
        <v>56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404</v>
      </c>
      <c r="BW93" s="13">
        <f>VLOOKUP(A93,'Données projet'!$A$113:$I$133,9,0)</f>
        <v>9.1</v>
      </c>
      <c r="BX93" s="13">
        <f t="array" ref="BX93">INDEX(BW:BW,MIN(IF(ISNUMBER(BW93:BW289),ROW(BW93:BW289),"")))</f>
        <v>9.1</v>
      </c>
      <c r="BY93" s="13">
        <f>IF('Données projet'!$A$114&gt;35,BY92+BX93-CG92,IF(A93&lt;'Données projet'!$A$114,$BV$205^A93,IF(A93='Données projet'!$A$114,'Données projet'!$B$114,BY92+BX93-CG92)))</f>
        <v>404.00000000000011</v>
      </c>
      <c r="BZ93" s="14">
        <f>BY93*VLOOKUP('Données projet'!$B$12,Paramètres!$A$1:$I$89,3,0)*VLOOKUP('Données projet'!$B$12,Paramètres!$A$1:$I$89,5,0)</f>
        <v>346.63200000000012</v>
      </c>
      <c r="CA93" s="14">
        <f t="shared" si="93"/>
        <v>80.868615263336864</v>
      </c>
      <c r="CB93" s="22">
        <f t="shared" si="64"/>
        <v>744.56357158364517</v>
      </c>
      <c r="CC93" s="62">
        <f t="shared" si="65"/>
        <v>1037.8969049169784</v>
      </c>
      <c r="CD93" s="62">
        <f ca="1">AVERAGE(OFFSET($CC$3,0,0,'Données projet'!$E$12+1,1))-AVERAGE(OFFSET($H$3,0,0,'Données projet'!$E$12+1,1))</f>
        <v>554.06253050955502</v>
      </c>
      <c r="CE93" s="62">
        <f t="shared" si="94"/>
        <v>269.71949336355789</v>
      </c>
      <c r="CF93" s="16">
        <f>IF(ISNA(VLOOKUP(A93,'Données projet'!$A$113:$I$133,3,0)),0,VLOOKUP(A93,'Données projet'!$A$113:$I$133,3,0))</f>
        <v>7</v>
      </c>
      <c r="CG93" s="16">
        <f>IF(ISNA(VLOOKUP(A93,'Données projet'!$A$113:$I$133,4,0)),0,VLOOKUP(A93,'Données projet'!$A$113:$I$133,4,0))</f>
        <v>53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1.1368683772161603E-13</v>
      </c>
      <c r="CU93" s="18">
        <f>CT93*VLOOKUP('Données projet'!$B$13,Paramètres!$A$1:$I$89,3,0)*VLOOKUP('Données projet'!$B$13,Paramètres!$A$1:$I$89,5,0)</f>
        <v>8.8675733422860506E-14</v>
      </c>
      <c r="CV93" s="14">
        <f t="shared" si="95"/>
        <v>1.3509285393066301E-12</v>
      </c>
      <c r="CW93" s="22">
        <f t="shared" si="67"/>
        <v>2.5073107750038623E-12</v>
      </c>
      <c r="CX93" s="62">
        <f t="shared" si="68"/>
        <v>293.33333333333582</v>
      </c>
      <c r="CY93" s="62">
        <f ca="1">AVERAGE(OFFSET($CX$3,0,0,'Données projet'!$E$13+1,1))-AVERAGE(OFFSET($H$3,0,0,'Données projet'!$E$13+1,1))</f>
        <v>292.21364130214391</v>
      </c>
      <c r="CZ93" s="62">
        <f t="shared" si="96"/>
        <v>283.48738729114024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277.56410256410254</v>
      </c>
      <c r="DM93" s="13">
        <f>VLOOKUP(A93,'Données projet'!$A$165:$I$185,9,0)</f>
        <v>4.1025641025640995</v>
      </c>
      <c r="DN93" s="13">
        <f t="array" ref="DN93">INDEX(DM:DM,MIN(IF(ISNUMBER(DM93:DM289),ROW(DM93:DM289),"")))</f>
        <v>4.1025641025640995</v>
      </c>
      <c r="DO93" s="13">
        <f>IF('Données projet'!$A$166&gt;35,DO92+DN93-DW92,IF(A93&lt;'Données projet'!$A$166,$DL$205^A93,IF(A93='Données projet'!$A$166,'Données projet'!$B$166,DO92+DN93-DW92)))</f>
        <v>277.5641025641026</v>
      </c>
      <c r="DP93" s="18">
        <f>DO93*VLOOKUP('Données projet'!$B$14,Paramètres!$A$1:$I$89,3,0)*VLOOKUP('Données projet'!$B$14,Paramètres!$A$1:$I$89,5,0)</f>
        <v>264.13</v>
      </c>
      <c r="DQ93" s="14">
        <f t="shared" si="97"/>
        <v>63.601917960783041</v>
      </c>
      <c r="DR93" s="22">
        <f t="shared" si="70"/>
        <v>570.7997571150305</v>
      </c>
      <c r="DS93" s="62">
        <f t="shared" si="71"/>
        <v>864.13309044836387</v>
      </c>
      <c r="DT93" s="62">
        <f ca="1">AVERAGE(OFFSET($DS$3,0,0,'Données projet'!$E$14+1,1))-AVERAGE(OFFSET($H$3,0,0,'Données projet'!$E$14+1,1))</f>
        <v>427.47603885390191</v>
      </c>
      <c r="DU93" s="62">
        <f t="shared" si="98"/>
        <v>350.88664394632116</v>
      </c>
      <c r="DV93" s="16">
        <f>IF(ISNA(VLOOKUP(A93,'Données projet'!$A$165:$I$185,3,0)),0,VLOOKUP(A93,'Données projet'!$A$165:$I$185,3,0))</f>
        <v>8</v>
      </c>
      <c r="DW93" s="16">
        <f>IF(ISNA(VLOOKUP(A93,'Données projet'!$A$165:$I$185,4,0)),0,VLOOKUP(A93,'Données projet'!$A$165:$I$185,4,0))</f>
        <v>30.128205128205128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>
        <f>VLOOKUP(A93,'Données projet'!$A$191:$I$211,2,0)</f>
        <v>296</v>
      </c>
      <c r="EH93" s="13">
        <f>VLOOKUP(A93,'Données projet'!$A$191:$I$211,9,0)</f>
        <v>5.6</v>
      </c>
      <c r="EI93" s="13">
        <f t="array" ref="EI93">INDEX(EH:EH,MIN(IF(ISNUMBER(EH93:EH289),ROW(EH93:EH289),"")))</f>
        <v>5.6</v>
      </c>
      <c r="EJ93" s="13">
        <f>IF('Données projet'!$A$192&gt;35,EJ92+EI93-ER92,IF(A93&lt;'Données projet'!$A$192,$EG$205^A93,IF(A93='Données projet'!$A$192,'Données projet'!$B$192,EJ92+EI93-ER92)))</f>
        <v>296.00000000000006</v>
      </c>
      <c r="EK93" s="18">
        <f>EJ93*VLOOKUP('Données projet'!$B$15,Paramètres!$A$1:$I$89,3,0)*VLOOKUP('Données projet'!$B$15,Paramètres!$A$1:$I$89,5,0)</f>
        <v>286.29120000000006</v>
      </c>
      <c r="EL93" s="14">
        <f t="shared" si="99"/>
        <v>68.294796094604408</v>
      </c>
      <c r="EM93" s="22">
        <f t="shared" si="73"/>
        <v>617.57060986476938</v>
      </c>
      <c r="EN93" s="62">
        <f t="shared" si="74"/>
        <v>910.90394319810275</v>
      </c>
      <c r="EO93" s="62">
        <f ca="1">AVERAGE(OFFSET($EN$3,0,0,'Données projet'!$E$15+1,1))-AVERAGE(OFFSET($H$3,0,0,'Données projet'!$E$15+1,1))</f>
        <v>455.50822833641354</v>
      </c>
      <c r="EP93" s="62">
        <f t="shared" si="100"/>
        <v>261.14722581688039</v>
      </c>
      <c r="EQ93" s="16">
        <f>IF(ISNA(VLOOKUP(A93,'Données projet'!$A$191:$I$211,3,0)),0,VLOOKUP(A93,'Données projet'!$A$191:$I$211,3,0))</f>
        <v>7</v>
      </c>
      <c r="ER93" s="16">
        <f>IF(ISNA(VLOOKUP(A93,'Données projet'!$A$191:$I$211,4,0)),0,VLOOKUP(A93,'Données projet'!$A$191:$I$211,4,0))</f>
        <v>42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>
        <f>VLOOKUP(A93,'Données projet'!$A$217:$I$237,2,0)</f>
        <v>263</v>
      </c>
      <c r="FC93" s="13">
        <f>VLOOKUP(A93,'Données projet'!$A$217:$I$237,9,0)</f>
        <v>3</v>
      </c>
      <c r="FD93" s="13">
        <f t="array" ref="FD93">INDEX(FC:FC,MIN(IF(ISNUMBER(FC93:FC289),ROW(FC93:FC289),"")))</f>
        <v>3</v>
      </c>
      <c r="FE93" s="13">
        <f>IF('Données projet'!$A$218&gt;35,FE92+FD93-FM92,IF(A93&lt;'Données projet'!$A$218,$FB$205^A93,IF(A93='Données projet'!$A$218,'Données projet'!$B$218,FE92+FD93-FM92)))</f>
        <v>263</v>
      </c>
      <c r="FF93" s="18">
        <f>FE93*VLOOKUP('Données projet'!$B$16,Paramètres!$A$1:$I$89,3,0)*VLOOKUP('Données projet'!$B$16,Paramètres!$A$1:$I$89,5,0)</f>
        <v>229.7568</v>
      </c>
      <c r="FG93" s="14">
        <f t="shared" si="101"/>
        <v>56.23009276772752</v>
      </c>
      <c r="FH93" s="22">
        <f t="shared" si="76"/>
        <v>498.09383823712534</v>
      </c>
      <c r="FI93" s="62">
        <f t="shared" si="77"/>
        <v>791.42717157045865</v>
      </c>
      <c r="FJ93" s="62">
        <f ca="1">AVERAGE(OFFSET($FI$3,0,0,'Données projet'!$E$16+1,1))-AVERAGE(OFFSET($H$3,0,0,'Données projet'!$E$16+1,1))</f>
        <v>369.34989412920129</v>
      </c>
      <c r="FK93" s="62">
        <f t="shared" si="102"/>
        <v>371.26234252426553</v>
      </c>
      <c r="FL93" s="16">
        <f>IF(ISNA(VLOOKUP(A93,'Données projet'!$A$217:$I$237,3,0)),0,VLOOKUP(A93,'Données projet'!$A$217:$I$237,3,0))</f>
        <v>8</v>
      </c>
      <c r="FM93" s="16">
        <f>IF(ISNA(VLOOKUP(A93,'Données projet'!$A$217:$I$237,4,0)),0,VLOOKUP(A93,'Données projet'!$A$217:$I$237,4,0))</f>
        <v>26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0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>
        <f>FZ93*VLOOKUP('Données projet'!$B$17,Paramètres!$A$1:$I$89,3,0)*VLOOKUP('Données projet'!$B$17,Paramètres!$A$1:$I$89,5,0)</f>
        <v>0</v>
      </c>
      <c r="GB93" s="14" t="e">
        <f t="shared" si="103"/>
        <v>#NUM!</v>
      </c>
      <c r="GC93" s="22" t="e">
        <f t="shared" si="79"/>
        <v>#NUM!</v>
      </c>
      <c r="GD93" s="62" t="e">
        <f t="shared" si="80"/>
        <v>#NUM!</v>
      </c>
      <c r="GE93" s="62">
        <f ca="1">AVERAGE(OFFSET($GD$3,0,0,'Données projet'!$E$17+1,1))-AVERAGE(OFFSET($H$3,0,0,'Données projet'!$E$17+1,1))</f>
        <v>324.4489531703187</v>
      </c>
      <c r="GF93" s="62">
        <f t="shared" si="104"/>
        <v>446.55019360848706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projet'!$B$17,Paramètres!$A$1:$I$89,3,0)*0.475*44/12</f>
        <v>0</v>
      </c>
      <c r="GM93" s="23">
        <f>EXP(-LN(2)/25)*GM92+(1-EXP(-LN(2)/25))/(LN(2)/25)*Calculateur!GH93*Calculateur!GJ93*VLOOKUP('Données projet'!$B$17,Paramètres!$A$1:$I$89,3,0)*0.475*44/12</f>
        <v>0</v>
      </c>
      <c r="GN93" s="23">
        <f>EXP(-LN(2)/2)*GN92+(1-EXP(-LN(2)/2))/(LN(2)/2)*GH93*GK93*VLOOKUP('Données projet'!$B$17,Paramètres!$A$1:$I$89,3,0)*0.475*44/12</f>
        <v>0</v>
      </c>
      <c r="GO93" s="23">
        <f t="shared" si="81"/>
        <v>0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>
        <f>VLOOKUP(A93,'Données projet'!$A$269:$I$289,2,0)</f>
        <v>295.5128205128205</v>
      </c>
      <c r="GS93" s="13">
        <f>VLOOKUP(A93,'Données projet'!$A$269:$I$289,9,0)</f>
        <v>3.8461538461538454</v>
      </c>
      <c r="GT93" s="13">
        <f t="array" ref="GT93">INDEX(GS:GS,MIN(IF(ISNUMBER(GS93:GS289),ROW(GS93:GS289),"")))</f>
        <v>3.8461538461538454</v>
      </c>
      <c r="GU93" s="13">
        <f>IF('Données projet'!$A$270&gt;35,GU92+GT93-HC92,IF(A93&lt;'Données projet'!$A$270,$GR$205^A93,IF(A93='Données projet'!$A$270,'Données projet'!$B$270,GU92+GT93-HC92)))</f>
        <v>295.51282051282061</v>
      </c>
      <c r="GV93" s="18">
        <f>GU93*VLOOKUP('Données projet'!$B$18,Paramètres!$A$1:$I$89,3,0)*VLOOKUP('Données projet'!$B$18,Paramètres!$A$1:$I$89,5,0)</f>
        <v>198.23000000000008</v>
      </c>
      <c r="GW93" s="14">
        <f t="shared" si="105"/>
        <v>49.354974276661508</v>
      </c>
      <c r="GX93" s="22">
        <f t="shared" si="82"/>
        <v>431.21049686518558</v>
      </c>
      <c r="GY93" s="62">
        <f t="shared" si="83"/>
        <v>724.54383019851889</v>
      </c>
      <c r="GZ93" s="62">
        <f ca="1">AVERAGE(OFFSET($GY$3,0,0,'Données projet'!$E$18+1,1))-AVERAGE(OFFSET($H$3,0,0,'Données projet'!$E$18+1,1))</f>
        <v>312.06797204903796</v>
      </c>
      <c r="HA93" s="62">
        <f t="shared" si="106"/>
        <v>258.20189001775151</v>
      </c>
      <c r="HB93" s="16">
        <f>IF(ISNA(VLOOKUP(A93,'Données projet'!$A$269:$I$289,3,0)),0,VLOOKUP(A93,'Données projet'!$A$269:$I$289,3,0))</f>
        <v>8</v>
      </c>
      <c r="HC93" s="16">
        <f>IF(ISNA(VLOOKUP(A93,'Données projet'!$A$269:$I$289,4,0)),0,VLOOKUP(A93,'Données projet'!$A$269:$I$289,4,0))</f>
        <v>24.358974358974358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>
        <f>EXP(-LN(2)/35)*HG92+(1-EXP(-LN(2)/35))/(LN(2)/35)*HC93*HD93*VLOOKUP('Données projet'!$B$18,Paramètres!$A$1:$I$89,3,0)*0.475*44/12</f>
        <v>0</v>
      </c>
      <c r="HH93" s="23">
        <f>EXP(-LN(2)/25)*HH92+(1-EXP(-LN(2)/25))/(LN(2)/25)*Calculateur!HC93*Calculateur!HE93*VLOOKUP('Données projet'!$B$18,Paramètres!$A$1:$I$89,3,0)*0.475*44/12</f>
        <v>0</v>
      </c>
      <c r="HI93" s="23">
        <f>EXP(-LN(2)/2)*HI92+(1-EXP(-LN(2)/2))/(LN(2)/2)*HC93*HF93*VLOOKUP('Données projet'!$B$18,Paramètres!$A$1:$I$89,3,0)*0.475*44/12</f>
        <v>0</v>
      </c>
      <c r="HJ93" s="24">
        <f t="shared" si="84"/>
        <v>0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5.9</v>
      </c>
      <c r="N94" s="14">
        <f>IF('Données projet'!$A$36&gt;35,N93+M94-V93,IF(A94&lt;'Données projet'!$A$36,$K$205^A94,IF(A94='Données projet'!$A$36,'Données projet'!$B$36,N93+M94-V93)))</f>
        <v>307.90000000000009</v>
      </c>
      <c r="O94" s="14">
        <f>N94*VLOOKUP('Données projet'!$B$9,Paramètres!$A$1:$I$89,3,0)*VLOOKUP('Données projet'!$B$9,Paramètres!$A$1:$I$89,5,0)</f>
        <v>278.58792000000011</v>
      </c>
      <c r="P94" s="14">
        <f t="shared" si="87"/>
        <v>66.668508032294213</v>
      </c>
      <c r="Q94" s="22">
        <f t="shared" si="54"/>
        <v>601.32161215624581</v>
      </c>
      <c r="R94" s="62">
        <f t="shared" si="55"/>
        <v>894.65494548957918</v>
      </c>
      <c r="S94" s="62">
        <f ca="1">AVERAGE(OFFSET($R$3,0,0,'Données projet'!$E$9+1,1))-AVERAGE(OFFSET($H$3,0,0,'Données projet'!$E$9+1,1))</f>
        <v>512.84819850818667</v>
      </c>
      <c r="T94" s="62">
        <f t="shared" si="88"/>
        <v>332.61387922152159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-5.6843418860808015E-14</v>
      </c>
      <c r="AJ94" s="14">
        <f>AI94*VLOOKUP('Données projet'!$B$10,Paramètres!$A$1:$I$89,3,0)*VLOOKUP('Données projet'!$B$10,Paramètres!$A$1:$I$89,5,0)</f>
        <v>-4.1677594708744434E-14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344.45199703750711</v>
      </c>
      <c r="AO94" s="62">
        <f t="shared" si="90"/>
        <v>376.41441893222185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5.9</v>
      </c>
      <c r="BD94" s="13">
        <f>IF('Données projet'!$A$88&gt;35,BD93+BC94-BL93,IF(A94&lt;'Données projet'!$A$88,$BA$205^A94,IF(A94='Données projet'!$A$88,'Données projet'!$B$88,BD93+BC94-BL93)))</f>
        <v>307.90000000000009</v>
      </c>
      <c r="BE94" s="14">
        <f>BD94*VLOOKUP('Données projet'!$B$11,Paramètres!$A$1:$I$89,3,0)*VLOOKUP('Données projet'!$B$11,Paramètres!$A$1:$I$89,5,0)</f>
        <v>312.21060000000011</v>
      </c>
      <c r="BF94" s="14">
        <f t="shared" si="91"/>
        <v>73.730300342886324</v>
      </c>
      <c r="BG94" s="22">
        <f t="shared" si="61"/>
        <v>672.18040143052724</v>
      </c>
      <c r="BH94" s="62">
        <f t="shared" si="62"/>
        <v>965.51373476386061</v>
      </c>
      <c r="BI94" s="62">
        <f ca="1">AVERAGE(OFFSET($BH$3,0,0,'Données projet'!$E$11+1,1))-AVERAGE(OFFSET($H$3,0,0,'Données projet'!$E$11+1,1))</f>
        <v>569.39473185784823</v>
      </c>
      <c r="BJ94" s="62">
        <f t="shared" si="92"/>
        <v>367.42881145517066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7.4</v>
      </c>
      <c r="BY94" s="13">
        <f>IF('Données projet'!$A$114&gt;35,BY93+BX94-CG93,IF(A94&lt;'Données projet'!$A$114,$BV$205^A94,IF(A94='Données projet'!$A$114,'Données projet'!$B$114,BY93+BX94-CG93)))</f>
        <v>358.40000000000009</v>
      </c>
      <c r="BZ94" s="14">
        <f>BY94*VLOOKUP('Données projet'!$B$12,Paramètres!$A$1:$I$89,3,0)*VLOOKUP('Données projet'!$B$12,Paramètres!$A$1:$I$89,5,0)</f>
        <v>307.50720000000013</v>
      </c>
      <c r="CA94" s="14">
        <f t="shared" si="93"/>
        <v>72.74798994294045</v>
      </c>
      <c r="CB94" s="22">
        <f t="shared" si="64"/>
        <v>662.2777891506214</v>
      </c>
      <c r="CC94" s="62">
        <f t="shared" si="65"/>
        <v>955.61112248395466</v>
      </c>
      <c r="CD94" s="62">
        <f ca="1">AVERAGE(OFFSET($CC$3,0,0,'Données projet'!$E$12+1,1))-AVERAGE(OFFSET($H$3,0,0,'Données projet'!$E$12+1,1))</f>
        <v>554.06253050955502</v>
      </c>
      <c r="CE94" s="62">
        <f t="shared" si="94"/>
        <v>269.71949336355789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1.1368683772161603E-13</v>
      </c>
      <c r="CU94" s="18">
        <f>CT94*VLOOKUP('Données projet'!$B$13,Paramètres!$A$1:$I$89,3,0)*VLOOKUP('Données projet'!$B$13,Paramètres!$A$1:$I$89,5,0)</f>
        <v>8.8675733422860506E-14</v>
      </c>
      <c r="CV94" s="14">
        <f t="shared" si="95"/>
        <v>1.3509285393066301E-12</v>
      </c>
      <c r="CW94" s="22">
        <f t="shared" si="67"/>
        <v>2.5073107750038623E-12</v>
      </c>
      <c r="CX94" s="62">
        <f t="shared" si="68"/>
        <v>293.33333333333582</v>
      </c>
      <c r="CY94" s="62">
        <f ca="1">AVERAGE(OFFSET($CX$3,0,0,'Données projet'!$E$13+1,1))-AVERAGE(OFFSET($H$3,0,0,'Données projet'!$E$13+1,1))</f>
        <v>292.21364130214391</v>
      </c>
      <c r="CZ94" s="62">
        <f t="shared" si="96"/>
        <v>283.48738729114024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3.8461538461538511</v>
      </c>
      <c r="DO94" s="13">
        <f>IF('Données projet'!$A$166&gt;35,DO93+DN94-DW93,IF(A94&lt;'Données projet'!$A$166,$DL$205^A94,IF(A94='Données projet'!$A$166,'Données projet'!$B$166,DO93+DN94-DW93)))</f>
        <v>251.28205128205133</v>
      </c>
      <c r="DP94" s="18">
        <f>DO94*VLOOKUP('Données projet'!$B$14,Paramètres!$A$1:$I$89,3,0)*VLOOKUP('Données projet'!$B$14,Paramètres!$A$1:$I$89,5,0)</f>
        <v>239.12000000000003</v>
      </c>
      <c r="DQ94" s="14">
        <f t="shared" si="97"/>
        <v>58.25015373578745</v>
      </c>
      <c r="DR94" s="22">
        <f t="shared" si="70"/>
        <v>517.91968442316318</v>
      </c>
      <c r="DS94" s="62">
        <f t="shared" si="71"/>
        <v>811.25301775649655</v>
      </c>
      <c r="DT94" s="62">
        <f ca="1">AVERAGE(OFFSET($DS$3,0,0,'Données projet'!$E$14+1,1))-AVERAGE(OFFSET($H$3,0,0,'Données projet'!$E$14+1,1))</f>
        <v>427.47603885390191</v>
      </c>
      <c r="DU94" s="62">
        <f t="shared" si="98"/>
        <v>350.88664394632116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4.9000000000000004</v>
      </c>
      <c r="EJ94" s="13">
        <f>IF('Données projet'!$A$192&gt;35,EJ93+EI94-ER93,IF(A94&lt;'Données projet'!$A$192,$EG$205^A94,IF(A94='Données projet'!$A$192,'Données projet'!$B$192,EJ93+EI94-ER93)))</f>
        <v>258.90000000000003</v>
      </c>
      <c r="EK94" s="18">
        <f>EJ94*VLOOKUP('Données projet'!$B$15,Paramètres!$A$1:$I$89,3,0)*VLOOKUP('Données projet'!$B$15,Paramètres!$A$1:$I$89,5,0)</f>
        <v>250.40808000000004</v>
      </c>
      <c r="EL94" s="14">
        <f t="shared" si="99"/>
        <v>60.67331674592576</v>
      </c>
      <c r="EM94" s="22">
        <f t="shared" si="73"/>
        <v>541.80009933248743</v>
      </c>
      <c r="EN94" s="62">
        <f t="shared" si="74"/>
        <v>835.13343266582069</v>
      </c>
      <c r="EO94" s="62">
        <f ca="1">AVERAGE(OFFSET($EN$3,0,0,'Données projet'!$E$15+1,1))-AVERAGE(OFFSET($H$3,0,0,'Données projet'!$E$15+1,1))</f>
        <v>455.50822833641354</v>
      </c>
      <c r="EP94" s="62">
        <f t="shared" si="100"/>
        <v>261.14722581688039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3</v>
      </c>
      <c r="FE94" s="13">
        <f>IF('Données projet'!$A$218&gt;35,FE93+FD94-FM93,IF(A94&lt;'Données projet'!$A$218,$FB$205^A94,IF(A94='Données projet'!$A$218,'Données projet'!$B$218,FE93+FD94-FM93)))</f>
        <v>240</v>
      </c>
      <c r="FF94" s="18">
        <f>FE94*VLOOKUP('Données projet'!$B$16,Paramètres!$A$1:$I$89,3,0)*VLOOKUP('Données projet'!$B$16,Paramètres!$A$1:$I$89,5,0)</f>
        <v>209.66400000000002</v>
      </c>
      <c r="FG94" s="14">
        <f t="shared" si="101"/>
        <v>51.862154403304537</v>
      </c>
      <c r="FH94" s="22">
        <f t="shared" si="76"/>
        <v>455.49138558575538</v>
      </c>
      <c r="FI94" s="62">
        <f t="shared" si="77"/>
        <v>748.8247189190887</v>
      </c>
      <c r="FJ94" s="62">
        <f ca="1">AVERAGE(OFFSET($FI$3,0,0,'Données projet'!$E$16+1,1))-AVERAGE(OFFSET($H$3,0,0,'Données projet'!$E$16+1,1))</f>
        <v>369.34989412920129</v>
      </c>
      <c r="FK94" s="62">
        <f t="shared" si="102"/>
        <v>371.26234252426553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0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>
        <f>FZ94*VLOOKUP('Données projet'!$B$17,Paramètres!$A$1:$I$89,3,0)*VLOOKUP('Données projet'!$B$17,Paramètres!$A$1:$I$89,5,0)</f>
        <v>0</v>
      </c>
      <c r="GB94" s="14" t="e">
        <f t="shared" si="103"/>
        <v>#NUM!</v>
      </c>
      <c r="GC94" s="22" t="e">
        <f t="shared" si="79"/>
        <v>#NUM!</v>
      </c>
      <c r="GD94" s="62" t="e">
        <f t="shared" si="80"/>
        <v>#NUM!</v>
      </c>
      <c r="GE94" s="62">
        <f ca="1">AVERAGE(OFFSET($GD$3,0,0,'Données projet'!$E$17+1,1))-AVERAGE(OFFSET($H$3,0,0,'Données projet'!$E$17+1,1))</f>
        <v>324.4489531703187</v>
      </c>
      <c r="GF94" s="62">
        <f t="shared" si="104"/>
        <v>446.55019360848706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projet'!$B$17,Paramètres!$A$1:$I$89,3,0)*0.475*44/12</f>
        <v>0</v>
      </c>
      <c r="GM94" s="23">
        <f>EXP(-LN(2)/25)*GM93+(1-EXP(-LN(2)/25))/(LN(2)/25)*Calculateur!GH94*Calculateur!GJ94*VLOOKUP('Données projet'!$B$17,Paramètres!$A$1:$I$89,3,0)*0.475*44/12</f>
        <v>0</v>
      </c>
      <c r="GN94" s="23">
        <f>EXP(-LN(2)/2)*GN93+(1-EXP(-LN(2)/2))/(LN(2)/2)*GH94*GK94*VLOOKUP('Données projet'!$B$17,Paramètres!$A$1:$I$89,3,0)*0.475*44/12</f>
        <v>0</v>
      </c>
      <c r="GO94" s="23">
        <f t="shared" si="81"/>
        <v>0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3.7179487179487181</v>
      </c>
      <c r="GU94" s="13">
        <f>IF('Données projet'!$A$270&gt;35,GU93+GT94-HC93,IF(A94&lt;'Données projet'!$A$270,$GR$205^A94,IF(A94='Données projet'!$A$270,'Données projet'!$B$270,GU93+GT94-HC93)))</f>
        <v>274.87179487179498</v>
      </c>
      <c r="GV94" s="18">
        <f>GU94*VLOOKUP('Données projet'!$B$18,Paramètres!$A$1:$I$89,3,0)*VLOOKUP('Données projet'!$B$18,Paramètres!$A$1:$I$89,5,0)</f>
        <v>184.38400000000007</v>
      </c>
      <c r="GW94" s="14">
        <f t="shared" si="105"/>
        <v>46.296175202781576</v>
      </c>
      <c r="GX94" s="22">
        <f t="shared" si="82"/>
        <v>401.76797181151136</v>
      </c>
      <c r="GY94" s="62">
        <f t="shared" si="83"/>
        <v>695.10130514484467</v>
      </c>
      <c r="GZ94" s="62">
        <f ca="1">AVERAGE(OFFSET($GY$3,0,0,'Données projet'!$E$18+1,1))-AVERAGE(OFFSET($H$3,0,0,'Données projet'!$E$18+1,1))</f>
        <v>312.06797204903796</v>
      </c>
      <c r="HA94" s="62">
        <f t="shared" si="106"/>
        <v>258.20189001775151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>
        <f>EXP(-LN(2)/35)*HG93+(1-EXP(-LN(2)/35))/(LN(2)/35)*HC94*HD94*VLOOKUP('Données projet'!$B$18,Paramètres!$A$1:$I$89,3,0)*0.475*44/12</f>
        <v>0</v>
      </c>
      <c r="HH94" s="23">
        <f>EXP(-LN(2)/25)*HH93+(1-EXP(-LN(2)/25))/(LN(2)/25)*Calculateur!HC94*Calculateur!HE94*VLOOKUP('Données projet'!$B$18,Paramètres!$A$1:$I$89,3,0)*0.475*44/12</f>
        <v>0</v>
      </c>
      <c r="HI94" s="23">
        <f>EXP(-LN(2)/2)*HI93+(1-EXP(-LN(2)/2))/(LN(2)/2)*HC94*HF94*VLOOKUP('Données projet'!$B$18,Paramètres!$A$1:$I$89,3,0)*0.475*44/12</f>
        <v>0</v>
      </c>
      <c r="HJ94" s="24">
        <f t="shared" si="84"/>
        <v>0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5.9</v>
      </c>
      <c r="N95" s="14">
        <f>IF('Données projet'!$A$36&gt;35,N94+M95-V94,IF(A95&lt;'Données projet'!$A$36,$K$205^A95,IF(A95='Données projet'!$A$36,'Données projet'!$B$36,N94+M95-V94)))</f>
        <v>313.80000000000007</v>
      </c>
      <c r="O95" s="14">
        <f>N95*VLOOKUP('Données projet'!$B$9,Paramètres!$A$1:$I$89,3,0)*VLOOKUP('Données projet'!$B$9,Paramètres!$A$1:$I$89,5,0)</f>
        <v>283.92624000000006</v>
      </c>
      <c r="P95" s="14">
        <f t="shared" si="87"/>
        <v>67.796062628528361</v>
      </c>
      <c r="Q95" s="22">
        <f t="shared" si="54"/>
        <v>612.58301041135371</v>
      </c>
      <c r="R95" s="62">
        <f t="shared" si="55"/>
        <v>905.91634374468708</v>
      </c>
      <c r="S95" s="62">
        <f ca="1">AVERAGE(OFFSET($R$3,0,0,'Données projet'!$E$9+1,1))-AVERAGE(OFFSET($H$3,0,0,'Données projet'!$E$9+1,1))</f>
        <v>512.84819850818667</v>
      </c>
      <c r="T95" s="62">
        <f t="shared" si="88"/>
        <v>332.61387922152159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-5.6843418860808015E-14</v>
      </c>
      <c r="AJ95" s="14">
        <f>AI95*VLOOKUP('Données projet'!$B$10,Paramètres!$A$1:$I$89,3,0)*VLOOKUP('Données projet'!$B$10,Paramètres!$A$1:$I$89,5,0)</f>
        <v>-4.1677594708744434E-14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344.45199703750711</v>
      </c>
      <c r="AO95" s="62">
        <f t="shared" si="90"/>
        <v>376.41441893222185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5.9</v>
      </c>
      <c r="BD95" s="13">
        <f>IF('Données projet'!$A$88&gt;35,BD94+BC95-BL94,IF(A95&lt;'Données projet'!$A$88,$BA$205^A95,IF(A95='Données projet'!$A$88,'Données projet'!$B$88,BD94+BC95-BL94)))</f>
        <v>313.80000000000007</v>
      </c>
      <c r="BE95" s="14">
        <f>BD95*VLOOKUP('Données projet'!$B$11,Paramètres!$A$1:$I$89,3,0)*VLOOKUP('Données projet'!$B$11,Paramètres!$A$1:$I$89,5,0)</f>
        <v>318.1932000000001</v>
      </c>
      <c r="BF95" s="14">
        <f t="shared" si="91"/>
        <v>74.977289985928564</v>
      </c>
      <c r="BG95" s="22">
        <f t="shared" si="61"/>
        <v>684.77193672549231</v>
      </c>
      <c r="BH95" s="62">
        <f t="shared" si="62"/>
        <v>978.10527005882568</v>
      </c>
      <c r="BI95" s="62">
        <f ca="1">AVERAGE(OFFSET($BH$3,0,0,'Données projet'!$E$11+1,1))-AVERAGE(OFFSET($H$3,0,0,'Données projet'!$E$11+1,1))</f>
        <v>569.39473185784823</v>
      </c>
      <c r="BJ95" s="62">
        <f t="shared" si="92"/>
        <v>367.42881145517066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7.4</v>
      </c>
      <c r="BY95" s="13">
        <f>IF('Données projet'!$A$114&gt;35,BY94+BX95-CG94,IF(A95&lt;'Données projet'!$A$114,$BV$205^A95,IF(A95='Données projet'!$A$114,'Données projet'!$B$114,BY94+BX95-CG94)))</f>
        <v>365.80000000000007</v>
      </c>
      <c r="BZ95" s="14">
        <f>BY95*VLOOKUP('Données projet'!$B$12,Paramètres!$A$1:$I$89,3,0)*VLOOKUP('Données projet'!$B$12,Paramètres!$A$1:$I$89,5,0)</f>
        <v>313.85640000000012</v>
      </c>
      <c r="CA95" s="14">
        <f t="shared" si="93"/>
        <v>74.073619568253051</v>
      </c>
      <c r="CB95" s="22">
        <f t="shared" si="64"/>
        <v>675.64478408137427</v>
      </c>
      <c r="CC95" s="62">
        <f t="shared" si="65"/>
        <v>968.97811741470764</v>
      </c>
      <c r="CD95" s="62">
        <f ca="1">AVERAGE(OFFSET($CC$3,0,0,'Données projet'!$E$12+1,1))-AVERAGE(OFFSET($H$3,0,0,'Données projet'!$E$12+1,1))</f>
        <v>554.06253050955502</v>
      </c>
      <c r="CE95" s="62">
        <f t="shared" si="94"/>
        <v>269.71949336355789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1.1368683772161603E-13</v>
      </c>
      <c r="CU95" s="18">
        <f>CT95*VLOOKUP('Données projet'!$B$13,Paramètres!$A$1:$I$89,3,0)*VLOOKUP('Données projet'!$B$13,Paramètres!$A$1:$I$89,5,0)</f>
        <v>8.8675733422860506E-14</v>
      </c>
      <c r="CV95" s="14">
        <f t="shared" si="95"/>
        <v>1.3509285393066301E-12</v>
      </c>
      <c r="CW95" s="22">
        <f t="shared" si="67"/>
        <v>2.5073107750038623E-12</v>
      </c>
      <c r="CX95" s="62">
        <f t="shared" si="68"/>
        <v>293.33333333333582</v>
      </c>
      <c r="CY95" s="62">
        <f ca="1">AVERAGE(OFFSET($CX$3,0,0,'Données projet'!$E$13+1,1))-AVERAGE(OFFSET($H$3,0,0,'Données projet'!$E$13+1,1))</f>
        <v>292.21364130214391</v>
      </c>
      <c r="CZ95" s="62">
        <f t="shared" si="96"/>
        <v>283.48738729114024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3.8461538461538511</v>
      </c>
      <c r="DO95" s="13">
        <f>IF('Données projet'!$A$166&gt;35,DO94+DN95-DW94,IF(A95&lt;'Données projet'!$A$166,$DL$205^A95,IF(A95='Données projet'!$A$166,'Données projet'!$B$166,DO94+DN95-DW94)))</f>
        <v>255.12820512820517</v>
      </c>
      <c r="DP95" s="18">
        <f>DO95*VLOOKUP('Données projet'!$B$14,Paramètres!$A$1:$I$89,3,0)*VLOOKUP('Données projet'!$B$14,Paramètres!$A$1:$I$89,5,0)</f>
        <v>242.78000000000003</v>
      </c>
      <c r="DQ95" s="14">
        <f t="shared" si="97"/>
        <v>59.037259522542399</v>
      </c>
      <c r="DR95" s="22">
        <f t="shared" si="70"/>
        <v>525.66506033509472</v>
      </c>
      <c r="DS95" s="62">
        <f t="shared" si="71"/>
        <v>818.99839366842798</v>
      </c>
      <c r="DT95" s="62">
        <f ca="1">AVERAGE(OFFSET($DS$3,0,0,'Données projet'!$E$14+1,1))-AVERAGE(OFFSET($H$3,0,0,'Données projet'!$E$14+1,1))</f>
        <v>427.47603885390191</v>
      </c>
      <c r="DU95" s="62">
        <f t="shared" si="98"/>
        <v>350.88664394632116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4.9000000000000004</v>
      </c>
      <c r="EJ95" s="13">
        <f>IF('Données projet'!$A$192&gt;35,EJ94+EI95-ER94,IF(A95&lt;'Données projet'!$A$192,$EG$205^A95,IF(A95='Données projet'!$A$192,'Données projet'!$B$192,EJ94+EI95-ER94)))</f>
        <v>263.8</v>
      </c>
      <c r="EK95" s="18">
        <f>EJ95*VLOOKUP('Données projet'!$B$15,Paramètres!$A$1:$I$89,3,0)*VLOOKUP('Données projet'!$B$15,Paramètres!$A$1:$I$89,5,0)</f>
        <v>255.14736000000002</v>
      </c>
      <c r="EL95" s="14">
        <f t="shared" si="99"/>
        <v>61.686859728645651</v>
      </c>
      <c r="EM95" s="22">
        <f t="shared" si="73"/>
        <v>551.81959936072451</v>
      </c>
      <c r="EN95" s="62">
        <f t="shared" si="74"/>
        <v>845.15293269405788</v>
      </c>
      <c r="EO95" s="62">
        <f ca="1">AVERAGE(OFFSET($EN$3,0,0,'Données projet'!$E$15+1,1))-AVERAGE(OFFSET($H$3,0,0,'Données projet'!$E$15+1,1))</f>
        <v>455.50822833641354</v>
      </c>
      <c r="EP95" s="62">
        <f t="shared" si="100"/>
        <v>261.14722581688039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3</v>
      </c>
      <c r="FE95" s="13">
        <f>IF('Données projet'!$A$218&gt;35,FE94+FD95-FM94,IF(A95&lt;'Données projet'!$A$218,$FB$205^A95,IF(A95='Données projet'!$A$218,'Données projet'!$B$218,FE94+FD95-FM94)))</f>
        <v>243</v>
      </c>
      <c r="FF95" s="18">
        <f>FE95*VLOOKUP('Données projet'!$B$16,Paramètres!$A$1:$I$89,3,0)*VLOOKUP('Données projet'!$B$16,Paramètres!$A$1:$I$89,5,0)</f>
        <v>212.28480000000002</v>
      </c>
      <c r="FG95" s="14">
        <f t="shared" si="101"/>
        <v>52.434557099704193</v>
      </c>
      <c r="FH95" s="22">
        <f t="shared" si="76"/>
        <v>461.05288028198476</v>
      </c>
      <c r="FI95" s="62">
        <f t="shared" si="77"/>
        <v>754.38621361531807</v>
      </c>
      <c r="FJ95" s="62">
        <f ca="1">AVERAGE(OFFSET($FI$3,0,0,'Données projet'!$E$16+1,1))-AVERAGE(OFFSET($H$3,0,0,'Données projet'!$E$16+1,1))</f>
        <v>369.34989412920129</v>
      </c>
      <c r="FK95" s="62">
        <f t="shared" si="102"/>
        <v>371.26234252426553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0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>
        <f>FZ95*VLOOKUP('Données projet'!$B$17,Paramètres!$A$1:$I$89,3,0)*VLOOKUP('Données projet'!$B$17,Paramètres!$A$1:$I$89,5,0)</f>
        <v>0</v>
      </c>
      <c r="GB95" s="14" t="e">
        <f t="shared" si="103"/>
        <v>#NUM!</v>
      </c>
      <c r="GC95" s="22" t="e">
        <f t="shared" si="79"/>
        <v>#NUM!</v>
      </c>
      <c r="GD95" s="62" t="e">
        <f t="shared" si="80"/>
        <v>#NUM!</v>
      </c>
      <c r="GE95" s="62">
        <f ca="1">AVERAGE(OFFSET($GD$3,0,0,'Données projet'!$E$17+1,1))-AVERAGE(OFFSET($H$3,0,0,'Données projet'!$E$17+1,1))</f>
        <v>324.4489531703187</v>
      </c>
      <c r="GF95" s="62">
        <f t="shared" si="104"/>
        <v>446.55019360848706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projet'!$B$17,Paramètres!$A$1:$I$89,3,0)*0.475*44/12</f>
        <v>0</v>
      </c>
      <c r="GM95" s="23">
        <f>EXP(-LN(2)/25)*GM94+(1-EXP(-LN(2)/25))/(LN(2)/25)*Calculateur!GH95*Calculateur!GJ95*VLOOKUP('Données projet'!$B$17,Paramètres!$A$1:$I$89,3,0)*0.475*44/12</f>
        <v>0</v>
      </c>
      <c r="GN95" s="23">
        <f>EXP(-LN(2)/2)*GN94+(1-EXP(-LN(2)/2))/(LN(2)/2)*GH95*GK95*VLOOKUP('Données projet'!$B$17,Paramètres!$A$1:$I$89,3,0)*0.475*44/12</f>
        <v>0</v>
      </c>
      <c r="GO95" s="23">
        <f t="shared" si="81"/>
        <v>0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3.7179487179487181</v>
      </c>
      <c r="GU95" s="13">
        <f>IF('Données projet'!$A$270&gt;35,GU94+GT95-HC94,IF(A95&lt;'Données projet'!$A$270,$GR$205^A95,IF(A95='Données projet'!$A$270,'Données projet'!$B$270,GU94+GT95-HC94)))</f>
        <v>278.5897435897437</v>
      </c>
      <c r="GV95" s="18">
        <f>GU95*VLOOKUP('Données projet'!$B$18,Paramètres!$A$1:$I$89,3,0)*VLOOKUP('Données projet'!$B$18,Paramètres!$A$1:$I$89,5,0)</f>
        <v>186.87800000000007</v>
      </c>
      <c r="GW95" s="14">
        <f t="shared" si="105"/>
        <v>46.849058827207365</v>
      </c>
      <c r="GX95" s="22">
        <f t="shared" si="82"/>
        <v>407.07462745738621</v>
      </c>
      <c r="GY95" s="62">
        <f t="shared" si="83"/>
        <v>700.40796079071947</v>
      </c>
      <c r="GZ95" s="62">
        <f ca="1">AVERAGE(OFFSET($GY$3,0,0,'Données projet'!$E$18+1,1))-AVERAGE(OFFSET($H$3,0,0,'Données projet'!$E$18+1,1))</f>
        <v>312.06797204903796</v>
      </c>
      <c r="HA95" s="62">
        <f t="shared" si="106"/>
        <v>258.20189001775151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>
        <f>EXP(-LN(2)/35)*HG94+(1-EXP(-LN(2)/35))/(LN(2)/35)*HC95*HD95*VLOOKUP('Données projet'!$B$18,Paramètres!$A$1:$I$89,3,0)*0.475*44/12</f>
        <v>0</v>
      </c>
      <c r="HH95" s="23">
        <f>EXP(-LN(2)/25)*HH94+(1-EXP(-LN(2)/25))/(LN(2)/25)*Calculateur!HC95*Calculateur!HE95*VLOOKUP('Données projet'!$B$18,Paramètres!$A$1:$I$89,3,0)*0.475*44/12</f>
        <v>0</v>
      </c>
      <c r="HI95" s="23">
        <f>EXP(-LN(2)/2)*HI94+(1-EXP(-LN(2)/2))/(LN(2)/2)*HC95*HF95*VLOOKUP('Données projet'!$B$18,Paramètres!$A$1:$I$89,3,0)*0.475*44/12</f>
        <v>0</v>
      </c>
      <c r="HJ95" s="24">
        <f t="shared" si="84"/>
        <v>0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5.9</v>
      </c>
      <c r="N96" s="14">
        <f>IF('Données projet'!$A$36&gt;35,N95+M96-V95,IF(A96&lt;'Données projet'!$A$36,$K$205^A96,IF(A96='Données projet'!$A$36,'Données projet'!$B$36,N95+M96-V95)))</f>
        <v>319.70000000000005</v>
      </c>
      <c r="O96" s="14">
        <f>N96*VLOOKUP('Données projet'!$B$9,Paramètres!$A$1:$I$89,3,0)*VLOOKUP('Données projet'!$B$9,Paramètres!$A$1:$I$89,5,0)</f>
        <v>289.26456000000002</v>
      </c>
      <c r="P96" s="14">
        <f t="shared" si="87"/>
        <v>68.921152085057912</v>
      </c>
      <c r="Q96" s="22">
        <f t="shared" si="54"/>
        <v>623.84011521480932</v>
      </c>
      <c r="R96" s="62">
        <f t="shared" si="55"/>
        <v>917.17344854814269</v>
      </c>
      <c r="S96" s="62">
        <f ca="1">AVERAGE(OFFSET($R$3,0,0,'Données projet'!$E$9+1,1))-AVERAGE(OFFSET($H$3,0,0,'Données projet'!$E$9+1,1))</f>
        <v>512.84819850818667</v>
      </c>
      <c r="T96" s="62">
        <f t="shared" si="88"/>
        <v>332.61387922152159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-5.6843418860808015E-14</v>
      </c>
      <c r="AJ96" s="14">
        <f>AI96*VLOOKUP('Données projet'!$B$10,Paramètres!$A$1:$I$89,3,0)*VLOOKUP('Données projet'!$B$10,Paramètres!$A$1:$I$89,5,0)</f>
        <v>-4.1677594708744434E-14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344.45199703750711</v>
      </c>
      <c r="AO96" s="62">
        <f t="shared" si="90"/>
        <v>376.41441893222185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5.9</v>
      </c>
      <c r="BD96" s="13">
        <f>IF('Données projet'!$A$88&gt;35,BD95+BC96-BL95,IF(A96&lt;'Données projet'!$A$88,$BA$205^A96,IF(A96='Données projet'!$A$88,'Données projet'!$B$88,BD95+BC96-BL95)))</f>
        <v>319.70000000000005</v>
      </c>
      <c r="BE96" s="14">
        <f>BD96*VLOOKUP('Données projet'!$B$11,Paramètres!$A$1:$I$89,3,0)*VLOOKUP('Données projet'!$B$11,Paramètres!$A$1:$I$89,5,0)</f>
        <v>324.17580000000004</v>
      </c>
      <c r="BF96" s="14">
        <f t="shared" si="91"/>
        <v>76.221553371909195</v>
      </c>
      <c r="BG96" s="22">
        <f t="shared" si="61"/>
        <v>697.3587237894086</v>
      </c>
      <c r="BH96" s="62">
        <f t="shared" si="62"/>
        <v>990.69205712274197</v>
      </c>
      <c r="BI96" s="62">
        <f ca="1">AVERAGE(OFFSET($BH$3,0,0,'Données projet'!$E$11+1,1))-AVERAGE(OFFSET($H$3,0,0,'Données projet'!$E$11+1,1))</f>
        <v>569.39473185784823</v>
      </c>
      <c r="BJ96" s="62">
        <f t="shared" si="92"/>
        <v>367.42881145517066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7.4</v>
      </c>
      <c r="BY96" s="13">
        <f>IF('Données projet'!$A$114&gt;35,BY95+BX96-CG95,IF(A96&lt;'Données projet'!$A$114,$BV$205^A96,IF(A96='Données projet'!$A$114,'Données projet'!$B$114,BY95+BX96-CG95)))</f>
        <v>373.20000000000005</v>
      </c>
      <c r="BZ96" s="14">
        <f>BY96*VLOOKUP('Données projet'!$B$12,Paramètres!$A$1:$I$89,3,0)*VLOOKUP('Données projet'!$B$12,Paramètres!$A$1:$I$89,5,0)</f>
        <v>320.20560000000006</v>
      </c>
      <c r="CA96" s="14">
        <f t="shared" si="93"/>
        <v>75.39613114202001</v>
      </c>
      <c r="CB96" s="22">
        <f t="shared" si="64"/>
        <v>689.006348405685</v>
      </c>
      <c r="CC96" s="62">
        <f t="shared" si="65"/>
        <v>982.33968173901826</v>
      </c>
      <c r="CD96" s="62">
        <f ca="1">AVERAGE(OFFSET($CC$3,0,0,'Données projet'!$E$12+1,1))-AVERAGE(OFFSET($H$3,0,0,'Données projet'!$E$12+1,1))</f>
        <v>554.06253050955502</v>
      </c>
      <c r="CE96" s="62">
        <f t="shared" si="94"/>
        <v>269.71949336355789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1.1368683772161603E-13</v>
      </c>
      <c r="CU96" s="18">
        <f>CT96*VLOOKUP('Données projet'!$B$13,Paramètres!$A$1:$I$89,3,0)*VLOOKUP('Données projet'!$B$13,Paramètres!$A$1:$I$89,5,0)</f>
        <v>8.8675733422860506E-14</v>
      </c>
      <c r="CV96" s="14">
        <f t="shared" si="95"/>
        <v>1.3509285393066301E-12</v>
      </c>
      <c r="CW96" s="22">
        <f t="shared" si="67"/>
        <v>2.5073107750038623E-12</v>
      </c>
      <c r="CX96" s="62">
        <f t="shared" si="68"/>
        <v>293.33333333333582</v>
      </c>
      <c r="CY96" s="62">
        <f ca="1">AVERAGE(OFFSET($CX$3,0,0,'Données projet'!$E$13+1,1))-AVERAGE(OFFSET($H$3,0,0,'Données projet'!$E$13+1,1))</f>
        <v>292.21364130214391</v>
      </c>
      <c r="CZ96" s="62">
        <f t="shared" si="96"/>
        <v>283.48738729114024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3.8461538461538511</v>
      </c>
      <c r="DO96" s="13">
        <f>IF('Données projet'!$A$166&gt;35,DO95+DN96-DW95,IF(A96&lt;'Données projet'!$A$166,$DL$205^A96,IF(A96='Données projet'!$A$166,'Données projet'!$B$166,DO95+DN96-DW95)))</f>
        <v>258.97435897435901</v>
      </c>
      <c r="DP96" s="18">
        <f>DO96*VLOOKUP('Données projet'!$B$14,Paramètres!$A$1:$I$89,3,0)*VLOOKUP('Données projet'!$B$14,Paramètres!$A$1:$I$89,5,0)</f>
        <v>246.44000000000003</v>
      </c>
      <c r="DQ96" s="14">
        <f t="shared" si="97"/>
        <v>59.822985272492645</v>
      </c>
      <c r="DR96" s="22">
        <f t="shared" si="70"/>
        <v>533.40803268292461</v>
      </c>
      <c r="DS96" s="62">
        <f t="shared" si="71"/>
        <v>826.74136601625787</v>
      </c>
      <c r="DT96" s="62">
        <f ca="1">AVERAGE(OFFSET($DS$3,0,0,'Données projet'!$E$14+1,1))-AVERAGE(OFFSET($H$3,0,0,'Données projet'!$E$14+1,1))</f>
        <v>427.47603885390191</v>
      </c>
      <c r="DU96" s="62">
        <f t="shared" si="98"/>
        <v>350.88664394632116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4.9000000000000004</v>
      </c>
      <c r="EJ96" s="13">
        <f>IF('Données projet'!$A$192&gt;35,EJ95+EI96-ER95,IF(A96&lt;'Données projet'!$A$192,$EG$205^A96,IF(A96='Données projet'!$A$192,'Données projet'!$B$192,EJ95+EI96-ER95)))</f>
        <v>268.7</v>
      </c>
      <c r="EK96" s="18">
        <f>EJ96*VLOOKUP('Données projet'!$B$15,Paramètres!$A$1:$I$89,3,0)*VLOOKUP('Données projet'!$B$15,Paramètres!$A$1:$I$89,5,0)</f>
        <v>259.88664</v>
      </c>
      <c r="EL96" s="14">
        <f t="shared" si="99"/>
        <v>62.698213571884004</v>
      </c>
      <c r="EM96" s="22">
        <f t="shared" si="73"/>
        <v>561.835286637698</v>
      </c>
      <c r="EN96" s="62">
        <f t="shared" si="74"/>
        <v>855.16861997103138</v>
      </c>
      <c r="EO96" s="62">
        <f ca="1">AVERAGE(OFFSET($EN$3,0,0,'Données projet'!$E$15+1,1))-AVERAGE(OFFSET($H$3,0,0,'Données projet'!$E$15+1,1))</f>
        <v>455.50822833641354</v>
      </c>
      <c r="EP96" s="62">
        <f t="shared" si="100"/>
        <v>261.14722581688039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3</v>
      </c>
      <c r="FE96" s="13">
        <f>IF('Données projet'!$A$218&gt;35,FE95+FD96-FM95,IF(A96&lt;'Données projet'!$A$218,$FB$205^A96,IF(A96='Données projet'!$A$218,'Données projet'!$B$218,FE95+FD96-FM95)))</f>
        <v>246</v>
      </c>
      <c r="FF96" s="18">
        <f>FE96*VLOOKUP('Données projet'!$B$16,Paramètres!$A$1:$I$89,3,0)*VLOOKUP('Données projet'!$B$16,Paramètres!$A$1:$I$89,5,0)</f>
        <v>214.90560000000005</v>
      </c>
      <c r="FG96" s="14">
        <f t="shared" si="101"/>
        <v>53.006137800892326</v>
      </c>
      <c r="FH96" s="22">
        <f t="shared" si="76"/>
        <v>466.61294333655422</v>
      </c>
      <c r="FI96" s="62">
        <f t="shared" si="77"/>
        <v>759.94627666988754</v>
      </c>
      <c r="FJ96" s="62">
        <f ca="1">AVERAGE(OFFSET($FI$3,0,0,'Données projet'!$E$16+1,1))-AVERAGE(OFFSET($H$3,0,0,'Données projet'!$E$16+1,1))</f>
        <v>369.34989412920129</v>
      </c>
      <c r="FK96" s="62">
        <f t="shared" si="102"/>
        <v>371.26234252426553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0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>
        <f>FZ96*VLOOKUP('Données projet'!$B$17,Paramètres!$A$1:$I$89,3,0)*VLOOKUP('Données projet'!$B$17,Paramètres!$A$1:$I$89,5,0)</f>
        <v>0</v>
      </c>
      <c r="GB96" s="14" t="e">
        <f t="shared" si="103"/>
        <v>#NUM!</v>
      </c>
      <c r="GC96" s="22" t="e">
        <f t="shared" si="79"/>
        <v>#NUM!</v>
      </c>
      <c r="GD96" s="62" t="e">
        <f t="shared" si="80"/>
        <v>#NUM!</v>
      </c>
      <c r="GE96" s="62">
        <f ca="1">AVERAGE(OFFSET($GD$3,0,0,'Données projet'!$E$17+1,1))-AVERAGE(OFFSET($H$3,0,0,'Données projet'!$E$17+1,1))</f>
        <v>324.4489531703187</v>
      </c>
      <c r="GF96" s="62">
        <f t="shared" si="104"/>
        <v>446.55019360848706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projet'!$B$17,Paramètres!$A$1:$I$89,3,0)*0.475*44/12</f>
        <v>0</v>
      </c>
      <c r="GM96" s="23">
        <f>EXP(-LN(2)/25)*GM95+(1-EXP(-LN(2)/25))/(LN(2)/25)*Calculateur!GH96*Calculateur!GJ96*VLOOKUP('Données projet'!$B$17,Paramètres!$A$1:$I$89,3,0)*0.475*44/12</f>
        <v>0</v>
      </c>
      <c r="GN96" s="23">
        <f>EXP(-LN(2)/2)*GN95+(1-EXP(-LN(2)/2))/(LN(2)/2)*GH96*GK96*VLOOKUP('Données projet'!$B$17,Paramètres!$A$1:$I$89,3,0)*0.475*44/12</f>
        <v>0</v>
      </c>
      <c r="GO96" s="23">
        <f t="shared" si="81"/>
        <v>0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3.7179487179487181</v>
      </c>
      <c r="GU96" s="13">
        <f>IF('Données projet'!$A$270&gt;35,GU95+GT96-HC95,IF(A96&lt;'Données projet'!$A$270,$GR$205^A96,IF(A96='Données projet'!$A$270,'Données projet'!$B$270,GU95+GT96-HC95)))</f>
        <v>282.30769230769243</v>
      </c>
      <c r="GV96" s="18">
        <f>GU96*VLOOKUP('Données projet'!$B$18,Paramètres!$A$1:$I$89,3,0)*VLOOKUP('Données projet'!$B$18,Paramètres!$A$1:$I$89,5,0)</f>
        <v>189.37200000000007</v>
      </c>
      <c r="GW96" s="14">
        <f t="shared" si="105"/>
        <v>47.401084226295815</v>
      </c>
      <c r="GX96" s="22">
        <f t="shared" si="82"/>
        <v>412.37978836079861</v>
      </c>
      <c r="GY96" s="62">
        <f t="shared" si="83"/>
        <v>705.71312169413193</v>
      </c>
      <c r="GZ96" s="62">
        <f ca="1">AVERAGE(OFFSET($GY$3,0,0,'Données projet'!$E$18+1,1))-AVERAGE(OFFSET($H$3,0,0,'Données projet'!$E$18+1,1))</f>
        <v>312.06797204903796</v>
      </c>
      <c r="HA96" s="62">
        <f t="shared" si="106"/>
        <v>258.20189001775151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>
        <f>EXP(-LN(2)/35)*HG95+(1-EXP(-LN(2)/35))/(LN(2)/35)*HC96*HD96*VLOOKUP('Données projet'!$B$18,Paramètres!$A$1:$I$89,3,0)*0.475*44/12</f>
        <v>0</v>
      </c>
      <c r="HH96" s="23">
        <f>EXP(-LN(2)/25)*HH95+(1-EXP(-LN(2)/25))/(LN(2)/25)*Calculateur!HC96*Calculateur!HE96*VLOOKUP('Données projet'!$B$18,Paramètres!$A$1:$I$89,3,0)*0.475*44/12</f>
        <v>0</v>
      </c>
      <c r="HI96" s="23">
        <f>EXP(-LN(2)/2)*HI95+(1-EXP(-LN(2)/2))/(LN(2)/2)*HC96*HF96*VLOOKUP('Données projet'!$B$18,Paramètres!$A$1:$I$89,3,0)*0.475*44/12</f>
        <v>0</v>
      </c>
      <c r="HJ96" s="24">
        <f t="shared" si="84"/>
        <v>0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5.9</v>
      </c>
      <c r="N97" s="14">
        <f>IF('Données projet'!$A$36&gt;35,N96+M97-V96,IF(A97&lt;'Données projet'!$A$36,$K$205^A97,IF(A97='Données projet'!$A$36,'Données projet'!$B$36,N96+M97-V96)))</f>
        <v>325.60000000000002</v>
      </c>
      <c r="O97" s="14">
        <f>N97*VLOOKUP('Données projet'!$B$9,Paramètres!$A$1:$I$89,3,0)*VLOOKUP('Données projet'!$B$9,Paramètres!$A$1:$I$89,5,0)</f>
        <v>294.60288000000003</v>
      </c>
      <c r="P97" s="14">
        <f t="shared" si="87"/>
        <v>70.043827142305744</v>
      </c>
      <c r="Q97" s="22">
        <f t="shared" si="54"/>
        <v>635.09301493951591</v>
      </c>
      <c r="R97" s="62">
        <f t="shared" si="55"/>
        <v>928.42634827284928</v>
      </c>
      <c r="S97" s="62">
        <f ca="1">AVERAGE(OFFSET($R$3,0,0,'Données projet'!$E$9+1,1))-AVERAGE(OFFSET($H$3,0,0,'Données projet'!$E$9+1,1))</f>
        <v>512.84819850818667</v>
      </c>
      <c r="T97" s="62">
        <f t="shared" si="88"/>
        <v>332.61387922152159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-5.6843418860808015E-14</v>
      </c>
      <c r="AJ97" s="14">
        <f>AI97*VLOOKUP('Données projet'!$B$10,Paramètres!$A$1:$I$89,3,0)*VLOOKUP('Données projet'!$B$10,Paramètres!$A$1:$I$89,5,0)</f>
        <v>-4.1677594708744434E-14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344.45199703750711</v>
      </c>
      <c r="AO97" s="62">
        <f t="shared" si="90"/>
        <v>376.41441893222185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5.9</v>
      </c>
      <c r="BD97" s="13">
        <f>IF('Données projet'!$A$88&gt;35,BD96+BC97-BL96,IF(A97&lt;'Données projet'!$A$88,$BA$205^A97,IF(A97='Données projet'!$A$88,'Données projet'!$B$88,BD96+BC97-BL96)))</f>
        <v>325.60000000000002</v>
      </c>
      <c r="BE97" s="14">
        <f>BD97*VLOOKUP('Données projet'!$B$11,Paramètres!$A$1:$I$89,3,0)*VLOOKUP('Données projet'!$B$11,Paramètres!$A$1:$I$89,5,0)</f>
        <v>330.15840000000003</v>
      </c>
      <c r="BF97" s="14">
        <f t="shared" si="91"/>
        <v>77.463146615877591</v>
      </c>
      <c r="BG97" s="22">
        <f t="shared" si="61"/>
        <v>709.94086035598684</v>
      </c>
      <c r="BH97" s="62">
        <f t="shared" si="62"/>
        <v>1003.2741936893201</v>
      </c>
      <c r="BI97" s="62">
        <f ca="1">AVERAGE(OFFSET($BH$3,0,0,'Données projet'!$E$11+1,1))-AVERAGE(OFFSET($H$3,0,0,'Données projet'!$E$11+1,1))</f>
        <v>569.39473185784823</v>
      </c>
      <c r="BJ97" s="62">
        <f t="shared" si="92"/>
        <v>367.42881145517066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7.4</v>
      </c>
      <c r="BY97" s="13">
        <f>IF('Données projet'!$A$114&gt;35,BY96+BX97-CG96,IF(A97&lt;'Données projet'!$A$114,$BV$205^A97,IF(A97='Données projet'!$A$114,'Données projet'!$B$114,BY96+BX97-CG96)))</f>
        <v>380.6</v>
      </c>
      <c r="BZ97" s="14">
        <f>BY97*VLOOKUP('Données projet'!$B$12,Paramètres!$A$1:$I$89,3,0)*VLOOKUP('Données projet'!$B$12,Paramètres!$A$1:$I$89,5,0)</f>
        <v>326.55480000000006</v>
      </c>
      <c r="CA97" s="14">
        <f t="shared" si="93"/>
        <v>76.715593616667192</v>
      </c>
      <c r="CB97" s="22">
        <f t="shared" si="64"/>
        <v>702.36260221569546</v>
      </c>
      <c r="CC97" s="62">
        <f t="shared" si="65"/>
        <v>995.69593554902872</v>
      </c>
      <c r="CD97" s="62">
        <f ca="1">AVERAGE(OFFSET($CC$3,0,0,'Données projet'!$E$12+1,1))-AVERAGE(OFFSET($H$3,0,0,'Données projet'!$E$12+1,1))</f>
        <v>554.06253050955502</v>
      </c>
      <c r="CE97" s="62">
        <f t="shared" si="94"/>
        <v>269.71949336355789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1.1368683772161603E-13</v>
      </c>
      <c r="CU97" s="18">
        <f>CT97*VLOOKUP('Données projet'!$B$13,Paramètres!$A$1:$I$89,3,0)*VLOOKUP('Données projet'!$B$13,Paramètres!$A$1:$I$89,5,0)</f>
        <v>8.8675733422860506E-14</v>
      </c>
      <c r="CV97" s="14">
        <f t="shared" si="95"/>
        <v>1.3509285393066301E-12</v>
      </c>
      <c r="CW97" s="22">
        <f t="shared" si="67"/>
        <v>2.5073107750038623E-12</v>
      </c>
      <c r="CX97" s="62">
        <f t="shared" si="68"/>
        <v>293.33333333333582</v>
      </c>
      <c r="CY97" s="62">
        <f ca="1">AVERAGE(OFFSET($CX$3,0,0,'Données projet'!$E$13+1,1))-AVERAGE(OFFSET($H$3,0,0,'Données projet'!$E$13+1,1))</f>
        <v>292.21364130214391</v>
      </c>
      <c r="CZ97" s="62">
        <f t="shared" si="96"/>
        <v>283.48738729114024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3.8461538461538511</v>
      </c>
      <c r="DO97" s="13">
        <f>IF('Données projet'!$A$166&gt;35,DO96+DN97-DW96,IF(A97&lt;'Données projet'!$A$166,$DL$205^A97,IF(A97='Données projet'!$A$166,'Données projet'!$B$166,DO96+DN97-DW96)))</f>
        <v>262.82051282051287</v>
      </c>
      <c r="DP97" s="18">
        <f>DO97*VLOOKUP('Données projet'!$B$14,Paramètres!$A$1:$I$89,3,0)*VLOOKUP('Données projet'!$B$14,Paramètres!$A$1:$I$89,5,0)</f>
        <v>250.10000000000005</v>
      </c>
      <c r="DQ97" s="14">
        <f t="shared" si="97"/>
        <v>60.60735384884763</v>
      </c>
      <c r="DR97" s="22">
        <f t="shared" si="70"/>
        <v>541.1486412867431</v>
      </c>
      <c r="DS97" s="62">
        <f t="shared" si="71"/>
        <v>834.48197462007647</v>
      </c>
      <c r="DT97" s="62">
        <f ca="1">AVERAGE(OFFSET($DS$3,0,0,'Données projet'!$E$14+1,1))-AVERAGE(OFFSET($H$3,0,0,'Données projet'!$E$14+1,1))</f>
        <v>427.47603885390191</v>
      </c>
      <c r="DU97" s="62">
        <f t="shared" si="98"/>
        <v>350.88664394632116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4.9000000000000004</v>
      </c>
      <c r="EJ97" s="13">
        <f>IF('Données projet'!$A$192&gt;35,EJ96+EI97-ER96,IF(A97&lt;'Données projet'!$A$192,$EG$205^A97,IF(A97='Données projet'!$A$192,'Données projet'!$B$192,EJ96+EI97-ER96)))</f>
        <v>273.59999999999997</v>
      </c>
      <c r="EK97" s="18">
        <f>EJ97*VLOOKUP('Données projet'!$B$15,Paramètres!$A$1:$I$89,3,0)*VLOOKUP('Données projet'!$B$15,Paramètres!$A$1:$I$89,5,0)</f>
        <v>264.62591999999995</v>
      </c>
      <c r="EL97" s="14">
        <f t="shared" si="99"/>
        <v>63.707422801198604</v>
      </c>
      <c r="EM97" s="22">
        <f t="shared" si="73"/>
        <v>571.84723871208746</v>
      </c>
      <c r="EN97" s="62">
        <f t="shared" si="74"/>
        <v>865.18057204542083</v>
      </c>
      <c r="EO97" s="62">
        <f ca="1">AVERAGE(OFFSET($EN$3,0,0,'Données projet'!$E$15+1,1))-AVERAGE(OFFSET($H$3,0,0,'Données projet'!$E$15+1,1))</f>
        <v>455.50822833641354</v>
      </c>
      <c r="EP97" s="62">
        <f t="shared" si="100"/>
        <v>261.14722581688039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3</v>
      </c>
      <c r="FE97" s="13">
        <f>IF('Données projet'!$A$218&gt;35,FE96+FD97-FM96,IF(A97&lt;'Données projet'!$A$218,$FB$205^A97,IF(A97='Données projet'!$A$218,'Données projet'!$B$218,FE96+FD97-FM96)))</f>
        <v>249</v>
      </c>
      <c r="FF97" s="18">
        <f>FE97*VLOOKUP('Données projet'!$B$16,Paramètres!$A$1:$I$89,3,0)*VLOOKUP('Données projet'!$B$16,Paramètres!$A$1:$I$89,5,0)</f>
        <v>217.52640000000005</v>
      </c>
      <c r="FG97" s="14">
        <f t="shared" si="101"/>
        <v>53.576907690651254</v>
      </c>
      <c r="FH97" s="22">
        <f t="shared" si="76"/>
        <v>472.17159422788433</v>
      </c>
      <c r="FI97" s="62">
        <f t="shared" si="77"/>
        <v>765.50492756121764</v>
      </c>
      <c r="FJ97" s="62">
        <f ca="1">AVERAGE(OFFSET($FI$3,0,0,'Données projet'!$E$16+1,1))-AVERAGE(OFFSET($H$3,0,0,'Données projet'!$E$16+1,1))</f>
        <v>369.34989412920129</v>
      </c>
      <c r="FK97" s="62">
        <f t="shared" si="102"/>
        <v>371.26234252426553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0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>
        <f>FZ97*VLOOKUP('Données projet'!$B$17,Paramètres!$A$1:$I$89,3,0)*VLOOKUP('Données projet'!$B$17,Paramètres!$A$1:$I$89,5,0)</f>
        <v>0</v>
      </c>
      <c r="GB97" s="14" t="e">
        <f t="shared" si="103"/>
        <v>#NUM!</v>
      </c>
      <c r="GC97" s="22" t="e">
        <f t="shared" si="79"/>
        <v>#NUM!</v>
      </c>
      <c r="GD97" s="62" t="e">
        <f t="shared" si="80"/>
        <v>#NUM!</v>
      </c>
      <c r="GE97" s="62">
        <f ca="1">AVERAGE(OFFSET($GD$3,0,0,'Données projet'!$E$17+1,1))-AVERAGE(OFFSET($H$3,0,0,'Données projet'!$E$17+1,1))</f>
        <v>324.4489531703187</v>
      </c>
      <c r="GF97" s="62">
        <f t="shared" si="104"/>
        <v>446.55019360848706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projet'!$B$17,Paramètres!$A$1:$I$89,3,0)*0.475*44/12</f>
        <v>0</v>
      </c>
      <c r="GM97" s="23">
        <f>EXP(-LN(2)/25)*GM96+(1-EXP(-LN(2)/25))/(LN(2)/25)*Calculateur!GH97*Calculateur!GJ97*VLOOKUP('Données projet'!$B$17,Paramètres!$A$1:$I$89,3,0)*0.475*44/12</f>
        <v>0</v>
      </c>
      <c r="GN97" s="23">
        <f>EXP(-LN(2)/2)*GN96+(1-EXP(-LN(2)/2))/(LN(2)/2)*GH97*GK97*VLOOKUP('Données projet'!$B$17,Paramètres!$A$1:$I$89,3,0)*0.475*44/12</f>
        <v>0</v>
      </c>
      <c r="GO97" s="23">
        <f t="shared" si="81"/>
        <v>0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3.7179487179487181</v>
      </c>
      <c r="GU97" s="13">
        <f>IF('Données projet'!$A$270&gt;35,GU96+GT97-HC96,IF(A97&lt;'Données projet'!$A$270,$GR$205^A97,IF(A97='Données projet'!$A$270,'Données projet'!$B$270,GU96+GT97-HC96)))</f>
        <v>286.02564102564116</v>
      </c>
      <c r="GV97" s="18">
        <f>GU97*VLOOKUP('Données projet'!$B$18,Paramètres!$A$1:$I$89,3,0)*VLOOKUP('Données projet'!$B$18,Paramètres!$A$1:$I$89,5,0)</f>
        <v>191.8660000000001</v>
      </c>
      <c r="GW97" s="14">
        <f t="shared" si="105"/>
        <v>47.952264009442366</v>
      </c>
      <c r="GX97" s="22">
        <f t="shared" si="82"/>
        <v>417.6834764831122</v>
      </c>
      <c r="GY97" s="62">
        <f t="shared" si="83"/>
        <v>711.01680981644552</v>
      </c>
      <c r="GZ97" s="62">
        <f ca="1">AVERAGE(OFFSET($GY$3,0,0,'Données projet'!$E$18+1,1))-AVERAGE(OFFSET($H$3,0,0,'Données projet'!$E$18+1,1))</f>
        <v>312.06797204903796</v>
      </c>
      <c r="HA97" s="62">
        <f t="shared" si="106"/>
        <v>258.20189001775151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>
        <f>EXP(-LN(2)/35)*HG96+(1-EXP(-LN(2)/35))/(LN(2)/35)*HC97*HD97*VLOOKUP('Données projet'!$B$18,Paramètres!$A$1:$I$89,3,0)*0.475*44/12</f>
        <v>0</v>
      </c>
      <c r="HH97" s="23">
        <f>EXP(-LN(2)/25)*HH96+(1-EXP(-LN(2)/25))/(LN(2)/25)*Calculateur!HC97*Calculateur!HE97*VLOOKUP('Données projet'!$B$18,Paramètres!$A$1:$I$89,3,0)*0.475*44/12</f>
        <v>0</v>
      </c>
      <c r="HI97" s="23">
        <f>EXP(-LN(2)/2)*HI96+(1-EXP(-LN(2)/2))/(LN(2)/2)*HC97*HF97*VLOOKUP('Données projet'!$B$18,Paramètres!$A$1:$I$89,3,0)*0.475*44/12</f>
        <v>0</v>
      </c>
      <c r="HJ97" s="24">
        <f t="shared" si="84"/>
        <v>0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5.9</v>
      </c>
      <c r="N98" s="14">
        <f>IF('Données projet'!$A$36&gt;35,N97+M98-V97,IF(A98&lt;'Données projet'!$A$36,$K$205^A98,IF(A98='Données projet'!$A$36,'Données projet'!$B$36,N97+M98-V97)))</f>
        <v>331.5</v>
      </c>
      <c r="O98" s="14">
        <f>N98*VLOOKUP('Données projet'!$B$9,Paramètres!$A$1:$I$89,3,0)*VLOOKUP('Données projet'!$B$9,Paramètres!$A$1:$I$89,5,0)</f>
        <v>299.94119999999998</v>
      </c>
      <c r="P98" s="14">
        <f t="shared" si="87"/>
        <v>71.164136596531506</v>
      </c>
      <c r="Q98" s="22">
        <f t="shared" si="54"/>
        <v>646.34179457229243</v>
      </c>
      <c r="R98" s="62">
        <f t="shared" si="55"/>
        <v>939.67512790562569</v>
      </c>
      <c r="S98" s="62">
        <f ca="1">AVERAGE(OFFSET($R$3,0,0,'Données projet'!$E$9+1,1))-AVERAGE(OFFSET($H$3,0,0,'Données projet'!$E$9+1,1))</f>
        <v>512.84819850818667</v>
      </c>
      <c r="T98" s="62">
        <f t="shared" si="88"/>
        <v>332.61387922152159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-5.6843418860808015E-14</v>
      </c>
      <c r="AJ98" s="14">
        <f>AI98*VLOOKUP('Données projet'!$B$10,Paramètres!$A$1:$I$89,3,0)*VLOOKUP('Données projet'!$B$10,Paramètres!$A$1:$I$89,5,0)</f>
        <v>-4.1677594708744434E-14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344.45199703750711</v>
      </c>
      <c r="AO98" s="62">
        <f t="shared" si="90"/>
        <v>376.41441893222185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5.9</v>
      </c>
      <c r="BD98" s="13">
        <f>IF('Données projet'!$A$88&gt;35,BD97+BC98-BL97,IF(A98&lt;'Données projet'!$A$88,$BA$205^A98,IF(A98='Données projet'!$A$88,'Données projet'!$B$88,BD97+BC98-BL97)))</f>
        <v>331.5</v>
      </c>
      <c r="BE98" s="14">
        <f>BD98*VLOOKUP('Données projet'!$B$11,Paramètres!$A$1:$I$89,3,0)*VLOOKUP('Données projet'!$B$11,Paramètres!$A$1:$I$89,5,0)</f>
        <v>336.14100000000002</v>
      </c>
      <c r="BF98" s="14">
        <f t="shared" si="91"/>
        <v>78.70212368278645</v>
      </c>
      <c r="BG98" s="22">
        <f t="shared" si="61"/>
        <v>722.51844041418644</v>
      </c>
      <c r="BH98" s="62">
        <f t="shared" si="62"/>
        <v>1015.8517737475197</v>
      </c>
      <c r="BI98" s="62">
        <f ca="1">AVERAGE(OFFSET($BH$3,0,0,'Données projet'!$E$11+1,1))-AVERAGE(OFFSET($H$3,0,0,'Données projet'!$E$11+1,1))</f>
        <v>569.39473185784823</v>
      </c>
      <c r="BJ98" s="62">
        <f t="shared" si="92"/>
        <v>367.42881145517066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7.4</v>
      </c>
      <c r="BY98" s="13">
        <f>IF('Données projet'!$A$114&gt;35,BY97+BX98-CG97,IF(A98&lt;'Données projet'!$A$114,$BV$205^A98,IF(A98='Données projet'!$A$114,'Données projet'!$B$114,BY97+BX98-CG97)))</f>
        <v>388</v>
      </c>
      <c r="BZ98" s="14">
        <f>BY98*VLOOKUP('Données projet'!$B$12,Paramètres!$A$1:$I$89,3,0)*VLOOKUP('Données projet'!$B$12,Paramètres!$A$1:$I$89,5,0)</f>
        <v>332.904</v>
      </c>
      <c r="CA98" s="14">
        <f t="shared" si="93"/>
        <v>78.032073109960962</v>
      </c>
      <c r="CB98" s="22">
        <f t="shared" si="64"/>
        <v>715.71366066651524</v>
      </c>
      <c r="CC98" s="62">
        <f t="shared" si="65"/>
        <v>1009.0469939998486</v>
      </c>
      <c r="CD98" s="62">
        <f ca="1">AVERAGE(OFFSET($CC$3,0,0,'Données projet'!$E$12+1,1))-AVERAGE(OFFSET($H$3,0,0,'Données projet'!$E$12+1,1))</f>
        <v>554.06253050955502</v>
      </c>
      <c r="CE98" s="62">
        <f t="shared" si="94"/>
        <v>269.71949336355789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1.1368683772161603E-13</v>
      </c>
      <c r="CU98" s="18">
        <f>CT98*VLOOKUP('Données projet'!$B$13,Paramètres!$A$1:$I$89,3,0)*VLOOKUP('Données projet'!$B$13,Paramètres!$A$1:$I$89,5,0)</f>
        <v>8.8675733422860506E-14</v>
      </c>
      <c r="CV98" s="14">
        <f t="shared" si="95"/>
        <v>1.3509285393066301E-12</v>
      </c>
      <c r="CW98" s="22">
        <f t="shared" si="67"/>
        <v>2.5073107750038623E-12</v>
      </c>
      <c r="CX98" s="62">
        <f t="shared" si="68"/>
        <v>293.33333333333582</v>
      </c>
      <c r="CY98" s="62">
        <f ca="1">AVERAGE(OFFSET($CX$3,0,0,'Données projet'!$E$13+1,1))-AVERAGE(OFFSET($H$3,0,0,'Données projet'!$E$13+1,1))</f>
        <v>292.21364130214391</v>
      </c>
      <c r="CZ98" s="62">
        <f t="shared" si="96"/>
        <v>283.48738729114024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3.8461538461538511</v>
      </c>
      <c r="DO98" s="13">
        <f>IF('Données projet'!$A$166&gt;35,DO97+DN98-DW97,IF(A98&lt;'Données projet'!$A$166,$DL$205^A98,IF(A98='Données projet'!$A$166,'Données projet'!$B$166,DO97+DN98-DW97)))</f>
        <v>266.66666666666674</v>
      </c>
      <c r="DP98" s="18">
        <f>DO98*VLOOKUP('Données projet'!$B$14,Paramètres!$A$1:$I$89,3,0)*VLOOKUP('Données projet'!$B$14,Paramètres!$A$1:$I$89,5,0)</f>
        <v>253.76000000000008</v>
      </c>
      <c r="DQ98" s="14">
        <f t="shared" si="97"/>
        <v>61.390387407231827</v>
      </c>
      <c r="DR98" s="22">
        <f t="shared" si="70"/>
        <v>548.88692473426227</v>
      </c>
      <c r="DS98" s="62">
        <f t="shared" si="71"/>
        <v>842.22025806759552</v>
      </c>
      <c r="DT98" s="62">
        <f ca="1">AVERAGE(OFFSET($DS$3,0,0,'Données projet'!$E$14+1,1))-AVERAGE(OFFSET($H$3,0,0,'Données projet'!$E$14+1,1))</f>
        <v>427.47603885390191</v>
      </c>
      <c r="DU98" s="62">
        <f t="shared" si="98"/>
        <v>350.88664394632116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4.9000000000000004</v>
      </c>
      <c r="EJ98" s="13">
        <f>IF('Données projet'!$A$192&gt;35,EJ97+EI98-ER97,IF(A98&lt;'Données projet'!$A$192,$EG$205^A98,IF(A98='Données projet'!$A$192,'Données projet'!$B$192,EJ97+EI98-ER97)))</f>
        <v>278.49999999999994</v>
      </c>
      <c r="EK98" s="18">
        <f>EJ98*VLOOKUP('Données projet'!$B$15,Paramètres!$A$1:$I$89,3,0)*VLOOKUP('Données projet'!$B$15,Paramètres!$A$1:$I$89,5,0)</f>
        <v>269.36519999999996</v>
      </c>
      <c r="EL98" s="14">
        <f t="shared" si="99"/>
        <v>64.714530255967034</v>
      </c>
      <c r="EM98" s="22">
        <f t="shared" si="73"/>
        <v>581.85553019580914</v>
      </c>
      <c r="EN98" s="62">
        <f t="shared" si="74"/>
        <v>875.18886352914251</v>
      </c>
      <c r="EO98" s="62">
        <f ca="1">AVERAGE(OFFSET($EN$3,0,0,'Données projet'!$E$15+1,1))-AVERAGE(OFFSET($H$3,0,0,'Données projet'!$E$15+1,1))</f>
        <v>455.50822833641354</v>
      </c>
      <c r="EP98" s="62">
        <f t="shared" si="100"/>
        <v>261.14722581688039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>
        <f>VLOOKUP(A98,'Données projet'!$A$217:$I$237,2,0)</f>
        <v>252</v>
      </c>
      <c r="FC98" s="13">
        <f>VLOOKUP(A98,'Données projet'!$A$217:$I$237,9,0)</f>
        <v>3</v>
      </c>
      <c r="FD98" s="13">
        <f t="array" ref="FD98">INDEX(FC:FC,MIN(IF(ISNUMBER(FC98:FC294),ROW(FC98:FC294),"")))</f>
        <v>3</v>
      </c>
      <c r="FE98" s="13">
        <f>IF('Données projet'!$A$218&gt;35,FE97+FD98-FM97,IF(A98&lt;'Données projet'!$A$218,$FB$205^A98,IF(A98='Données projet'!$A$218,'Données projet'!$B$218,FE97+FD98-FM97)))</f>
        <v>252</v>
      </c>
      <c r="FF98" s="18">
        <f>FE98*VLOOKUP('Données projet'!$B$16,Paramètres!$A$1:$I$89,3,0)*VLOOKUP('Données projet'!$B$16,Paramètres!$A$1:$I$89,5,0)</f>
        <v>220.14720000000003</v>
      </c>
      <c r="FG98" s="14">
        <f t="shared" si="101"/>
        <v>54.146877667769687</v>
      </c>
      <c r="FH98" s="22">
        <f t="shared" si="76"/>
        <v>477.72885193803222</v>
      </c>
      <c r="FI98" s="62">
        <f t="shared" si="77"/>
        <v>771.06218527136548</v>
      </c>
      <c r="FJ98" s="62">
        <f ca="1">AVERAGE(OFFSET($FI$3,0,0,'Données projet'!$E$16+1,1))-AVERAGE(OFFSET($H$3,0,0,'Données projet'!$E$16+1,1))</f>
        <v>369.34989412920129</v>
      </c>
      <c r="FK98" s="62">
        <f t="shared" si="102"/>
        <v>371.26234252426553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0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>
        <f>FZ98*VLOOKUP('Données projet'!$B$17,Paramètres!$A$1:$I$89,3,0)*VLOOKUP('Données projet'!$B$17,Paramètres!$A$1:$I$89,5,0)</f>
        <v>0</v>
      </c>
      <c r="GB98" s="14" t="e">
        <f t="shared" si="103"/>
        <v>#NUM!</v>
      </c>
      <c r="GC98" s="22" t="e">
        <f t="shared" si="79"/>
        <v>#NUM!</v>
      </c>
      <c r="GD98" s="62" t="e">
        <f t="shared" si="80"/>
        <v>#NUM!</v>
      </c>
      <c r="GE98" s="62">
        <f ca="1">AVERAGE(OFFSET($GD$3,0,0,'Données projet'!$E$17+1,1))-AVERAGE(OFFSET($H$3,0,0,'Données projet'!$E$17+1,1))</f>
        <v>324.4489531703187</v>
      </c>
      <c r="GF98" s="62">
        <f t="shared" si="104"/>
        <v>446.55019360848706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projet'!$B$17,Paramètres!$A$1:$I$89,3,0)*0.475*44/12</f>
        <v>0</v>
      </c>
      <c r="GM98" s="23">
        <f>EXP(-LN(2)/25)*GM97+(1-EXP(-LN(2)/25))/(LN(2)/25)*Calculateur!GH98*Calculateur!GJ98*VLOOKUP('Données projet'!$B$17,Paramètres!$A$1:$I$89,3,0)*0.475*44/12</f>
        <v>0</v>
      </c>
      <c r="GN98" s="23">
        <f>EXP(-LN(2)/2)*GN97+(1-EXP(-LN(2)/2))/(LN(2)/2)*GH98*GK98*VLOOKUP('Données projet'!$B$17,Paramètres!$A$1:$I$89,3,0)*0.475*44/12</f>
        <v>0</v>
      </c>
      <c r="GO98" s="23">
        <f t="shared" si="81"/>
        <v>0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>
        <f>VLOOKUP(A98,'Données projet'!$A$269:$I$289,2,0)</f>
        <v>289.74358974358972</v>
      </c>
      <c r="GS98" s="13">
        <f>VLOOKUP(A98,'Données projet'!$A$269:$I$289,9,0)</f>
        <v>3.7179487179487181</v>
      </c>
      <c r="GT98" s="13">
        <f t="array" ref="GT98">INDEX(GS:GS,MIN(IF(ISNUMBER(GS98:GS294),ROW(GS98:GS294),"")))</f>
        <v>3.7179487179487181</v>
      </c>
      <c r="GU98" s="13">
        <f>IF('Données projet'!$A$270&gt;35,GU97+GT98-HC97,IF(A98&lt;'Données projet'!$A$270,$GR$205^A98,IF(A98='Données projet'!$A$270,'Données projet'!$B$270,GU97+GT98-HC97)))</f>
        <v>289.74358974358989</v>
      </c>
      <c r="GV98" s="18">
        <f>GU98*VLOOKUP('Données projet'!$B$18,Paramètres!$A$1:$I$89,3,0)*VLOOKUP('Données projet'!$B$18,Paramètres!$A$1:$I$89,5,0)</f>
        <v>194.3600000000001</v>
      </c>
      <c r="GW98" s="14">
        <f t="shared" si="105"/>
        <v>48.502610439386679</v>
      </c>
      <c r="GX98" s="22">
        <f t="shared" si="82"/>
        <v>422.98571318193194</v>
      </c>
      <c r="GY98" s="62">
        <f t="shared" si="83"/>
        <v>716.3190465152652</v>
      </c>
      <c r="GZ98" s="62">
        <f ca="1">AVERAGE(OFFSET($GY$3,0,0,'Données projet'!$E$18+1,1))-AVERAGE(OFFSET($H$3,0,0,'Données projet'!$E$18+1,1))</f>
        <v>312.06797204903796</v>
      </c>
      <c r="HA98" s="62">
        <f t="shared" si="106"/>
        <v>258.20189001775151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>
        <f>EXP(-LN(2)/35)*HG97+(1-EXP(-LN(2)/35))/(LN(2)/35)*HC98*HD98*VLOOKUP('Données projet'!$B$18,Paramètres!$A$1:$I$89,3,0)*0.475*44/12</f>
        <v>0</v>
      </c>
      <c r="HH98" s="23">
        <f>EXP(-LN(2)/25)*HH97+(1-EXP(-LN(2)/25))/(LN(2)/25)*Calculateur!HC98*Calculateur!HE98*VLOOKUP('Données projet'!$B$18,Paramètres!$A$1:$I$89,3,0)*0.475*44/12</f>
        <v>0</v>
      </c>
      <c r="HI98" s="23">
        <f>EXP(-LN(2)/2)*HI97+(1-EXP(-LN(2)/2))/(LN(2)/2)*HC98*HF98*VLOOKUP('Données projet'!$B$18,Paramètres!$A$1:$I$89,3,0)*0.475*44/12</f>
        <v>0</v>
      </c>
      <c r="HJ98" s="24">
        <f t="shared" si="84"/>
        <v>0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5.9</v>
      </c>
      <c r="N99" s="14">
        <f>IF('Données projet'!$A$36&gt;35,N98+M99-V98,IF(A99&lt;'Données projet'!$A$36,$K$205^A99,IF(A99='Données projet'!$A$36,'Données projet'!$B$36,N98+M99-V98)))</f>
        <v>337.4</v>
      </c>
      <c r="O99" s="14">
        <f>N99*VLOOKUP('Données projet'!$B$9,Paramètres!$A$1:$I$89,3,0)*VLOOKUP('Données projet'!$B$9,Paramètres!$A$1:$I$89,5,0)</f>
        <v>305.27951999999999</v>
      </c>
      <c r="P99" s="14">
        <f t="shared" si="87"/>
        <v>72.282127407576809</v>
      </c>
      <c r="Q99" s="22">
        <f t="shared" ref="Q99:Q130" si="107">(O99+P99)*0.475*44/12</f>
        <v>657.5865359015296</v>
      </c>
      <c r="R99" s="62">
        <f t="shared" si="55"/>
        <v>950.91986923486297</v>
      </c>
      <c r="S99" s="62">
        <f ca="1">AVERAGE(OFFSET($R$3,0,0,'Données projet'!$E$9+1,1))-AVERAGE(OFFSET($H$3,0,0,'Données projet'!$E$9+1,1))</f>
        <v>512.84819850818667</v>
      </c>
      <c r="T99" s="62">
        <f t="shared" si="88"/>
        <v>332.61387922152159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-5.6843418860808015E-14</v>
      </c>
      <c r="AJ99" s="14">
        <f>AI99*VLOOKUP('Données projet'!$B$10,Paramètres!$A$1:$I$89,3,0)*VLOOKUP('Données projet'!$B$10,Paramètres!$A$1:$I$89,5,0)</f>
        <v>-4.1677594708744434E-14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344.45199703750711</v>
      </c>
      <c r="AO99" s="62">
        <f t="shared" si="90"/>
        <v>376.41441893222185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5.9</v>
      </c>
      <c r="BD99" s="13">
        <f>IF('Données projet'!$A$88&gt;35,BD98+BC99-BL98,IF(A99&lt;'Données projet'!$A$88,$BA$205^A99,IF(A99='Données projet'!$A$88,'Données projet'!$B$88,BD98+BC99-BL98)))</f>
        <v>337.4</v>
      </c>
      <c r="BE99" s="14">
        <f>BD99*VLOOKUP('Données projet'!$B$11,Paramètres!$A$1:$I$89,3,0)*VLOOKUP('Données projet'!$B$11,Paramètres!$A$1:$I$89,5,0)</f>
        <v>342.12360000000001</v>
      </c>
      <c r="BF99" s="14">
        <f t="shared" si="91"/>
        <v>79.938536506649669</v>
      </c>
      <c r="BG99" s="22">
        <f t="shared" si="61"/>
        <v>735.09155441574819</v>
      </c>
      <c r="BH99" s="62">
        <f t="shared" si="62"/>
        <v>1028.4248877490816</v>
      </c>
      <c r="BI99" s="62">
        <f ca="1">AVERAGE(OFFSET($BH$3,0,0,'Données projet'!$E$11+1,1))-AVERAGE(OFFSET($H$3,0,0,'Données projet'!$E$11+1,1))</f>
        <v>569.39473185784823</v>
      </c>
      <c r="BJ99" s="62">
        <f t="shared" si="92"/>
        <v>367.42881145517066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7.4</v>
      </c>
      <c r="BY99" s="13">
        <f>IF('Données projet'!$A$114&gt;35,BY98+BX99-CG98,IF(A99&lt;'Données projet'!$A$114,$BV$205^A99,IF(A99='Données projet'!$A$114,'Données projet'!$B$114,BY98+BX99-CG98)))</f>
        <v>395.4</v>
      </c>
      <c r="BZ99" s="14">
        <f>BY99*VLOOKUP('Données projet'!$B$12,Paramètres!$A$1:$I$89,3,0)*VLOOKUP('Données projet'!$B$12,Paramètres!$A$1:$I$89,5,0)</f>
        <v>339.25319999999999</v>
      </c>
      <c r="CA99" s="14">
        <f t="shared" si="93"/>
        <v>79.345633073344061</v>
      </c>
      <c r="CB99" s="22">
        <f t="shared" si="64"/>
        <v>729.05963426940752</v>
      </c>
      <c r="CC99" s="62">
        <f t="shared" si="65"/>
        <v>1022.3929676027408</v>
      </c>
      <c r="CD99" s="62">
        <f ca="1">AVERAGE(OFFSET($CC$3,0,0,'Données projet'!$E$12+1,1))-AVERAGE(OFFSET($H$3,0,0,'Données projet'!$E$12+1,1))</f>
        <v>554.06253050955502</v>
      </c>
      <c r="CE99" s="62">
        <f t="shared" si="94"/>
        <v>269.71949336355789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1.1368683772161603E-13</v>
      </c>
      <c r="CU99" s="18">
        <f>CT99*VLOOKUP('Données projet'!$B$13,Paramètres!$A$1:$I$89,3,0)*VLOOKUP('Données projet'!$B$13,Paramètres!$A$1:$I$89,5,0)</f>
        <v>8.8675733422860506E-14</v>
      </c>
      <c r="CV99" s="14">
        <f t="shared" si="95"/>
        <v>1.3509285393066301E-12</v>
      </c>
      <c r="CW99" s="22">
        <f t="shared" si="67"/>
        <v>2.5073107750038623E-12</v>
      </c>
      <c r="CX99" s="62">
        <f t="shared" si="68"/>
        <v>293.33333333333582</v>
      </c>
      <c r="CY99" s="62">
        <f ca="1">AVERAGE(OFFSET($CX$3,0,0,'Données projet'!$E$13+1,1))-AVERAGE(OFFSET($H$3,0,0,'Données projet'!$E$13+1,1))</f>
        <v>292.21364130214391</v>
      </c>
      <c r="CZ99" s="62">
        <f t="shared" si="96"/>
        <v>283.48738729114024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3.8461538461538511</v>
      </c>
      <c r="DO99" s="13">
        <f>IF('Données projet'!$A$166&gt;35,DO98+DN99-DW98,IF(A99&lt;'Données projet'!$A$166,$DL$205^A99,IF(A99='Données projet'!$A$166,'Données projet'!$B$166,DO98+DN99-DW98)))</f>
        <v>270.51282051282061</v>
      </c>
      <c r="DP99" s="18">
        <f>DO99*VLOOKUP('Données projet'!$B$14,Paramètres!$A$1:$I$89,3,0)*VLOOKUP('Données projet'!$B$14,Paramètres!$A$1:$I$89,5,0)</f>
        <v>257.42000000000013</v>
      </c>
      <c r="DQ99" s="14">
        <f t="shared" si="97"/>
        <v>62.172107427466493</v>
      </c>
      <c r="DR99" s="22">
        <f t="shared" si="70"/>
        <v>556.62292043617106</v>
      </c>
      <c r="DS99" s="62">
        <f t="shared" si="71"/>
        <v>849.95625376950443</v>
      </c>
      <c r="DT99" s="62">
        <f ca="1">AVERAGE(OFFSET($DS$3,0,0,'Données projet'!$E$14+1,1))-AVERAGE(OFFSET($H$3,0,0,'Données projet'!$E$14+1,1))</f>
        <v>427.47603885390191</v>
      </c>
      <c r="DU99" s="62">
        <f t="shared" si="98"/>
        <v>350.88664394632116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4.9000000000000004</v>
      </c>
      <c r="EJ99" s="13">
        <f>IF('Données projet'!$A$192&gt;35,EJ98+EI99-ER98,IF(A99&lt;'Données projet'!$A$192,$EG$205^A99,IF(A99='Données projet'!$A$192,'Données projet'!$B$192,EJ98+EI99-ER98)))</f>
        <v>283.39999999999992</v>
      </c>
      <c r="EK99" s="18">
        <f>EJ99*VLOOKUP('Données projet'!$B$15,Paramètres!$A$1:$I$89,3,0)*VLOOKUP('Données projet'!$B$15,Paramètres!$A$1:$I$89,5,0)</f>
        <v>274.10447999999991</v>
      </c>
      <c r="EL99" s="14">
        <f t="shared" si="99"/>
        <v>65.719577181765516</v>
      </c>
      <c r="EM99" s="22">
        <f t="shared" si="73"/>
        <v>591.86023292490802</v>
      </c>
      <c r="EN99" s="62">
        <f t="shared" si="74"/>
        <v>885.19356625824139</v>
      </c>
      <c r="EO99" s="62">
        <f ca="1">AVERAGE(OFFSET($EN$3,0,0,'Données projet'!$E$15+1,1))-AVERAGE(OFFSET($H$3,0,0,'Données projet'!$E$15+1,1))</f>
        <v>455.50822833641354</v>
      </c>
      <c r="EP99" s="62">
        <f t="shared" si="100"/>
        <v>261.14722581688039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3</v>
      </c>
      <c r="FE99" s="13">
        <f>IF('Données projet'!$A$218&gt;35,FE98+FD99-FM98,IF(A99&lt;'Données projet'!$A$218,$FB$205^A99,IF(A99='Données projet'!$A$218,'Données projet'!$B$218,FE98+FD99-FM98)))</f>
        <v>255</v>
      </c>
      <c r="FF99" s="18">
        <f>FE99*VLOOKUP('Données projet'!$B$16,Paramètres!$A$1:$I$89,3,0)*VLOOKUP('Données projet'!$B$16,Paramètres!$A$1:$I$89,5,0)</f>
        <v>222.76800000000003</v>
      </c>
      <c r="FG99" s="14">
        <f t="shared" si="101"/>
        <v>54.716058356609508</v>
      </c>
      <c r="FH99" s="22">
        <f t="shared" si="76"/>
        <v>483.28473497109491</v>
      </c>
      <c r="FI99" s="62">
        <f t="shared" si="77"/>
        <v>776.61806830442822</v>
      </c>
      <c r="FJ99" s="62">
        <f ca="1">AVERAGE(OFFSET($FI$3,0,0,'Données projet'!$E$16+1,1))-AVERAGE(OFFSET($H$3,0,0,'Données projet'!$E$16+1,1))</f>
        <v>369.34989412920129</v>
      </c>
      <c r="FK99" s="62">
        <f t="shared" si="102"/>
        <v>371.26234252426553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0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>
        <f>FZ99*VLOOKUP('Données projet'!$B$17,Paramètres!$A$1:$I$89,3,0)*VLOOKUP('Données projet'!$B$17,Paramètres!$A$1:$I$89,5,0)</f>
        <v>0</v>
      </c>
      <c r="GB99" s="14" t="e">
        <f t="shared" si="103"/>
        <v>#NUM!</v>
      </c>
      <c r="GC99" s="22" t="e">
        <f t="shared" si="79"/>
        <v>#NUM!</v>
      </c>
      <c r="GD99" s="62" t="e">
        <f t="shared" si="80"/>
        <v>#NUM!</v>
      </c>
      <c r="GE99" s="62">
        <f ca="1">AVERAGE(OFFSET($GD$3,0,0,'Données projet'!$E$17+1,1))-AVERAGE(OFFSET($H$3,0,0,'Données projet'!$E$17+1,1))</f>
        <v>324.4489531703187</v>
      </c>
      <c r="GF99" s="62">
        <f t="shared" si="104"/>
        <v>446.55019360848706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projet'!$B$17,Paramètres!$A$1:$I$89,3,0)*0.475*44/12</f>
        <v>0</v>
      </c>
      <c r="GM99" s="23">
        <f>EXP(-LN(2)/25)*GM98+(1-EXP(-LN(2)/25))/(LN(2)/25)*Calculateur!GH99*Calculateur!GJ99*VLOOKUP('Données projet'!$B$17,Paramètres!$A$1:$I$89,3,0)*0.475*44/12</f>
        <v>0</v>
      </c>
      <c r="GN99" s="23">
        <f>EXP(-LN(2)/2)*GN98+(1-EXP(-LN(2)/2))/(LN(2)/2)*GH99*GK99*VLOOKUP('Données projet'!$B$17,Paramètres!$A$1:$I$89,3,0)*0.475*44/12</f>
        <v>0</v>
      </c>
      <c r="GO99" s="23">
        <f t="shared" si="81"/>
        <v>0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3.5897435897435912</v>
      </c>
      <c r="GU99" s="13">
        <f>IF('Données projet'!$A$270&gt;35,GU98+GT99-HC98,IF(A99&lt;'Données projet'!$A$270,$GR$205^A99,IF(A99='Données projet'!$A$270,'Données projet'!$B$270,GU98+GT99-HC98)))</f>
        <v>293.33333333333348</v>
      </c>
      <c r="GV99" s="18">
        <f>GU99*VLOOKUP('Données projet'!$B$18,Paramètres!$A$1:$I$89,3,0)*VLOOKUP('Données projet'!$B$18,Paramètres!$A$1:$I$89,5,0)</f>
        <v>196.76800000000011</v>
      </c>
      <c r="GW99" s="14">
        <f t="shared" si="105"/>
        <v>49.033199854505597</v>
      </c>
      <c r="GX99" s="22">
        <f t="shared" si="82"/>
        <v>428.10375641326408</v>
      </c>
      <c r="GY99" s="62">
        <f t="shared" si="83"/>
        <v>721.43708974659739</v>
      </c>
      <c r="GZ99" s="62">
        <f ca="1">AVERAGE(OFFSET($GY$3,0,0,'Données projet'!$E$18+1,1))-AVERAGE(OFFSET($H$3,0,0,'Données projet'!$E$18+1,1))</f>
        <v>312.06797204903796</v>
      </c>
      <c r="HA99" s="62">
        <f t="shared" si="106"/>
        <v>258.20189001775151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>
        <f>EXP(-LN(2)/35)*HG98+(1-EXP(-LN(2)/35))/(LN(2)/35)*HC99*HD99*VLOOKUP('Données projet'!$B$18,Paramètres!$A$1:$I$89,3,0)*0.475*44/12</f>
        <v>0</v>
      </c>
      <c r="HH99" s="23">
        <f>EXP(-LN(2)/25)*HH98+(1-EXP(-LN(2)/25))/(LN(2)/25)*Calculateur!HC99*Calculateur!HE99*VLOOKUP('Données projet'!$B$18,Paramètres!$A$1:$I$89,3,0)*0.475*44/12</f>
        <v>0</v>
      </c>
      <c r="HI99" s="23">
        <f>EXP(-LN(2)/2)*HI98+(1-EXP(-LN(2)/2))/(LN(2)/2)*HC99*HF99*VLOOKUP('Données projet'!$B$18,Paramètres!$A$1:$I$89,3,0)*0.475*44/12</f>
        <v>0</v>
      </c>
      <c r="HJ99" s="24">
        <f t="shared" si="84"/>
        <v>0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5.9</v>
      </c>
      <c r="N100" s="14">
        <f>IF('Données projet'!$A$36&gt;35,N99+M100-V99,IF(A100&lt;'Données projet'!$A$36,$K$205^A100,IF(A100='Données projet'!$A$36,'Données projet'!$B$36,N99+M100-V99)))</f>
        <v>343.29999999999995</v>
      </c>
      <c r="O100" s="14">
        <f>N100*VLOOKUP('Données projet'!$B$9,Paramètres!$A$1:$I$89,3,0)*VLOOKUP('Données projet'!$B$9,Paramètres!$A$1:$I$89,5,0)</f>
        <v>310.61783999999994</v>
      </c>
      <c r="P100" s="14">
        <f t="shared" si="87"/>
        <v>73.397844798859666</v>
      </c>
      <c r="Q100" s="22">
        <f t="shared" si="107"/>
        <v>668.82731769134716</v>
      </c>
      <c r="R100" s="62">
        <f t="shared" si="55"/>
        <v>962.16065102468042</v>
      </c>
      <c r="S100" s="62">
        <f ca="1">AVERAGE(OFFSET($R$3,0,0,'Données projet'!$E$9+1,1))-AVERAGE(OFFSET($H$3,0,0,'Données projet'!$E$9+1,1))</f>
        <v>512.84819850818667</v>
      </c>
      <c r="T100" s="62">
        <f t="shared" si="88"/>
        <v>332.61387922152159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-5.6843418860808015E-14</v>
      </c>
      <c r="AJ100" s="14">
        <f>AI100*VLOOKUP('Données projet'!$B$10,Paramètres!$A$1:$I$89,3,0)*VLOOKUP('Données projet'!$B$10,Paramètres!$A$1:$I$89,5,0)</f>
        <v>-4.1677594708744434E-14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344.45199703750711</v>
      </c>
      <c r="AO100" s="62">
        <f t="shared" si="90"/>
        <v>376.41441893222185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5.9</v>
      </c>
      <c r="BD100" s="13">
        <f>IF('Données projet'!$A$88&gt;35,BD99+BC100-BL99,IF(A100&lt;'Données projet'!$A$88,$BA$205^A100,IF(A100='Données projet'!$A$88,'Données projet'!$B$88,BD99+BC100-BL99)))</f>
        <v>343.29999999999995</v>
      </c>
      <c r="BE100" s="14">
        <f>BD100*VLOOKUP('Données projet'!$B$11,Paramètres!$A$1:$I$89,3,0)*VLOOKUP('Données projet'!$B$11,Paramètres!$A$1:$I$89,5,0)</f>
        <v>348.1062</v>
      </c>
      <c r="BF100" s="14">
        <f t="shared" si="91"/>
        <v>81.172435101128713</v>
      </c>
      <c r="BG100" s="22">
        <f t="shared" si="61"/>
        <v>747.66028946779909</v>
      </c>
      <c r="BH100" s="62">
        <f t="shared" si="62"/>
        <v>1040.9936228011325</v>
      </c>
      <c r="BI100" s="62">
        <f ca="1">AVERAGE(OFFSET($BH$3,0,0,'Données projet'!$E$11+1,1))-AVERAGE(OFFSET($H$3,0,0,'Données projet'!$E$11+1,1))</f>
        <v>569.39473185784823</v>
      </c>
      <c r="BJ100" s="62">
        <f t="shared" si="92"/>
        <v>367.42881145517066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7.4</v>
      </c>
      <c r="BY100" s="13">
        <f>IF('Données projet'!$A$114&gt;35,BY99+BX100-CG99,IF(A100&lt;'Données projet'!$A$114,$BV$205^A100,IF(A100='Données projet'!$A$114,'Données projet'!$B$114,BY99+BX100-CG99)))</f>
        <v>402.79999999999995</v>
      </c>
      <c r="BZ100" s="14">
        <f>BY100*VLOOKUP('Données projet'!$B$12,Paramètres!$A$1:$I$89,3,0)*VLOOKUP('Données projet'!$B$12,Paramètres!$A$1:$I$89,5,0)</f>
        <v>345.60239999999999</v>
      </c>
      <c r="CA100" s="14">
        <f t="shared" si="93"/>
        <v>80.65633444731364</v>
      </c>
      <c r="CB100" s="22">
        <f t="shared" si="64"/>
        <v>742.40062916240447</v>
      </c>
      <c r="CC100" s="62">
        <f t="shared" si="65"/>
        <v>1035.7339624957378</v>
      </c>
      <c r="CD100" s="62">
        <f ca="1">AVERAGE(OFFSET($CC$3,0,0,'Données projet'!$E$12+1,1))-AVERAGE(OFFSET($H$3,0,0,'Données projet'!$E$12+1,1))</f>
        <v>554.06253050955502</v>
      </c>
      <c r="CE100" s="62">
        <f t="shared" si="94"/>
        <v>269.71949336355789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1.1368683772161603E-13</v>
      </c>
      <c r="CU100" s="18">
        <f>CT100*VLOOKUP('Données projet'!$B$13,Paramètres!$A$1:$I$89,3,0)*VLOOKUP('Données projet'!$B$13,Paramètres!$A$1:$I$89,5,0)</f>
        <v>8.8675733422860506E-14</v>
      </c>
      <c r="CV100" s="14">
        <f t="shared" si="95"/>
        <v>1.3509285393066301E-12</v>
      </c>
      <c r="CW100" s="22">
        <f t="shared" si="67"/>
        <v>2.5073107750038623E-12</v>
      </c>
      <c r="CX100" s="62">
        <f t="shared" si="68"/>
        <v>293.33333333333582</v>
      </c>
      <c r="CY100" s="62">
        <f ca="1">AVERAGE(OFFSET($CX$3,0,0,'Données projet'!$E$13+1,1))-AVERAGE(OFFSET($H$3,0,0,'Données projet'!$E$13+1,1))</f>
        <v>292.21364130214391</v>
      </c>
      <c r="CZ100" s="62">
        <f t="shared" si="96"/>
        <v>283.48738729114024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3.8461538461538511</v>
      </c>
      <c r="DO100" s="13">
        <f>IF('Données projet'!$A$166&gt;35,DO99+DN100-DW99,IF(A100&lt;'Données projet'!$A$166,$DL$205^A100,IF(A100='Données projet'!$A$166,'Données projet'!$B$166,DO99+DN100-DW99)))</f>
        <v>274.35897435897448</v>
      </c>
      <c r="DP100" s="18">
        <f>DO100*VLOOKUP('Données projet'!$B$14,Paramètres!$A$1:$I$89,3,0)*VLOOKUP('Données projet'!$B$14,Paramètres!$A$1:$I$89,5,0)</f>
        <v>261.0800000000001</v>
      </c>
      <c r="DQ100" s="14">
        <f t="shared" si="97"/>
        <v>62.95253474349343</v>
      </c>
      <c r="DR100" s="22">
        <f t="shared" si="70"/>
        <v>564.35666467825115</v>
      </c>
      <c r="DS100" s="62">
        <f t="shared" si="71"/>
        <v>857.68999801158452</v>
      </c>
      <c r="DT100" s="62">
        <f ca="1">AVERAGE(OFFSET($DS$3,0,0,'Données projet'!$E$14+1,1))-AVERAGE(OFFSET($H$3,0,0,'Données projet'!$E$14+1,1))</f>
        <v>427.47603885390191</v>
      </c>
      <c r="DU100" s="62">
        <f t="shared" si="98"/>
        <v>350.88664394632116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4.9000000000000004</v>
      </c>
      <c r="EJ100" s="13">
        <f>IF('Données projet'!$A$192&gt;35,EJ99+EI100-ER99,IF(A100&lt;'Données projet'!$A$192,$EG$205^A100,IF(A100='Données projet'!$A$192,'Données projet'!$B$192,EJ99+EI100-ER99)))</f>
        <v>288.2999999999999</v>
      </c>
      <c r="EK100" s="18">
        <f>EJ100*VLOOKUP('Données projet'!$B$15,Paramètres!$A$1:$I$89,3,0)*VLOOKUP('Données projet'!$B$15,Paramètres!$A$1:$I$89,5,0)</f>
        <v>278.84375999999992</v>
      </c>
      <c r="EL100" s="14">
        <f t="shared" si="99"/>
        <v>66.722603316177725</v>
      </c>
      <c r="EM100" s="22">
        <f t="shared" si="73"/>
        <v>601.86141610900938</v>
      </c>
      <c r="EN100" s="62">
        <f t="shared" si="74"/>
        <v>895.19474944234275</v>
      </c>
      <c r="EO100" s="62">
        <f ca="1">AVERAGE(OFFSET($EN$3,0,0,'Données projet'!$E$15+1,1))-AVERAGE(OFFSET($H$3,0,0,'Données projet'!$E$15+1,1))</f>
        <v>455.50822833641354</v>
      </c>
      <c r="EP100" s="62">
        <f t="shared" si="100"/>
        <v>261.14722581688039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3</v>
      </c>
      <c r="FE100" s="13">
        <f>IF('Données projet'!$A$218&gt;35,FE99+FD100-FM99,IF(A100&lt;'Données projet'!$A$218,$FB$205^A100,IF(A100='Données projet'!$A$218,'Données projet'!$B$218,FE99+FD100-FM99)))</f>
        <v>258</v>
      </c>
      <c r="FF100" s="18">
        <f>FE100*VLOOKUP('Données projet'!$B$16,Paramètres!$A$1:$I$89,3,0)*VLOOKUP('Données projet'!$B$16,Paramètres!$A$1:$I$89,5,0)</f>
        <v>225.38880000000003</v>
      </c>
      <c r="FG100" s="14">
        <f t="shared" si="101"/>
        <v>55.284460117161593</v>
      </c>
      <c r="FH100" s="22">
        <f t="shared" si="76"/>
        <v>488.83926137072314</v>
      </c>
      <c r="FI100" s="62">
        <f t="shared" si="77"/>
        <v>782.17259470405645</v>
      </c>
      <c r="FJ100" s="62">
        <f ca="1">AVERAGE(OFFSET($FI$3,0,0,'Données projet'!$E$16+1,1))-AVERAGE(OFFSET($H$3,0,0,'Données projet'!$E$16+1,1))</f>
        <v>369.34989412920129</v>
      </c>
      <c r="FK100" s="62">
        <f t="shared" si="102"/>
        <v>371.26234252426553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0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>
        <f>FZ100*VLOOKUP('Données projet'!$B$17,Paramètres!$A$1:$I$89,3,0)*VLOOKUP('Données projet'!$B$17,Paramètres!$A$1:$I$89,5,0)</f>
        <v>0</v>
      </c>
      <c r="GB100" s="14" t="e">
        <f t="shared" si="103"/>
        <v>#NUM!</v>
      </c>
      <c r="GC100" s="22" t="e">
        <f t="shared" si="79"/>
        <v>#NUM!</v>
      </c>
      <c r="GD100" s="62" t="e">
        <f t="shared" si="80"/>
        <v>#NUM!</v>
      </c>
      <c r="GE100" s="62">
        <f ca="1">AVERAGE(OFFSET($GD$3,0,0,'Données projet'!$E$17+1,1))-AVERAGE(OFFSET($H$3,0,0,'Données projet'!$E$17+1,1))</f>
        <v>324.4489531703187</v>
      </c>
      <c r="GF100" s="62">
        <f t="shared" si="104"/>
        <v>446.55019360848706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projet'!$B$17,Paramètres!$A$1:$I$89,3,0)*0.475*44/12</f>
        <v>0</v>
      </c>
      <c r="GM100" s="23">
        <f>EXP(-LN(2)/25)*GM99+(1-EXP(-LN(2)/25))/(LN(2)/25)*Calculateur!GH100*Calculateur!GJ100*VLOOKUP('Données projet'!$B$17,Paramètres!$A$1:$I$89,3,0)*0.475*44/12</f>
        <v>0</v>
      </c>
      <c r="GN100" s="23">
        <f>EXP(-LN(2)/2)*GN99+(1-EXP(-LN(2)/2))/(LN(2)/2)*GH100*GK100*VLOOKUP('Données projet'!$B$17,Paramètres!$A$1:$I$89,3,0)*0.475*44/12</f>
        <v>0</v>
      </c>
      <c r="GO100" s="23">
        <f t="shared" si="81"/>
        <v>0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3.5897435897435912</v>
      </c>
      <c r="GU100" s="13">
        <f>IF('Données projet'!$A$270&gt;35,GU99+GT100-HC99,IF(A100&lt;'Données projet'!$A$270,$GR$205^A100,IF(A100='Données projet'!$A$270,'Données projet'!$B$270,GU99+GT100-HC99)))</f>
        <v>296.92307692307708</v>
      </c>
      <c r="GV100" s="18">
        <f>GU100*VLOOKUP('Données projet'!$B$18,Paramètres!$A$1:$I$89,3,0)*VLOOKUP('Données projet'!$B$18,Paramètres!$A$1:$I$89,5,0)</f>
        <v>199.1760000000001</v>
      </c>
      <c r="GW100" s="14">
        <f t="shared" si="105"/>
        <v>49.563033976114944</v>
      </c>
      <c r="GX100" s="22">
        <f t="shared" si="82"/>
        <v>433.22048417506704</v>
      </c>
      <c r="GY100" s="62">
        <f t="shared" si="83"/>
        <v>726.55381750840036</v>
      </c>
      <c r="GZ100" s="62">
        <f ca="1">AVERAGE(OFFSET($GY$3,0,0,'Données projet'!$E$18+1,1))-AVERAGE(OFFSET($H$3,0,0,'Données projet'!$E$18+1,1))</f>
        <v>312.06797204903796</v>
      </c>
      <c r="HA100" s="62">
        <f t="shared" si="106"/>
        <v>258.20189001775151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>
        <f>EXP(-LN(2)/35)*HG99+(1-EXP(-LN(2)/35))/(LN(2)/35)*HC100*HD100*VLOOKUP('Données projet'!$B$18,Paramètres!$A$1:$I$89,3,0)*0.475*44/12</f>
        <v>0</v>
      </c>
      <c r="HH100" s="23">
        <f>EXP(-LN(2)/25)*HH99+(1-EXP(-LN(2)/25))/(LN(2)/25)*Calculateur!HC100*Calculateur!HE100*VLOOKUP('Données projet'!$B$18,Paramètres!$A$1:$I$89,3,0)*0.475*44/12</f>
        <v>0</v>
      </c>
      <c r="HI100" s="23">
        <f>EXP(-LN(2)/2)*HI99+(1-EXP(-LN(2)/2))/(LN(2)/2)*HC100*HF100*VLOOKUP('Données projet'!$B$18,Paramètres!$A$1:$I$89,3,0)*0.475*44/12</f>
        <v>0</v>
      </c>
      <c r="HJ100" s="24">
        <f t="shared" si="84"/>
        <v>0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5.9</v>
      </c>
      <c r="N101" s="14">
        <f>IF('Données projet'!$A$36&gt;35,N100+M101-V100,IF(A101&lt;'Données projet'!$A$36,$K$205^A101,IF(A101='Données projet'!$A$36,'Données projet'!$B$36,N100+M101-V100)))</f>
        <v>349.19999999999993</v>
      </c>
      <c r="O101" s="14">
        <f>N101*VLOOKUP('Données projet'!$B$9,Paramètres!$A$1:$I$89,3,0)*VLOOKUP('Données projet'!$B$9,Paramètres!$A$1:$I$89,5,0)</f>
        <v>315.9561599999999</v>
      </c>
      <c r="P101" s="14">
        <f t="shared" si="87"/>
        <v>74.511332350300975</v>
      </c>
      <c r="Q101" s="22">
        <f t="shared" si="107"/>
        <v>680.06421584344059</v>
      </c>
      <c r="R101" s="62">
        <f t="shared" si="55"/>
        <v>973.39754917677396</v>
      </c>
      <c r="S101" s="62">
        <f ca="1">AVERAGE(OFFSET($R$3,0,0,'Données projet'!$E$9+1,1))-AVERAGE(OFFSET($H$3,0,0,'Données projet'!$E$9+1,1))</f>
        <v>512.84819850818667</v>
      </c>
      <c r="T101" s="62">
        <f t="shared" si="88"/>
        <v>332.61387922152159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-5.6843418860808015E-14</v>
      </c>
      <c r="AJ101" s="14">
        <f>AI101*VLOOKUP('Données projet'!$B$10,Paramètres!$A$1:$I$89,3,0)*VLOOKUP('Données projet'!$B$10,Paramètres!$A$1:$I$89,5,0)</f>
        <v>-4.1677594708744434E-14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344.45199703750711</v>
      </c>
      <c r="AO101" s="62">
        <f t="shared" si="90"/>
        <v>376.41441893222185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5.9</v>
      </c>
      <c r="BD101" s="13">
        <f>IF('Données projet'!$A$88&gt;35,BD100+BC101-BL100,IF(A101&lt;'Données projet'!$A$88,$BA$205^A101,IF(A101='Données projet'!$A$88,'Données projet'!$B$88,BD100+BC101-BL100)))</f>
        <v>349.19999999999993</v>
      </c>
      <c r="BE101" s="14">
        <f>BD101*VLOOKUP('Données projet'!$B$11,Paramètres!$A$1:$I$89,3,0)*VLOOKUP('Données projet'!$B$11,Paramètres!$A$1:$I$89,5,0)</f>
        <v>354.08879999999994</v>
      </c>
      <c r="BF101" s="14">
        <f t="shared" si="91"/>
        <v>82.403867662302346</v>
      </c>
      <c r="BG101" s="22">
        <f t="shared" si="61"/>
        <v>760.22472951184307</v>
      </c>
      <c r="BH101" s="62">
        <f t="shared" si="62"/>
        <v>1053.5580628451764</v>
      </c>
      <c r="BI101" s="62">
        <f ca="1">AVERAGE(OFFSET($BH$3,0,0,'Données projet'!$E$11+1,1))-AVERAGE(OFFSET($H$3,0,0,'Données projet'!$E$11+1,1))</f>
        <v>569.39473185784823</v>
      </c>
      <c r="BJ101" s="62">
        <f t="shared" si="92"/>
        <v>367.42881145517066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7.4</v>
      </c>
      <c r="BY101" s="13">
        <f>IF('Données projet'!$A$114&gt;35,BY100+BX101-CG100,IF(A101&lt;'Données projet'!$A$114,$BV$205^A101,IF(A101='Données projet'!$A$114,'Données projet'!$B$114,BY100+BX101-CG100)))</f>
        <v>410.19999999999993</v>
      </c>
      <c r="BZ101" s="14">
        <f>BY101*VLOOKUP('Données projet'!$B$12,Paramètres!$A$1:$I$89,3,0)*VLOOKUP('Données projet'!$B$12,Paramètres!$A$1:$I$89,5,0)</f>
        <v>351.95159999999998</v>
      </c>
      <c r="CA101" s="14">
        <f t="shared" si="93"/>
        <v>81.964235805058038</v>
      </c>
      <c r="CB101" s="22">
        <f t="shared" si="64"/>
        <v>755.73674736047599</v>
      </c>
      <c r="CC101" s="62">
        <f t="shared" si="65"/>
        <v>1049.0700806938094</v>
      </c>
      <c r="CD101" s="62">
        <f ca="1">AVERAGE(OFFSET($CC$3,0,0,'Données projet'!$E$12+1,1))-AVERAGE(OFFSET($H$3,0,0,'Données projet'!$E$12+1,1))</f>
        <v>554.06253050955502</v>
      </c>
      <c r="CE101" s="62">
        <f t="shared" si="94"/>
        <v>269.71949336355789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1.1368683772161603E-13</v>
      </c>
      <c r="CU101" s="18">
        <f>CT101*VLOOKUP('Données projet'!$B$13,Paramètres!$A$1:$I$89,3,0)*VLOOKUP('Données projet'!$B$13,Paramètres!$A$1:$I$89,5,0)</f>
        <v>8.8675733422860506E-14</v>
      </c>
      <c r="CV101" s="14">
        <f t="shared" si="95"/>
        <v>1.3509285393066301E-12</v>
      </c>
      <c r="CW101" s="22">
        <f t="shared" si="67"/>
        <v>2.5073107750038623E-12</v>
      </c>
      <c r="CX101" s="62">
        <f t="shared" si="68"/>
        <v>293.33333333333582</v>
      </c>
      <c r="CY101" s="62">
        <f ca="1">AVERAGE(OFFSET($CX$3,0,0,'Données projet'!$E$13+1,1))-AVERAGE(OFFSET($H$3,0,0,'Données projet'!$E$13+1,1))</f>
        <v>292.21364130214391</v>
      </c>
      <c r="CZ101" s="62">
        <f t="shared" si="96"/>
        <v>283.48738729114024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3.8461538461538511</v>
      </c>
      <c r="DO101" s="13">
        <f>IF('Données projet'!$A$166&gt;35,DO100+DN101-DW100,IF(A101&lt;'Données projet'!$A$166,$DL$205^A101,IF(A101='Données projet'!$A$166,'Données projet'!$B$166,DO100+DN101-DW100)))</f>
        <v>278.20512820512835</v>
      </c>
      <c r="DP101" s="18">
        <f>DO101*VLOOKUP('Données projet'!$B$14,Paramètres!$A$1:$I$89,3,0)*VLOOKUP('Données projet'!$B$14,Paramètres!$A$1:$I$89,5,0)</f>
        <v>264.74000000000012</v>
      </c>
      <c r="DQ101" s="14">
        <f t="shared" si="97"/>
        <v>63.731689571572772</v>
      </c>
      <c r="DR101" s="22">
        <f t="shared" si="70"/>
        <v>572.08819267048932</v>
      </c>
      <c r="DS101" s="62">
        <f t="shared" si="71"/>
        <v>865.42152600382269</v>
      </c>
      <c r="DT101" s="62">
        <f ca="1">AVERAGE(OFFSET($DS$3,0,0,'Données projet'!$E$14+1,1))-AVERAGE(OFFSET($H$3,0,0,'Données projet'!$E$14+1,1))</f>
        <v>427.47603885390191</v>
      </c>
      <c r="DU101" s="62">
        <f t="shared" si="98"/>
        <v>350.88664394632116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4.9000000000000004</v>
      </c>
      <c r="EJ101" s="13">
        <f>IF('Données projet'!$A$192&gt;35,EJ100+EI101-ER100,IF(A101&lt;'Données projet'!$A$192,$EG$205^A101,IF(A101='Données projet'!$A$192,'Données projet'!$B$192,EJ100+EI101-ER100)))</f>
        <v>293.19999999999987</v>
      </c>
      <c r="EK101" s="18">
        <f>EJ101*VLOOKUP('Données projet'!$B$15,Paramètres!$A$1:$I$89,3,0)*VLOOKUP('Données projet'!$B$15,Paramètres!$A$1:$I$89,5,0)</f>
        <v>283.58303999999993</v>
      </c>
      <c r="EL101" s="14">
        <f t="shared" si="99"/>
        <v>67.723646968605209</v>
      </c>
      <c r="EM101" s="22">
        <f t="shared" si="73"/>
        <v>611.85914647032064</v>
      </c>
      <c r="EN101" s="62">
        <f t="shared" si="74"/>
        <v>905.1924798036539</v>
      </c>
      <c r="EO101" s="62">
        <f ca="1">AVERAGE(OFFSET($EN$3,0,0,'Données projet'!$E$15+1,1))-AVERAGE(OFFSET($H$3,0,0,'Données projet'!$E$15+1,1))</f>
        <v>455.50822833641354</v>
      </c>
      <c r="EP101" s="62">
        <f t="shared" si="100"/>
        <v>261.14722581688039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3</v>
      </c>
      <c r="FE101" s="13">
        <f>IF('Données projet'!$A$218&gt;35,FE100+FD101-FM100,IF(A101&lt;'Données projet'!$A$218,$FB$205^A101,IF(A101='Données projet'!$A$218,'Données projet'!$B$218,FE100+FD101-FM100)))</f>
        <v>261</v>
      </c>
      <c r="FF101" s="18">
        <f>FE101*VLOOKUP('Données projet'!$B$16,Paramètres!$A$1:$I$89,3,0)*VLOOKUP('Données projet'!$B$16,Paramètres!$A$1:$I$89,5,0)</f>
        <v>228.00960000000003</v>
      </c>
      <c r="FG101" s="14">
        <f t="shared" si="101"/>
        <v>55.852093054619829</v>
      </c>
      <c r="FH101" s="22">
        <f t="shared" si="76"/>
        <v>494.39244873679627</v>
      </c>
      <c r="FI101" s="62">
        <f t="shared" si="77"/>
        <v>787.72578207012953</v>
      </c>
      <c r="FJ101" s="62">
        <f ca="1">AVERAGE(OFFSET($FI$3,0,0,'Données projet'!$E$16+1,1))-AVERAGE(OFFSET($H$3,0,0,'Données projet'!$E$16+1,1))</f>
        <v>369.34989412920129</v>
      </c>
      <c r="FK101" s="62">
        <f t="shared" si="102"/>
        <v>371.26234252426553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0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>
        <f>FZ101*VLOOKUP('Données projet'!$B$17,Paramètres!$A$1:$I$89,3,0)*VLOOKUP('Données projet'!$B$17,Paramètres!$A$1:$I$89,5,0)</f>
        <v>0</v>
      </c>
      <c r="GB101" s="14" t="e">
        <f t="shared" si="103"/>
        <v>#NUM!</v>
      </c>
      <c r="GC101" s="22" t="e">
        <f t="shared" si="79"/>
        <v>#NUM!</v>
      </c>
      <c r="GD101" s="62" t="e">
        <f t="shared" si="80"/>
        <v>#NUM!</v>
      </c>
      <c r="GE101" s="62">
        <f ca="1">AVERAGE(OFFSET($GD$3,0,0,'Données projet'!$E$17+1,1))-AVERAGE(OFFSET($H$3,0,0,'Données projet'!$E$17+1,1))</f>
        <v>324.4489531703187</v>
      </c>
      <c r="GF101" s="62">
        <f t="shared" si="104"/>
        <v>446.55019360848706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projet'!$B$17,Paramètres!$A$1:$I$89,3,0)*0.475*44/12</f>
        <v>0</v>
      </c>
      <c r="GM101" s="23">
        <f>EXP(-LN(2)/25)*GM100+(1-EXP(-LN(2)/25))/(LN(2)/25)*Calculateur!GH101*Calculateur!GJ101*VLOOKUP('Données projet'!$B$17,Paramètres!$A$1:$I$89,3,0)*0.475*44/12</f>
        <v>0</v>
      </c>
      <c r="GN101" s="23">
        <f>EXP(-LN(2)/2)*GN100+(1-EXP(-LN(2)/2))/(LN(2)/2)*GH101*GK101*VLOOKUP('Données projet'!$B$17,Paramètres!$A$1:$I$89,3,0)*0.475*44/12</f>
        <v>0</v>
      </c>
      <c r="GO101" s="23">
        <f t="shared" si="81"/>
        <v>0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3.5897435897435912</v>
      </c>
      <c r="GU101" s="13">
        <f>IF('Données projet'!$A$270&gt;35,GU100+GT101-HC100,IF(A101&lt;'Données projet'!$A$270,$GR$205^A101,IF(A101='Données projet'!$A$270,'Données projet'!$B$270,GU100+GT101-HC100)))</f>
        <v>300.51282051282067</v>
      </c>
      <c r="GV101" s="18">
        <f>GU101*VLOOKUP('Données projet'!$B$18,Paramètres!$A$1:$I$89,3,0)*VLOOKUP('Données projet'!$B$18,Paramètres!$A$1:$I$89,5,0)</f>
        <v>201.58400000000009</v>
      </c>
      <c r="GW101" s="14">
        <f t="shared" si="105"/>
        <v>50.092122991789054</v>
      </c>
      <c r="GX101" s="22">
        <f t="shared" si="82"/>
        <v>438.33591421069946</v>
      </c>
      <c r="GY101" s="62">
        <f t="shared" si="83"/>
        <v>731.66924754403271</v>
      </c>
      <c r="GZ101" s="62">
        <f ca="1">AVERAGE(OFFSET($GY$3,0,0,'Données projet'!$E$18+1,1))-AVERAGE(OFFSET($H$3,0,0,'Données projet'!$E$18+1,1))</f>
        <v>312.06797204903796</v>
      </c>
      <c r="HA101" s="62">
        <f t="shared" si="106"/>
        <v>258.20189001775151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>
        <f>EXP(-LN(2)/35)*HG100+(1-EXP(-LN(2)/35))/(LN(2)/35)*HC101*HD101*VLOOKUP('Données projet'!$B$18,Paramètres!$A$1:$I$89,3,0)*0.475*44/12</f>
        <v>0</v>
      </c>
      <c r="HH101" s="23">
        <f>EXP(-LN(2)/25)*HH100+(1-EXP(-LN(2)/25))/(LN(2)/25)*Calculateur!HC101*Calculateur!HE101*VLOOKUP('Données projet'!$B$18,Paramètres!$A$1:$I$89,3,0)*0.475*44/12</f>
        <v>0</v>
      </c>
      <c r="HI101" s="23">
        <f>EXP(-LN(2)/2)*HI100+(1-EXP(-LN(2)/2))/(LN(2)/2)*HC101*HF101*VLOOKUP('Données projet'!$B$18,Paramètres!$A$1:$I$89,3,0)*0.475*44/12</f>
        <v>0</v>
      </c>
      <c r="HJ101" s="24">
        <f t="shared" si="84"/>
        <v>0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5.9</v>
      </c>
      <c r="N102" s="14">
        <f>IF('Données projet'!$A$36&gt;35,N101+M102-V101,IF(A102&lt;'Données projet'!$A$36,$K$205^A102,IF(A102='Données projet'!$A$36,'Données projet'!$B$36,N101+M102-V101)))</f>
        <v>355.09999999999991</v>
      </c>
      <c r="O102" s="14">
        <f>N102*VLOOKUP('Données projet'!$B$9,Paramètres!$A$1:$I$89,3,0)*VLOOKUP('Données projet'!$B$9,Paramètres!$A$1:$I$89,5,0)</f>
        <v>321.29447999999991</v>
      </c>
      <c r="P102" s="14">
        <f t="shared" si="87"/>
        <v>75.622632084792471</v>
      </c>
      <c r="Q102" s="22">
        <f t="shared" si="107"/>
        <v>691.29730354767992</v>
      </c>
      <c r="R102" s="62">
        <f t="shared" si="55"/>
        <v>984.63063688101329</v>
      </c>
      <c r="S102" s="62">
        <f ca="1">AVERAGE(OFFSET($R$3,0,0,'Données projet'!$E$9+1,1))-AVERAGE(OFFSET($H$3,0,0,'Données projet'!$E$9+1,1))</f>
        <v>512.84819850818667</v>
      </c>
      <c r="T102" s="62">
        <f t="shared" si="88"/>
        <v>332.61387922152159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-5.6843418860808015E-14</v>
      </c>
      <c r="AJ102" s="14">
        <f>AI102*VLOOKUP('Données projet'!$B$10,Paramètres!$A$1:$I$89,3,0)*VLOOKUP('Données projet'!$B$10,Paramètres!$A$1:$I$89,5,0)</f>
        <v>-4.1677594708744434E-14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344.45199703750711</v>
      </c>
      <c r="AO102" s="62">
        <f t="shared" si="90"/>
        <v>376.41441893222185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5.9</v>
      </c>
      <c r="BD102" s="13">
        <f>IF('Données projet'!$A$88&gt;35,BD101+BC102-BL101,IF(A102&lt;'Données projet'!$A$88,$BA$205^A102,IF(A102='Données projet'!$A$88,'Données projet'!$B$88,BD101+BC102-BL101)))</f>
        <v>355.09999999999991</v>
      </c>
      <c r="BE102" s="14">
        <f>BD102*VLOOKUP('Données projet'!$B$11,Paramètres!$A$1:$I$89,3,0)*VLOOKUP('Données projet'!$B$11,Paramètres!$A$1:$I$89,5,0)</f>
        <v>360.07139999999993</v>
      </c>
      <c r="BF102" s="14">
        <f t="shared" si="91"/>
        <v>83.632880664293282</v>
      </c>
      <c r="BG102" s="22">
        <f t="shared" si="61"/>
        <v>772.78495549031061</v>
      </c>
      <c r="BH102" s="62">
        <f t="shared" si="62"/>
        <v>1066.118288823644</v>
      </c>
      <c r="BI102" s="62">
        <f ca="1">AVERAGE(OFFSET($BH$3,0,0,'Données projet'!$E$11+1,1))-AVERAGE(OFFSET($H$3,0,0,'Données projet'!$E$11+1,1))</f>
        <v>569.39473185784823</v>
      </c>
      <c r="BJ102" s="62">
        <f t="shared" si="92"/>
        <v>367.42881145517066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7.4</v>
      </c>
      <c r="BY102" s="13">
        <f>IF('Données projet'!$A$114&gt;35,BY101+BX102-CG101,IF(A102&lt;'Données projet'!$A$114,$BV$205^A102,IF(A102='Données projet'!$A$114,'Données projet'!$B$114,BY101+BX102-CG101)))</f>
        <v>417.59999999999991</v>
      </c>
      <c r="BZ102" s="14">
        <f>BY102*VLOOKUP('Données projet'!$B$12,Paramètres!$A$1:$I$89,3,0)*VLOOKUP('Données projet'!$B$12,Paramètres!$A$1:$I$89,5,0)</f>
        <v>358.30079999999998</v>
      </c>
      <c r="CA102" s="14">
        <f t="shared" si="93"/>
        <v>83.269393485435742</v>
      </c>
      <c r="CB102" s="22">
        <f t="shared" si="64"/>
        <v>769.06808698713382</v>
      </c>
      <c r="CC102" s="62">
        <f t="shared" si="65"/>
        <v>1062.4014203204672</v>
      </c>
      <c r="CD102" s="62">
        <f ca="1">AVERAGE(OFFSET($CC$3,0,0,'Données projet'!$E$12+1,1))-AVERAGE(OFFSET($H$3,0,0,'Données projet'!$E$12+1,1))</f>
        <v>554.06253050955502</v>
      </c>
      <c r="CE102" s="62">
        <f t="shared" si="94"/>
        <v>269.71949336355789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1.1368683772161603E-13</v>
      </c>
      <c r="CU102" s="18">
        <f>CT102*VLOOKUP('Données projet'!$B$13,Paramètres!$A$1:$I$89,3,0)*VLOOKUP('Données projet'!$B$13,Paramètres!$A$1:$I$89,5,0)</f>
        <v>8.8675733422860506E-14</v>
      </c>
      <c r="CV102" s="14">
        <f t="shared" si="95"/>
        <v>1.3509285393066301E-12</v>
      </c>
      <c r="CW102" s="22">
        <f t="shared" si="67"/>
        <v>2.5073107750038623E-12</v>
      </c>
      <c r="CX102" s="62">
        <f t="shared" si="68"/>
        <v>293.33333333333582</v>
      </c>
      <c r="CY102" s="62">
        <f ca="1">AVERAGE(OFFSET($CX$3,0,0,'Données projet'!$E$13+1,1))-AVERAGE(OFFSET($H$3,0,0,'Données projet'!$E$13+1,1))</f>
        <v>292.21364130214391</v>
      </c>
      <c r="CZ102" s="62">
        <f t="shared" si="96"/>
        <v>283.48738729114024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3.8461538461538511</v>
      </c>
      <c r="DO102" s="13">
        <f>IF('Données projet'!$A$166&gt;35,DO101+DN102-DW101,IF(A102&lt;'Données projet'!$A$166,$DL$205^A102,IF(A102='Données projet'!$A$166,'Données projet'!$B$166,DO101+DN102-DW101)))</f>
        <v>282.05128205128221</v>
      </c>
      <c r="DP102" s="18">
        <f>DO102*VLOOKUP('Données projet'!$B$14,Paramètres!$A$1:$I$89,3,0)*VLOOKUP('Données projet'!$B$14,Paramètres!$A$1:$I$89,5,0)</f>
        <v>268.40000000000015</v>
      </c>
      <c r="DQ102" s="14">
        <f t="shared" si="97"/>
        <v>64.509591536876769</v>
      </c>
      <c r="DR102" s="22">
        <f t="shared" si="70"/>
        <v>579.81753859339392</v>
      </c>
      <c r="DS102" s="62">
        <f t="shared" si="71"/>
        <v>873.15087192672718</v>
      </c>
      <c r="DT102" s="62">
        <f ca="1">AVERAGE(OFFSET($DS$3,0,0,'Données projet'!$E$14+1,1))-AVERAGE(OFFSET($H$3,0,0,'Données projet'!$E$14+1,1))</f>
        <v>427.47603885390191</v>
      </c>
      <c r="DU102" s="62">
        <f t="shared" si="98"/>
        <v>350.88664394632116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4.9000000000000004</v>
      </c>
      <c r="EJ102" s="13">
        <f>IF('Données projet'!$A$192&gt;35,EJ101+EI102-ER101,IF(A102&lt;'Données projet'!$A$192,$EG$205^A102,IF(A102='Données projet'!$A$192,'Données projet'!$B$192,EJ101+EI102-ER101)))</f>
        <v>298.09999999999985</v>
      </c>
      <c r="EK102" s="18">
        <f>EJ102*VLOOKUP('Données projet'!$B$15,Paramètres!$A$1:$I$89,3,0)*VLOOKUP('Données projet'!$B$15,Paramètres!$A$1:$I$89,5,0)</f>
        <v>288.32231999999988</v>
      </c>
      <c r="EL102" s="14">
        <f t="shared" si="99"/>
        <v>68.722745094590621</v>
      </c>
      <c r="EM102" s="22">
        <f t="shared" si="73"/>
        <v>621.85348837307845</v>
      </c>
      <c r="EN102" s="62">
        <f t="shared" si="74"/>
        <v>915.18682170641182</v>
      </c>
      <c r="EO102" s="62">
        <f ca="1">AVERAGE(OFFSET($EN$3,0,0,'Données projet'!$E$15+1,1))-AVERAGE(OFFSET($H$3,0,0,'Données projet'!$E$15+1,1))</f>
        <v>455.50822833641354</v>
      </c>
      <c r="EP102" s="62">
        <f t="shared" si="100"/>
        <v>261.14722581688039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3</v>
      </c>
      <c r="FE102" s="13">
        <f>IF('Données projet'!$A$218&gt;35,FE101+FD102-FM101,IF(A102&lt;'Données projet'!$A$218,$FB$205^A102,IF(A102='Données projet'!$A$218,'Données projet'!$B$218,FE101+FD102-FM101)))</f>
        <v>264</v>
      </c>
      <c r="FF102" s="18">
        <f>FE102*VLOOKUP('Données projet'!$B$16,Paramètres!$A$1:$I$89,3,0)*VLOOKUP('Données projet'!$B$16,Paramètres!$A$1:$I$89,5,0)</f>
        <v>230.63040000000001</v>
      </c>
      <c r="FG102" s="14">
        <f t="shared" si="101"/>
        <v>56.418967028503253</v>
      </c>
      <c r="FH102" s="22">
        <f t="shared" si="76"/>
        <v>499.94431424130977</v>
      </c>
      <c r="FI102" s="62">
        <f t="shared" si="77"/>
        <v>793.27764757464308</v>
      </c>
      <c r="FJ102" s="62">
        <f ca="1">AVERAGE(OFFSET($FI$3,0,0,'Données projet'!$E$16+1,1))-AVERAGE(OFFSET($H$3,0,0,'Données projet'!$E$16+1,1))</f>
        <v>369.34989412920129</v>
      </c>
      <c r="FK102" s="62">
        <f t="shared" si="102"/>
        <v>371.26234252426553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0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>
        <f>FZ102*VLOOKUP('Données projet'!$B$17,Paramètres!$A$1:$I$89,3,0)*VLOOKUP('Données projet'!$B$17,Paramètres!$A$1:$I$89,5,0)</f>
        <v>0</v>
      </c>
      <c r="GB102" s="14" t="e">
        <f t="shared" si="103"/>
        <v>#NUM!</v>
      </c>
      <c r="GC102" s="22" t="e">
        <f t="shared" si="79"/>
        <v>#NUM!</v>
      </c>
      <c r="GD102" s="62" t="e">
        <f t="shared" si="80"/>
        <v>#NUM!</v>
      </c>
      <c r="GE102" s="62">
        <f ca="1">AVERAGE(OFFSET($GD$3,0,0,'Données projet'!$E$17+1,1))-AVERAGE(OFFSET($H$3,0,0,'Données projet'!$E$17+1,1))</f>
        <v>324.4489531703187</v>
      </c>
      <c r="GF102" s="62">
        <f t="shared" si="104"/>
        <v>446.55019360848706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projet'!$B$17,Paramètres!$A$1:$I$89,3,0)*0.475*44/12</f>
        <v>0</v>
      </c>
      <c r="GM102" s="23">
        <f>EXP(-LN(2)/25)*GM101+(1-EXP(-LN(2)/25))/(LN(2)/25)*Calculateur!GH102*Calculateur!GJ102*VLOOKUP('Données projet'!$B$17,Paramètres!$A$1:$I$89,3,0)*0.475*44/12</f>
        <v>0</v>
      </c>
      <c r="GN102" s="23">
        <f>EXP(-LN(2)/2)*GN101+(1-EXP(-LN(2)/2))/(LN(2)/2)*GH102*GK102*VLOOKUP('Données projet'!$B$17,Paramètres!$A$1:$I$89,3,0)*0.475*44/12</f>
        <v>0</v>
      </c>
      <c r="GO102" s="23">
        <f t="shared" si="81"/>
        <v>0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3.5897435897435912</v>
      </c>
      <c r="GU102" s="13">
        <f>IF('Données projet'!$A$270&gt;35,GU101+GT102-HC101,IF(A102&lt;'Données projet'!$A$270,$GR$205^A102,IF(A102='Données projet'!$A$270,'Données projet'!$B$270,GU101+GT102-HC101)))</f>
        <v>304.10256410256426</v>
      </c>
      <c r="GV102" s="18">
        <f>GU102*VLOOKUP('Données projet'!$B$18,Paramètres!$A$1:$I$89,3,0)*VLOOKUP('Données projet'!$B$18,Paramètres!$A$1:$I$89,5,0)</f>
        <v>203.99200000000013</v>
      </c>
      <c r="GW102" s="14">
        <f t="shared" si="105"/>
        <v>50.620476831708423</v>
      </c>
      <c r="GX102" s="22">
        <f t="shared" si="82"/>
        <v>443.45006381522575</v>
      </c>
      <c r="GY102" s="62">
        <f t="shared" si="83"/>
        <v>736.78339714855906</v>
      </c>
      <c r="GZ102" s="62">
        <f ca="1">AVERAGE(OFFSET($GY$3,0,0,'Données projet'!$E$18+1,1))-AVERAGE(OFFSET($H$3,0,0,'Données projet'!$E$18+1,1))</f>
        <v>312.06797204903796</v>
      </c>
      <c r="HA102" s="62">
        <f t="shared" si="106"/>
        <v>258.20189001775151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>
        <f>EXP(-LN(2)/35)*HG101+(1-EXP(-LN(2)/35))/(LN(2)/35)*HC102*HD102*VLOOKUP('Données projet'!$B$18,Paramètres!$A$1:$I$89,3,0)*0.475*44/12</f>
        <v>0</v>
      </c>
      <c r="HH102" s="23">
        <f>EXP(-LN(2)/25)*HH101+(1-EXP(-LN(2)/25))/(LN(2)/25)*Calculateur!HC102*Calculateur!HE102*VLOOKUP('Données projet'!$B$18,Paramètres!$A$1:$I$89,3,0)*0.475*44/12</f>
        <v>0</v>
      </c>
      <c r="HI102" s="23">
        <f>EXP(-LN(2)/2)*HI101+(1-EXP(-LN(2)/2))/(LN(2)/2)*HC102*HF102*VLOOKUP('Données projet'!$B$18,Paramètres!$A$1:$I$89,3,0)*0.475*44/12</f>
        <v>0</v>
      </c>
      <c r="HJ102" s="24">
        <f t="shared" si="84"/>
        <v>0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361</v>
      </c>
      <c r="L103" s="13">
        <f>VLOOKUP(A103,'Données projet'!$A$35:$I$55,9,0)</f>
        <v>5.9</v>
      </c>
      <c r="M103" s="13">
        <f t="array" ref="M103">INDEX(L:L,MIN(IF(ISNUMBER(L103:L299),ROW(L103:L299),"")))</f>
        <v>5.9</v>
      </c>
      <c r="N103" s="14">
        <f>IF('Données projet'!$A$36&gt;35,N102+M103-V102,IF(A103&lt;'Données projet'!$A$36,$K$205^A103,IF(A103='Données projet'!$A$36,'Données projet'!$B$36,N102+M103-V102)))</f>
        <v>360.99999999999989</v>
      </c>
      <c r="O103" s="14">
        <f>N103*VLOOKUP('Données projet'!$B$9,Paramètres!$A$1:$I$89,3,0)*VLOOKUP('Données projet'!$B$9,Paramètres!$A$1:$I$89,5,0)</f>
        <v>326.63279999999986</v>
      </c>
      <c r="P103" s="14">
        <f t="shared" si="87"/>
        <v>76.731784548754774</v>
      </c>
      <c r="Q103" s="22">
        <f t="shared" si="107"/>
        <v>702.52665142241437</v>
      </c>
      <c r="R103" s="62">
        <f t="shared" si="55"/>
        <v>995.85998475574775</v>
      </c>
      <c r="S103" s="62">
        <f ca="1">AVERAGE(OFFSET($R$3,0,0,'Données projet'!$E$9+1,1))-AVERAGE(OFFSET($H$3,0,0,'Données projet'!$E$9+1,1))</f>
        <v>512.84819850818667</v>
      </c>
      <c r="T103" s="62">
        <f t="shared" si="88"/>
        <v>332.61387922152159</v>
      </c>
      <c r="U103" s="16">
        <f>IF(ISNA(VLOOKUP(A103,'Données projet'!$A$35:$I$55,3,0)),0,VLOOKUP(A103,'Données projet'!$A$35:$I$55,3,0))</f>
        <v>9</v>
      </c>
      <c r="V103" s="16">
        <f>IF(ISNA(VLOOKUP(A103,'Données projet'!$A$35:$I$55,4,0)),0,VLOOKUP(A103,'Données projet'!$A$35:$I$55,4,0))</f>
        <v>55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-5.6843418860808015E-14</v>
      </c>
      <c r="AJ103" s="14">
        <f>AI103*VLOOKUP('Données projet'!$B$10,Paramètres!$A$1:$I$89,3,0)*VLOOKUP('Données projet'!$B$10,Paramètres!$A$1:$I$89,5,0)</f>
        <v>-4.1677594708744434E-14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344.45199703750711</v>
      </c>
      <c r="AO103" s="62">
        <f t="shared" si="90"/>
        <v>376.41441893222185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361</v>
      </c>
      <c r="BB103" s="13">
        <f>VLOOKUP(A103,'Données projet'!$A$87:$I$107,9,0)</f>
        <v>5.9</v>
      </c>
      <c r="BC103" s="13">
        <f t="array" ref="BC103">INDEX(BB:BB,MIN(IF(ISNUMBER(BB103:BB299),ROW(BB103:BB299),"")))</f>
        <v>5.9</v>
      </c>
      <c r="BD103" s="13">
        <f>IF('Données projet'!$A$88&gt;35,BD102+BC103-BL102,IF(A103&lt;'Données projet'!$A$88,$BA$205^A103,IF(A103='Données projet'!$A$88,'Données projet'!$B$88,BD102+BC103-BL102)))</f>
        <v>360.99999999999989</v>
      </c>
      <c r="BE103" s="14">
        <f>BD103*VLOOKUP('Données projet'!$B$11,Paramètres!$A$1:$I$89,3,0)*VLOOKUP('Données projet'!$B$11,Paramètres!$A$1:$I$89,5,0)</f>
        <v>366.05399999999986</v>
      </c>
      <c r="BF103" s="14">
        <f t="shared" si="91"/>
        <v>84.85951894835965</v>
      </c>
      <c r="BG103" s="22">
        <f t="shared" si="61"/>
        <v>785.34104550172617</v>
      </c>
      <c r="BH103" s="62">
        <f t="shared" si="62"/>
        <v>1078.6743788350595</v>
      </c>
      <c r="BI103" s="62">
        <f ca="1">AVERAGE(OFFSET($BH$3,0,0,'Données projet'!$E$11+1,1))-AVERAGE(OFFSET($H$3,0,0,'Données projet'!$E$11+1,1))</f>
        <v>569.39473185784823</v>
      </c>
      <c r="BJ103" s="62">
        <f t="shared" si="92"/>
        <v>367.42881145517066</v>
      </c>
      <c r="BK103" s="16">
        <f>IF(ISNA(VLOOKUP(A103,'Données projet'!$A$87:$I$107,3,0)),0,VLOOKUP(A103,'Données projet'!$A$87:$I$107,3,0))</f>
        <v>9</v>
      </c>
      <c r="BL103" s="16">
        <f>IF(ISNA(VLOOKUP(A103,'Données projet'!$A$87:$I$107,4,0)),0,VLOOKUP(A103,'Données projet'!$A$87:$I$107,4,0))</f>
        <v>55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425</v>
      </c>
      <c r="BW103" s="13">
        <f>VLOOKUP(A103,'Données projet'!$A$113:$I$133,9,0)</f>
        <v>7.4</v>
      </c>
      <c r="BX103" s="13">
        <f t="array" ref="BX103">INDEX(BW:BW,MIN(IF(ISNUMBER(BW103:BW299),ROW(BW103:BW299),"")))</f>
        <v>7.4</v>
      </c>
      <c r="BY103" s="13">
        <f>IF('Données projet'!$A$114&gt;35,BY102+BX103-CG102,IF(A103&lt;'Données projet'!$A$114,$BV$205^A103,IF(A103='Données projet'!$A$114,'Données projet'!$B$114,BY102+BX103-CG102)))</f>
        <v>424.99999999999989</v>
      </c>
      <c r="BZ103" s="14">
        <f>BY103*VLOOKUP('Données projet'!$B$12,Paramètres!$A$1:$I$89,3,0)*VLOOKUP('Données projet'!$B$12,Paramètres!$A$1:$I$89,5,0)</f>
        <v>364.64999999999992</v>
      </c>
      <c r="CA103" s="14">
        <f t="shared" si="93"/>
        <v>84.57186171626158</v>
      </c>
      <c r="CB103" s="22">
        <f t="shared" si="64"/>
        <v>782.39474248915542</v>
      </c>
      <c r="CC103" s="62">
        <f t="shared" si="65"/>
        <v>1075.7280758224888</v>
      </c>
      <c r="CD103" s="62">
        <f ca="1">AVERAGE(OFFSET($CC$3,0,0,'Données projet'!$E$12+1,1))-AVERAGE(OFFSET($H$3,0,0,'Données projet'!$E$12+1,1))</f>
        <v>554.06253050955502</v>
      </c>
      <c r="CE103" s="62">
        <f t="shared" si="94"/>
        <v>269.71949336355789</v>
      </c>
      <c r="CF103" s="16">
        <f>IF(ISNA(VLOOKUP(A103,'Données projet'!$A$113:$I$133,3,0)),0,VLOOKUP(A103,'Données projet'!$A$113:$I$133,3,0))</f>
        <v>8</v>
      </c>
      <c r="CG103" s="16">
        <f>IF(ISNA(VLOOKUP(A103,'Données projet'!$A$113:$I$133,4,0)),0,VLOOKUP(A103,'Données projet'!$A$113:$I$133,4,0))</f>
        <v>49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1.1368683772161603E-13</v>
      </c>
      <c r="CU103" s="18">
        <f>CT103*VLOOKUP('Données projet'!$B$13,Paramètres!$A$1:$I$89,3,0)*VLOOKUP('Données projet'!$B$13,Paramètres!$A$1:$I$89,5,0)</f>
        <v>8.8675733422860506E-14</v>
      </c>
      <c r="CV103" s="14">
        <f t="shared" si="95"/>
        <v>1.3509285393066301E-12</v>
      </c>
      <c r="CW103" s="22">
        <f t="shared" si="67"/>
        <v>2.5073107750038623E-12</v>
      </c>
      <c r="CX103" s="62">
        <f t="shared" si="68"/>
        <v>293.33333333333582</v>
      </c>
      <c r="CY103" s="62">
        <f ca="1">AVERAGE(OFFSET($CX$3,0,0,'Données projet'!$E$13+1,1))-AVERAGE(OFFSET($H$3,0,0,'Données projet'!$E$13+1,1))</f>
        <v>292.21364130214391</v>
      </c>
      <c r="CZ103" s="62">
        <f t="shared" si="96"/>
        <v>283.48738729114024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285.89743589743591</v>
      </c>
      <c r="DM103" s="13">
        <f>VLOOKUP(A103,'Données projet'!$A$165:$I$185,9,0)</f>
        <v>3.8461538461538511</v>
      </c>
      <c r="DN103" s="13">
        <f t="array" ref="DN103">INDEX(DM:DM,MIN(IF(ISNUMBER(DM103:DM299),ROW(DM103:DM299),"")))</f>
        <v>3.8461538461538511</v>
      </c>
      <c r="DO103" s="13">
        <f>IF('Données projet'!$A$166&gt;35,DO102+DN103-DW102,IF(A103&lt;'Données projet'!$A$166,$DL$205^A103,IF(A103='Données projet'!$A$166,'Données projet'!$B$166,DO102+DN103-DW102)))</f>
        <v>285.89743589743608</v>
      </c>
      <c r="DP103" s="18">
        <f>DO103*VLOOKUP('Données projet'!$B$14,Paramètres!$A$1:$I$89,3,0)*VLOOKUP('Données projet'!$B$14,Paramètres!$A$1:$I$89,5,0)</f>
        <v>272.06000000000017</v>
      </c>
      <c r="DQ103" s="14">
        <f t="shared" si="97"/>
        <v>65.286259698592175</v>
      </c>
      <c r="DR103" s="22">
        <f t="shared" si="70"/>
        <v>587.54473564171496</v>
      </c>
      <c r="DS103" s="62">
        <f t="shared" si="71"/>
        <v>880.87806897504834</v>
      </c>
      <c r="DT103" s="62">
        <f ca="1">AVERAGE(OFFSET($DS$3,0,0,'Données projet'!$E$14+1,1))-AVERAGE(OFFSET($H$3,0,0,'Données projet'!$E$14+1,1))</f>
        <v>427.47603885390191</v>
      </c>
      <c r="DU103" s="62">
        <f t="shared" si="98"/>
        <v>350.88664394632116</v>
      </c>
      <c r="DV103" s="16">
        <f>IF(ISNA(VLOOKUP(A103,'Données projet'!$A$165:$I$185,3,0)),0,VLOOKUP(A103,'Données projet'!$A$165:$I$185,3,0))</f>
        <v>9</v>
      </c>
      <c r="DW103" s="16">
        <f>IF(ISNA(VLOOKUP(A103,'Données projet'!$A$165:$I$185,4,0)),0,VLOOKUP(A103,'Données projet'!$A$165:$I$185,4,0))</f>
        <v>28.205128205128204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>
        <f>VLOOKUP(A103,'Données projet'!$A$191:$I$211,2,0)</f>
        <v>303</v>
      </c>
      <c r="EH103" s="13">
        <f>VLOOKUP(A103,'Données projet'!$A$191:$I$211,9,0)</f>
        <v>4.9000000000000004</v>
      </c>
      <c r="EI103" s="13">
        <f t="array" ref="EI103">INDEX(EH:EH,MIN(IF(ISNUMBER(EH103:EH299),ROW(EH103:EH299),"")))</f>
        <v>4.9000000000000004</v>
      </c>
      <c r="EJ103" s="13">
        <f>IF('Données projet'!$A$192&gt;35,EJ102+EI103-ER102,IF(A103&lt;'Données projet'!$A$192,$EG$205^A103,IF(A103='Données projet'!$A$192,'Données projet'!$B$192,EJ102+EI103-ER102)))</f>
        <v>302.99999999999983</v>
      </c>
      <c r="EK103" s="18">
        <f>EJ103*VLOOKUP('Données projet'!$B$15,Paramètres!$A$1:$I$89,3,0)*VLOOKUP('Données projet'!$B$15,Paramètres!$A$1:$I$89,5,0)</f>
        <v>293.06159999999983</v>
      </c>
      <c r="EL103" s="14">
        <f t="shared" si="99"/>
        <v>69.719933365116546</v>
      </c>
      <c r="EM103" s="22">
        <f t="shared" si="73"/>
        <v>631.84450394424437</v>
      </c>
      <c r="EN103" s="62">
        <f t="shared" si="74"/>
        <v>925.17783727757774</v>
      </c>
      <c r="EO103" s="62">
        <f ca="1">AVERAGE(OFFSET($EN$3,0,0,'Données projet'!$E$15+1,1))-AVERAGE(OFFSET($H$3,0,0,'Données projet'!$E$15+1,1))</f>
        <v>455.50822833641354</v>
      </c>
      <c r="EP103" s="62">
        <f t="shared" si="100"/>
        <v>261.14722581688039</v>
      </c>
      <c r="EQ103" s="16">
        <f>IF(ISNA(VLOOKUP(A103,'Données projet'!$A$191:$I$211,3,0)),0,VLOOKUP(A103,'Données projet'!$A$191:$I$211,3,0))</f>
        <v>8</v>
      </c>
      <c r="ER103" s="16">
        <f>IF(ISNA(VLOOKUP(A103,'Données projet'!$A$191:$I$211,4,0)),0,VLOOKUP(A103,'Données projet'!$A$191:$I$211,4,0))</f>
        <v>42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>
        <f>VLOOKUP(A103,'Données projet'!$A$217:$I$237,2,0)</f>
        <v>267</v>
      </c>
      <c r="FC103" s="13">
        <f>VLOOKUP(A103,'Données projet'!$A$217:$I$237,9,0)</f>
        <v>3</v>
      </c>
      <c r="FD103" s="13">
        <f t="array" ref="FD103">INDEX(FC:FC,MIN(IF(ISNUMBER(FC103:FC299),ROW(FC103:FC299),"")))</f>
        <v>3</v>
      </c>
      <c r="FE103" s="13">
        <f>IF('Données projet'!$A$218&gt;35,FE102+FD103-FM102,IF(A103&lt;'Données projet'!$A$218,$FB$205^A103,IF(A103='Données projet'!$A$218,'Données projet'!$B$218,FE102+FD103-FM102)))</f>
        <v>267</v>
      </c>
      <c r="FF103" s="18">
        <f>FE103*VLOOKUP('Données projet'!$B$16,Paramètres!$A$1:$I$89,3,0)*VLOOKUP('Données projet'!$B$16,Paramètres!$A$1:$I$89,5,0)</f>
        <v>233.25120000000001</v>
      </c>
      <c r="FG103" s="14">
        <f t="shared" si="101"/>
        <v>56.985091661350864</v>
      </c>
      <c r="FH103" s="22">
        <f t="shared" si="76"/>
        <v>505.49487464351938</v>
      </c>
      <c r="FI103" s="62">
        <f t="shared" si="77"/>
        <v>798.8282079768527</v>
      </c>
      <c r="FJ103" s="62">
        <f ca="1">AVERAGE(OFFSET($FI$3,0,0,'Données projet'!$E$16+1,1))-AVERAGE(OFFSET($H$3,0,0,'Données projet'!$E$16+1,1))</f>
        <v>369.34989412920129</v>
      </c>
      <c r="FK103" s="62">
        <f t="shared" si="102"/>
        <v>371.26234252426553</v>
      </c>
      <c r="FL103" s="16">
        <f>IF(ISNA(VLOOKUP(A103,'Données projet'!$A$217:$I$237,3,0)),0,VLOOKUP(A103,'Données projet'!$A$217:$I$237,3,0))</f>
        <v>9</v>
      </c>
      <c r="FM103" s="16">
        <f>IF(ISNA(VLOOKUP(A103,'Données projet'!$A$217:$I$237,4,0)),0,VLOOKUP(A103,'Données projet'!$A$217:$I$237,4,0))</f>
        <v>24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0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>
        <f>FZ103*VLOOKUP('Données projet'!$B$17,Paramètres!$A$1:$I$89,3,0)*VLOOKUP('Données projet'!$B$17,Paramètres!$A$1:$I$89,5,0)</f>
        <v>0</v>
      </c>
      <c r="GB103" s="14" t="e">
        <f t="shared" si="103"/>
        <v>#NUM!</v>
      </c>
      <c r="GC103" s="22" t="e">
        <f t="shared" si="79"/>
        <v>#NUM!</v>
      </c>
      <c r="GD103" s="62" t="e">
        <f t="shared" si="80"/>
        <v>#NUM!</v>
      </c>
      <c r="GE103" s="62">
        <f ca="1">AVERAGE(OFFSET($GD$3,0,0,'Données projet'!$E$17+1,1))-AVERAGE(OFFSET($H$3,0,0,'Données projet'!$E$17+1,1))</f>
        <v>324.4489531703187</v>
      </c>
      <c r="GF103" s="62">
        <f t="shared" si="104"/>
        <v>446.55019360848706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projet'!$B$17,Paramètres!$A$1:$I$89,3,0)*0.475*44/12</f>
        <v>0</v>
      </c>
      <c r="GM103" s="23">
        <f>EXP(-LN(2)/25)*GM102+(1-EXP(-LN(2)/25))/(LN(2)/25)*Calculateur!GH103*Calculateur!GJ103*VLOOKUP('Données projet'!$B$17,Paramètres!$A$1:$I$89,3,0)*0.475*44/12</f>
        <v>0</v>
      </c>
      <c r="GN103" s="23">
        <f>EXP(-LN(2)/2)*GN102+(1-EXP(-LN(2)/2))/(LN(2)/2)*GH103*GK103*VLOOKUP('Données projet'!$B$17,Paramètres!$A$1:$I$89,3,0)*0.475*44/12</f>
        <v>0</v>
      </c>
      <c r="GO103" s="23">
        <f t="shared" si="81"/>
        <v>0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>
        <f>VLOOKUP(A103,'Données projet'!$A$269:$I$289,2,0)</f>
        <v>307.69230769230768</v>
      </c>
      <c r="GS103" s="13">
        <f>VLOOKUP(A103,'Données projet'!$A$269:$I$289,9,0)</f>
        <v>3.5897435897435912</v>
      </c>
      <c r="GT103" s="13">
        <f t="array" ref="GT103">INDEX(GS:GS,MIN(IF(ISNUMBER(GS103:GS299),ROW(GS103:GS299),"")))</f>
        <v>3.5897435897435912</v>
      </c>
      <c r="GU103" s="13">
        <f>IF('Données projet'!$A$270&gt;35,GU102+GT103-HC102,IF(A103&lt;'Données projet'!$A$270,$GR$205^A103,IF(A103='Données projet'!$A$270,'Données projet'!$B$270,GU102+GT103-HC102)))</f>
        <v>307.69230769230785</v>
      </c>
      <c r="GV103" s="18">
        <f>GU103*VLOOKUP('Données projet'!$B$18,Paramètres!$A$1:$I$89,3,0)*VLOOKUP('Données projet'!$B$18,Paramètres!$A$1:$I$89,5,0)</f>
        <v>206.40000000000012</v>
      </c>
      <c r="GW103" s="14">
        <f t="shared" si="105"/>
        <v>51.148105178123259</v>
      </c>
      <c r="GX103" s="22">
        <f t="shared" si="82"/>
        <v>448.56294985189817</v>
      </c>
      <c r="GY103" s="62">
        <f t="shared" si="83"/>
        <v>741.89628318523148</v>
      </c>
      <c r="GZ103" s="62">
        <f ca="1">AVERAGE(OFFSET($GY$3,0,0,'Données projet'!$E$18+1,1))-AVERAGE(OFFSET($H$3,0,0,'Données projet'!$E$18+1,1))</f>
        <v>312.06797204903796</v>
      </c>
      <c r="HA103" s="62">
        <f t="shared" si="106"/>
        <v>258.20189001775151</v>
      </c>
      <c r="HB103" s="16">
        <f>IF(ISNA(VLOOKUP(A103,'Données projet'!$A$269:$I$289,3,0)),0,VLOOKUP(A103,'Données projet'!$A$269:$I$289,3,0))</f>
        <v>9</v>
      </c>
      <c r="HC103" s="16">
        <f>IF(ISNA(VLOOKUP(A103,'Données projet'!$A$269:$I$289,4,0)),0,VLOOKUP(A103,'Données projet'!$A$269:$I$289,4,0))</f>
        <v>22.435897435897434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>
        <f>EXP(-LN(2)/35)*HG102+(1-EXP(-LN(2)/35))/(LN(2)/35)*HC103*HD103*VLOOKUP('Données projet'!$B$18,Paramètres!$A$1:$I$89,3,0)*0.475*44/12</f>
        <v>0</v>
      </c>
      <c r="HH103" s="23">
        <f>EXP(-LN(2)/25)*HH102+(1-EXP(-LN(2)/25))/(LN(2)/25)*Calculateur!HC103*Calculateur!HE103*VLOOKUP('Données projet'!$B$18,Paramètres!$A$1:$I$89,3,0)*0.475*44/12</f>
        <v>0</v>
      </c>
      <c r="HI103" s="23">
        <f>EXP(-LN(2)/2)*HI102+(1-EXP(-LN(2)/2))/(LN(2)/2)*HC103*HF103*VLOOKUP('Données projet'!$B$18,Paramètres!$A$1:$I$89,3,0)*0.475*44/12</f>
        <v>0</v>
      </c>
      <c r="HJ103" s="24">
        <f t="shared" si="84"/>
        <v>0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5.2</v>
      </c>
      <c r="N104" s="14">
        <f>IF('Données projet'!$A$36&gt;35,N103+M104-V103,IF(A104&lt;'Données projet'!$A$36,$K$205^A104,IF(A104='Données projet'!$A$36,'Données projet'!$B$36,N103+M104-V103)))</f>
        <v>311.19999999999987</v>
      </c>
      <c r="O104" s="14">
        <f>N104*VLOOKUP('Données projet'!$B$9,Paramètres!$A$1:$I$89,3,0)*VLOOKUP('Données projet'!$B$9,Paramètres!$A$1:$I$89,5,0)</f>
        <v>281.57375999999988</v>
      </c>
      <c r="P104" s="14">
        <f t="shared" si="87"/>
        <v>67.299481043334993</v>
      </c>
      <c r="Q104" s="22">
        <f t="shared" si="107"/>
        <v>607.62089481714156</v>
      </c>
      <c r="R104" s="62">
        <f t="shared" si="55"/>
        <v>900.95422815047482</v>
      </c>
      <c r="S104" s="62">
        <f ca="1">AVERAGE(OFFSET($R$3,0,0,'Données projet'!$E$9+1,1))-AVERAGE(OFFSET($H$3,0,0,'Données projet'!$E$9+1,1))</f>
        <v>512.84819850818667</v>
      </c>
      <c r="T104" s="62">
        <f t="shared" si="88"/>
        <v>332.61387922152159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-5.6843418860808015E-14</v>
      </c>
      <c r="AJ104" s="14">
        <f>AI104*VLOOKUP('Données projet'!$B$10,Paramètres!$A$1:$I$89,3,0)*VLOOKUP('Données projet'!$B$10,Paramètres!$A$1:$I$89,5,0)</f>
        <v>-4.1677594708744434E-14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344.45199703750711</v>
      </c>
      <c r="AO104" s="62">
        <f t="shared" si="90"/>
        <v>376.41441893222185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5.2</v>
      </c>
      <c r="BD104" s="13">
        <f>IF('Données projet'!$A$88&gt;35,BD103+BC104-BL103,IF(A104&lt;'Données projet'!$A$88,$BA$205^A104,IF(A104='Données projet'!$A$88,'Données projet'!$B$88,BD103+BC104-BL103)))</f>
        <v>311.19999999999987</v>
      </c>
      <c r="BE104" s="14">
        <f>BD104*VLOOKUP('Données projet'!$B$11,Paramètres!$A$1:$I$89,3,0)*VLOOKUP('Données projet'!$B$11,Paramètres!$A$1:$I$89,5,0)</f>
        <v>315.5567999999999</v>
      </c>
      <c r="BF104" s="14">
        <f t="shared" si="91"/>
        <v>74.428108513271013</v>
      </c>
      <c r="BG104" s="22">
        <f t="shared" si="61"/>
        <v>679.22371566061349</v>
      </c>
      <c r="BH104" s="62">
        <f t="shared" si="62"/>
        <v>972.55704899394686</v>
      </c>
      <c r="BI104" s="62">
        <f ca="1">AVERAGE(OFFSET($BH$3,0,0,'Données projet'!$E$11+1,1))-AVERAGE(OFFSET($H$3,0,0,'Données projet'!$E$11+1,1))</f>
        <v>569.39473185784823</v>
      </c>
      <c r="BJ104" s="62">
        <f t="shared" si="92"/>
        <v>367.42881145517066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6.5</v>
      </c>
      <c r="BY104" s="13">
        <f>IF('Données projet'!$A$114&gt;35,BY103+BX104-CG103,IF(A104&lt;'Données projet'!$A$114,$BV$205^A104,IF(A104='Données projet'!$A$114,'Données projet'!$B$114,BY103+BX104-CG103)))</f>
        <v>382.49999999999989</v>
      </c>
      <c r="BZ104" s="14">
        <f>BY104*VLOOKUP('Données projet'!$B$12,Paramètres!$A$1:$I$89,3,0)*VLOOKUP('Données projet'!$B$12,Paramètres!$A$1:$I$89,5,0)</f>
        <v>328.18499999999995</v>
      </c>
      <c r="CA104" s="14">
        <f t="shared" si="93"/>
        <v>77.053890665486904</v>
      </c>
      <c r="CB104" s="22">
        <f t="shared" si="64"/>
        <v>705.79106790905632</v>
      </c>
      <c r="CC104" s="62">
        <f t="shared" si="65"/>
        <v>999.12440124238969</v>
      </c>
      <c r="CD104" s="62">
        <f ca="1">AVERAGE(OFFSET($CC$3,0,0,'Données projet'!$E$12+1,1))-AVERAGE(OFFSET($H$3,0,0,'Données projet'!$E$12+1,1))</f>
        <v>554.06253050955502</v>
      </c>
      <c r="CE104" s="62">
        <f t="shared" si="94"/>
        <v>269.71949336355789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1.1368683772161603E-13</v>
      </c>
      <c r="CU104" s="18">
        <f>CT104*VLOOKUP('Données projet'!$B$13,Paramètres!$A$1:$I$89,3,0)*VLOOKUP('Données projet'!$B$13,Paramètres!$A$1:$I$89,5,0)</f>
        <v>8.8675733422860506E-14</v>
      </c>
      <c r="CV104" s="14">
        <f t="shared" si="95"/>
        <v>1.3509285393066301E-12</v>
      </c>
      <c r="CW104" s="22">
        <f t="shared" si="67"/>
        <v>2.5073107750038623E-12</v>
      </c>
      <c r="CX104" s="62">
        <f t="shared" si="68"/>
        <v>293.33333333333582</v>
      </c>
      <c r="CY104" s="62">
        <f ca="1">AVERAGE(OFFSET($CX$3,0,0,'Données projet'!$E$13+1,1))-AVERAGE(OFFSET($H$3,0,0,'Données projet'!$E$13+1,1))</f>
        <v>292.21364130214391</v>
      </c>
      <c r="CZ104" s="62">
        <f t="shared" si="96"/>
        <v>283.48738729114024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3.5897435897435854</v>
      </c>
      <c r="DO104" s="13">
        <f>IF('Données projet'!$A$166&gt;35,DO103+DN104-DW103,IF(A104&lt;'Données projet'!$A$166,$DL$205^A104,IF(A104='Données projet'!$A$166,'Données projet'!$B$166,DO103+DN104-DW103)))</f>
        <v>261.2820512820515</v>
      </c>
      <c r="DP104" s="18">
        <f>DO104*VLOOKUP('Données projet'!$B$14,Paramètres!$A$1:$I$89,3,0)*VLOOKUP('Données projet'!$B$14,Paramètres!$A$1:$I$89,5,0)</f>
        <v>248.63600000000019</v>
      </c>
      <c r="DQ104" s="14">
        <f t="shared" si="97"/>
        <v>60.293767845706391</v>
      </c>
      <c r="DR104" s="22">
        <f t="shared" si="70"/>
        <v>538.05267899793887</v>
      </c>
      <c r="DS104" s="62">
        <f t="shared" si="71"/>
        <v>831.38601233127224</v>
      </c>
      <c r="DT104" s="62">
        <f ca="1">AVERAGE(OFFSET($DS$3,0,0,'Données projet'!$E$14+1,1))-AVERAGE(OFFSET($H$3,0,0,'Données projet'!$E$14+1,1))</f>
        <v>427.47603885390191</v>
      </c>
      <c r="DU104" s="62">
        <f t="shared" si="98"/>
        <v>350.88664394632116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4.4000000000000004</v>
      </c>
      <c r="EJ104" s="13">
        <f>IF('Données projet'!$A$192&gt;35,EJ103+EI104-ER103,IF(A104&lt;'Données projet'!$A$192,$EG$205^A104,IF(A104='Données projet'!$A$192,'Données projet'!$B$192,EJ103+EI104-ER103)))</f>
        <v>265.39999999999981</v>
      </c>
      <c r="EK104" s="18">
        <f>EJ104*VLOOKUP('Données projet'!$B$15,Paramètres!$A$1:$I$89,3,0)*VLOOKUP('Données projet'!$B$15,Paramètres!$A$1:$I$89,5,0)</f>
        <v>256.69487999999984</v>
      </c>
      <c r="EL104" s="14">
        <f t="shared" si="99"/>
        <v>62.017336223177502</v>
      </c>
      <c r="EM104" s="22">
        <f t="shared" si="73"/>
        <v>555.09044325536718</v>
      </c>
      <c r="EN104" s="62">
        <f t="shared" si="74"/>
        <v>848.42377658870055</v>
      </c>
      <c r="EO104" s="62">
        <f ca="1">AVERAGE(OFFSET($EN$3,0,0,'Données projet'!$E$15+1,1))-AVERAGE(OFFSET($H$3,0,0,'Données projet'!$E$15+1,1))</f>
        <v>455.50822833641354</v>
      </c>
      <c r="EP104" s="62">
        <f t="shared" si="100"/>
        <v>261.14722581688039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243</v>
      </c>
      <c r="FF104" s="18">
        <f>FE104*VLOOKUP('Données projet'!$B$16,Paramètres!$A$1:$I$89,3,0)*VLOOKUP('Données projet'!$B$16,Paramètres!$A$1:$I$89,5,0)</f>
        <v>212.28480000000002</v>
      </c>
      <c r="FG104" s="14">
        <f t="shared" si="101"/>
        <v>52.434557099704193</v>
      </c>
      <c r="FH104" s="22">
        <f t="shared" si="76"/>
        <v>461.05288028198476</v>
      </c>
      <c r="FI104" s="62">
        <f t="shared" si="77"/>
        <v>754.38621361531807</v>
      </c>
      <c r="FJ104" s="62">
        <f ca="1">AVERAGE(OFFSET($FI$3,0,0,'Données projet'!$E$16+1,1))-AVERAGE(OFFSET($H$3,0,0,'Données projet'!$E$16+1,1))</f>
        <v>369.34989412920129</v>
      </c>
      <c r="FK104" s="62">
        <f t="shared" si="102"/>
        <v>371.26234252426553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0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>
        <f>FZ104*VLOOKUP('Données projet'!$B$17,Paramètres!$A$1:$I$89,3,0)*VLOOKUP('Données projet'!$B$17,Paramètres!$A$1:$I$89,5,0)</f>
        <v>0</v>
      </c>
      <c r="GB104" s="14" t="e">
        <f t="shared" si="103"/>
        <v>#NUM!</v>
      </c>
      <c r="GC104" s="22" t="e">
        <f t="shared" si="79"/>
        <v>#NUM!</v>
      </c>
      <c r="GD104" s="62" t="e">
        <f t="shared" si="80"/>
        <v>#NUM!</v>
      </c>
      <c r="GE104" s="62">
        <f ca="1">AVERAGE(OFFSET($GD$3,0,0,'Données projet'!$E$17+1,1))-AVERAGE(OFFSET($H$3,0,0,'Données projet'!$E$17+1,1))</f>
        <v>324.4489531703187</v>
      </c>
      <c r="GF104" s="62">
        <f t="shared" si="104"/>
        <v>446.55019360848706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projet'!$B$17,Paramètres!$A$1:$I$89,3,0)*0.475*44/12</f>
        <v>0</v>
      </c>
      <c r="GM104" s="23">
        <f>EXP(-LN(2)/25)*GM103+(1-EXP(-LN(2)/25))/(LN(2)/25)*Calculateur!GH104*Calculateur!GJ104*VLOOKUP('Données projet'!$B$17,Paramètres!$A$1:$I$89,3,0)*0.475*44/12</f>
        <v>0</v>
      </c>
      <c r="GN104" s="23">
        <f>EXP(-LN(2)/2)*GN103+(1-EXP(-LN(2)/2))/(LN(2)/2)*GH104*GK104*VLOOKUP('Données projet'!$B$17,Paramètres!$A$1:$I$89,3,0)*0.475*44/12</f>
        <v>0</v>
      </c>
      <c r="GO104" s="23">
        <f t="shared" si="81"/>
        <v>0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3.2051282051282102</v>
      </c>
      <c r="GU104" s="13">
        <f>IF('Données projet'!$A$270&gt;35,GU103+GT104-HC103,IF(A104&lt;'Données projet'!$A$270,$GR$205^A104,IF(A104='Données projet'!$A$270,'Données projet'!$B$270,GU103+GT104-HC103)))</f>
        <v>288.46153846153862</v>
      </c>
      <c r="GV104" s="18">
        <f>GU104*VLOOKUP('Données projet'!$B$18,Paramètres!$A$1:$I$89,3,0)*VLOOKUP('Données projet'!$B$18,Paramètres!$A$1:$I$89,5,0)</f>
        <v>193.50000000000011</v>
      </c>
      <c r="GW104" s="14">
        <f t="shared" si="105"/>
        <v>48.312929194247467</v>
      </c>
      <c r="GX104" s="22">
        <f t="shared" si="82"/>
        <v>421.15751834664781</v>
      </c>
      <c r="GY104" s="62">
        <f t="shared" si="83"/>
        <v>714.49085167998112</v>
      </c>
      <c r="GZ104" s="62">
        <f ca="1">AVERAGE(OFFSET($GY$3,0,0,'Données projet'!$E$18+1,1))-AVERAGE(OFFSET($H$3,0,0,'Données projet'!$E$18+1,1))</f>
        <v>312.06797204903796</v>
      </c>
      <c r="HA104" s="62">
        <f t="shared" si="106"/>
        <v>258.20189001775151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>
        <f>EXP(-LN(2)/35)*HG103+(1-EXP(-LN(2)/35))/(LN(2)/35)*HC104*HD104*VLOOKUP('Données projet'!$B$18,Paramètres!$A$1:$I$89,3,0)*0.475*44/12</f>
        <v>0</v>
      </c>
      <c r="HH104" s="23">
        <f>EXP(-LN(2)/25)*HH103+(1-EXP(-LN(2)/25))/(LN(2)/25)*Calculateur!HC104*Calculateur!HE104*VLOOKUP('Données projet'!$B$18,Paramètres!$A$1:$I$89,3,0)*0.475*44/12</f>
        <v>0</v>
      </c>
      <c r="HI104" s="23">
        <f>EXP(-LN(2)/2)*HI103+(1-EXP(-LN(2)/2))/(LN(2)/2)*HC104*HF104*VLOOKUP('Données projet'!$B$18,Paramètres!$A$1:$I$89,3,0)*0.475*44/12</f>
        <v>0</v>
      </c>
      <c r="HJ104" s="24">
        <f t="shared" si="84"/>
        <v>0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5.2</v>
      </c>
      <c r="N105" s="14">
        <f>IF('Données projet'!$A$36&gt;35,N104+M105-V104,IF(A105&lt;'Données projet'!$A$36,$K$205^A105,IF(A105='Données projet'!$A$36,'Données projet'!$B$36,N104+M105-V104)))</f>
        <v>316.39999999999986</v>
      </c>
      <c r="O105" s="14">
        <f>N105*VLOOKUP('Données projet'!$B$9,Paramètres!$A$1:$I$89,3,0)*VLOOKUP('Données projet'!$B$9,Paramètres!$A$1:$I$89,5,0)</f>
        <v>286.27871999999985</v>
      </c>
      <c r="P105" s="14">
        <f t="shared" si="87"/>
        <v>68.292165517667542</v>
      </c>
      <c r="Q105" s="22">
        <f t="shared" si="107"/>
        <v>617.5442922766041</v>
      </c>
      <c r="R105" s="62">
        <f t="shared" si="55"/>
        <v>910.87762560993747</v>
      </c>
      <c r="S105" s="62">
        <f ca="1">AVERAGE(OFFSET($R$3,0,0,'Données projet'!$E$9+1,1))-AVERAGE(OFFSET($H$3,0,0,'Données projet'!$E$9+1,1))</f>
        <v>512.84819850818667</v>
      </c>
      <c r="T105" s="62">
        <f t="shared" si="88"/>
        <v>332.61387922152159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-5.6843418860808015E-14</v>
      </c>
      <c r="AJ105" s="14">
        <f>AI105*VLOOKUP('Données projet'!$B$10,Paramètres!$A$1:$I$89,3,0)*VLOOKUP('Données projet'!$B$10,Paramètres!$A$1:$I$89,5,0)</f>
        <v>-4.1677594708744434E-14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344.45199703750711</v>
      </c>
      <c r="AO105" s="62">
        <f t="shared" si="90"/>
        <v>376.41441893222185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5.2</v>
      </c>
      <c r="BD105" s="13">
        <f>IF('Données projet'!$A$88&gt;35,BD104+BC105-BL104,IF(A105&lt;'Données projet'!$A$88,$BA$205^A105,IF(A105='Données projet'!$A$88,'Données projet'!$B$88,BD104+BC105-BL104)))</f>
        <v>316.39999999999986</v>
      </c>
      <c r="BE105" s="14">
        <f>BD105*VLOOKUP('Données projet'!$B$11,Paramètres!$A$1:$I$89,3,0)*VLOOKUP('Données projet'!$B$11,Paramètres!$A$1:$I$89,5,0)</f>
        <v>320.82959999999986</v>
      </c>
      <c r="BF105" s="14">
        <f t="shared" si="91"/>
        <v>75.525942057150615</v>
      </c>
      <c r="BG105" s="22">
        <f t="shared" si="61"/>
        <v>690.31923574953714</v>
      </c>
      <c r="BH105" s="62">
        <f t="shared" si="62"/>
        <v>983.65256908287051</v>
      </c>
      <c r="BI105" s="62">
        <f ca="1">AVERAGE(OFFSET($BH$3,0,0,'Données projet'!$E$11+1,1))-AVERAGE(OFFSET($H$3,0,0,'Données projet'!$E$11+1,1))</f>
        <v>569.39473185784823</v>
      </c>
      <c r="BJ105" s="62">
        <f t="shared" si="92"/>
        <v>367.42881145517066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6.5</v>
      </c>
      <c r="BY105" s="13">
        <f>IF('Données projet'!$A$114&gt;35,BY104+BX105-CG104,IF(A105&lt;'Données projet'!$A$114,$BV$205^A105,IF(A105='Données projet'!$A$114,'Données projet'!$B$114,BY104+BX105-CG104)))</f>
        <v>388.99999999999989</v>
      </c>
      <c r="BZ105" s="14">
        <f>BY105*VLOOKUP('Données projet'!$B$12,Paramètres!$A$1:$I$89,3,0)*VLOOKUP('Données projet'!$B$12,Paramètres!$A$1:$I$89,5,0)</f>
        <v>333.76199999999994</v>
      </c>
      <c r="CA105" s="14">
        <f t="shared" si="93"/>
        <v>78.209750448453065</v>
      </c>
      <c r="CB105" s="22">
        <f t="shared" si="64"/>
        <v>717.51746536438895</v>
      </c>
      <c r="CC105" s="62">
        <f t="shared" si="65"/>
        <v>1010.8507986977222</v>
      </c>
      <c r="CD105" s="62">
        <f ca="1">AVERAGE(OFFSET($CC$3,0,0,'Données projet'!$E$12+1,1))-AVERAGE(OFFSET($H$3,0,0,'Données projet'!$E$12+1,1))</f>
        <v>554.06253050955502</v>
      </c>
      <c r="CE105" s="62">
        <f t="shared" si="94"/>
        <v>269.71949336355789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1.1368683772161603E-13</v>
      </c>
      <c r="CU105" s="18">
        <f>CT105*VLOOKUP('Données projet'!$B$13,Paramètres!$A$1:$I$89,3,0)*VLOOKUP('Données projet'!$B$13,Paramètres!$A$1:$I$89,5,0)</f>
        <v>8.8675733422860506E-14</v>
      </c>
      <c r="CV105" s="14">
        <f t="shared" si="95"/>
        <v>1.3509285393066301E-12</v>
      </c>
      <c r="CW105" s="22">
        <f t="shared" si="67"/>
        <v>2.5073107750038623E-12</v>
      </c>
      <c r="CX105" s="62">
        <f t="shared" si="68"/>
        <v>293.33333333333582</v>
      </c>
      <c r="CY105" s="62">
        <f ca="1">AVERAGE(OFFSET($CX$3,0,0,'Données projet'!$E$13+1,1))-AVERAGE(OFFSET($H$3,0,0,'Données projet'!$E$13+1,1))</f>
        <v>292.21364130214391</v>
      </c>
      <c r="CZ105" s="62">
        <f t="shared" si="96"/>
        <v>283.48738729114024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3.5897435897435854</v>
      </c>
      <c r="DO105" s="13">
        <f>IF('Données projet'!$A$166&gt;35,DO104+DN105-DW104,IF(A105&lt;'Données projet'!$A$166,$DL$205^A105,IF(A105='Données projet'!$A$166,'Données projet'!$B$166,DO104+DN105-DW104)))</f>
        <v>264.87179487179509</v>
      </c>
      <c r="DP105" s="18">
        <f>DO105*VLOOKUP('Données projet'!$B$14,Paramètres!$A$1:$I$89,3,0)*VLOOKUP('Données projet'!$B$14,Paramètres!$A$1:$I$89,5,0)</f>
        <v>252.05200000000019</v>
      </c>
      <c r="DQ105" s="14">
        <f t="shared" si="97"/>
        <v>61.025136500600851</v>
      </c>
      <c r="DR105" s="22">
        <f t="shared" si="70"/>
        <v>545.2760127385468</v>
      </c>
      <c r="DS105" s="62">
        <f t="shared" si="71"/>
        <v>838.60934607188005</v>
      </c>
      <c r="DT105" s="62">
        <f ca="1">AVERAGE(OFFSET($DS$3,0,0,'Données projet'!$E$14+1,1))-AVERAGE(OFFSET($H$3,0,0,'Données projet'!$E$14+1,1))</f>
        <v>427.47603885390191</v>
      </c>
      <c r="DU105" s="62">
        <f t="shared" si="98"/>
        <v>350.88664394632116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4.4000000000000004</v>
      </c>
      <c r="EJ105" s="13">
        <f>IF('Données projet'!$A$192&gt;35,EJ104+EI105-ER104,IF(A105&lt;'Données projet'!$A$192,$EG$205^A105,IF(A105='Données projet'!$A$192,'Données projet'!$B$192,EJ104+EI105-ER104)))</f>
        <v>269.79999999999978</v>
      </c>
      <c r="EK105" s="18">
        <f>EJ105*VLOOKUP('Données projet'!$B$15,Paramètres!$A$1:$I$89,3,0)*VLOOKUP('Données projet'!$B$15,Paramètres!$A$1:$I$89,5,0)</f>
        <v>260.95055999999983</v>
      </c>
      <c r="EL105" s="14">
        <f t="shared" si="99"/>
        <v>62.924955880176938</v>
      </c>
      <c r="EM105" s="22">
        <f t="shared" si="73"/>
        <v>564.08319015797451</v>
      </c>
      <c r="EN105" s="62">
        <f t="shared" si="74"/>
        <v>857.41652349130777</v>
      </c>
      <c r="EO105" s="62">
        <f ca="1">AVERAGE(OFFSET($EN$3,0,0,'Données projet'!$E$15+1,1))-AVERAGE(OFFSET($H$3,0,0,'Données projet'!$E$15+1,1))</f>
        <v>455.50822833641354</v>
      </c>
      <c r="EP105" s="62">
        <f t="shared" si="100"/>
        <v>261.14722581688039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243</v>
      </c>
      <c r="FF105" s="18">
        <f>FE105*VLOOKUP('Données projet'!$B$16,Paramètres!$A$1:$I$89,3,0)*VLOOKUP('Données projet'!$B$16,Paramètres!$A$1:$I$89,5,0)</f>
        <v>212.28480000000002</v>
      </c>
      <c r="FG105" s="14">
        <f t="shared" si="101"/>
        <v>52.434557099704193</v>
      </c>
      <c r="FH105" s="22">
        <f t="shared" si="76"/>
        <v>461.05288028198476</v>
      </c>
      <c r="FI105" s="62">
        <f t="shared" si="77"/>
        <v>754.38621361531807</v>
      </c>
      <c r="FJ105" s="62">
        <f ca="1">AVERAGE(OFFSET($FI$3,0,0,'Données projet'!$E$16+1,1))-AVERAGE(OFFSET($H$3,0,0,'Données projet'!$E$16+1,1))</f>
        <v>369.34989412920129</v>
      </c>
      <c r="FK105" s="62">
        <f t="shared" si="102"/>
        <v>371.26234252426553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0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>
        <f>FZ105*VLOOKUP('Données projet'!$B$17,Paramètres!$A$1:$I$89,3,0)*VLOOKUP('Données projet'!$B$17,Paramètres!$A$1:$I$89,5,0)</f>
        <v>0</v>
      </c>
      <c r="GB105" s="14" t="e">
        <f t="shared" si="103"/>
        <v>#NUM!</v>
      </c>
      <c r="GC105" s="22" t="e">
        <f t="shared" si="79"/>
        <v>#NUM!</v>
      </c>
      <c r="GD105" s="62" t="e">
        <f t="shared" si="80"/>
        <v>#NUM!</v>
      </c>
      <c r="GE105" s="62">
        <f ca="1">AVERAGE(OFFSET($GD$3,0,0,'Données projet'!$E$17+1,1))-AVERAGE(OFFSET($H$3,0,0,'Données projet'!$E$17+1,1))</f>
        <v>324.4489531703187</v>
      </c>
      <c r="GF105" s="62">
        <f t="shared" si="104"/>
        <v>446.55019360848706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projet'!$B$17,Paramètres!$A$1:$I$89,3,0)*0.475*44/12</f>
        <v>0</v>
      </c>
      <c r="GM105" s="23">
        <f>EXP(-LN(2)/25)*GM104+(1-EXP(-LN(2)/25))/(LN(2)/25)*Calculateur!GH105*Calculateur!GJ105*VLOOKUP('Données projet'!$B$17,Paramètres!$A$1:$I$89,3,0)*0.475*44/12</f>
        <v>0</v>
      </c>
      <c r="GN105" s="23">
        <f>EXP(-LN(2)/2)*GN104+(1-EXP(-LN(2)/2))/(LN(2)/2)*GH105*GK105*VLOOKUP('Données projet'!$B$17,Paramètres!$A$1:$I$89,3,0)*0.475*44/12</f>
        <v>0</v>
      </c>
      <c r="GO105" s="23">
        <f t="shared" si="81"/>
        <v>0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3.2051282051282102</v>
      </c>
      <c r="GU105" s="13">
        <f>IF('Données projet'!$A$270&gt;35,GU104+GT105-HC104,IF(A105&lt;'Données projet'!$A$270,$GR$205^A105,IF(A105='Données projet'!$A$270,'Données projet'!$B$270,GU104+GT105-HC104)))</f>
        <v>291.66666666666686</v>
      </c>
      <c r="GV105" s="18">
        <f>GU105*VLOOKUP('Données projet'!$B$18,Paramètres!$A$1:$I$89,3,0)*VLOOKUP('Données projet'!$B$18,Paramètres!$A$1:$I$89,5,0)</f>
        <v>195.65000000000012</v>
      </c>
      <c r="GW105" s="14">
        <f t="shared" si="105"/>
        <v>48.786949327182981</v>
      </c>
      <c r="GX105" s="22">
        <f t="shared" si="82"/>
        <v>425.72768674484382</v>
      </c>
      <c r="GY105" s="62">
        <f t="shared" si="83"/>
        <v>719.06102007817708</v>
      </c>
      <c r="GZ105" s="62">
        <f ca="1">AVERAGE(OFFSET($GY$3,0,0,'Données projet'!$E$18+1,1))-AVERAGE(OFFSET($H$3,0,0,'Données projet'!$E$18+1,1))</f>
        <v>312.06797204903796</v>
      </c>
      <c r="HA105" s="62">
        <f t="shared" si="106"/>
        <v>258.20189001775151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>
        <f>EXP(-LN(2)/35)*HG104+(1-EXP(-LN(2)/35))/(LN(2)/35)*HC105*HD105*VLOOKUP('Données projet'!$B$18,Paramètres!$A$1:$I$89,3,0)*0.475*44/12</f>
        <v>0</v>
      </c>
      <c r="HH105" s="23">
        <f>EXP(-LN(2)/25)*HH104+(1-EXP(-LN(2)/25))/(LN(2)/25)*Calculateur!HC105*Calculateur!HE105*VLOOKUP('Données projet'!$B$18,Paramètres!$A$1:$I$89,3,0)*0.475*44/12</f>
        <v>0</v>
      </c>
      <c r="HI105" s="23">
        <f>EXP(-LN(2)/2)*HI104+(1-EXP(-LN(2)/2))/(LN(2)/2)*HC105*HF105*VLOOKUP('Données projet'!$B$18,Paramètres!$A$1:$I$89,3,0)*0.475*44/12</f>
        <v>0</v>
      </c>
      <c r="HJ105" s="24">
        <f t="shared" si="84"/>
        <v>0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5.2</v>
      </c>
      <c r="N106" s="14">
        <f>IF('Données projet'!$A$36&gt;35,N105+M106-V105,IF(A106&lt;'Données projet'!$A$36,$K$205^A106,IF(A106='Données projet'!$A$36,'Données projet'!$B$36,N105+M106-V105)))</f>
        <v>321.59999999999985</v>
      </c>
      <c r="O106" s="14">
        <f>N106*VLOOKUP('Données projet'!$B$9,Paramètres!$A$1:$I$89,3,0)*VLOOKUP('Données projet'!$B$9,Paramètres!$A$1:$I$89,5,0)</f>
        <v>290.98367999999988</v>
      </c>
      <c r="P106" s="14">
        <f t="shared" si="87"/>
        <v>69.282952690245423</v>
      </c>
      <c r="Q106" s="22">
        <f t="shared" si="107"/>
        <v>627.46438526884378</v>
      </c>
      <c r="R106" s="62">
        <f t="shared" si="55"/>
        <v>920.79771860217716</v>
      </c>
      <c r="S106" s="62">
        <f ca="1">AVERAGE(OFFSET($R$3,0,0,'Données projet'!$E$9+1,1))-AVERAGE(OFFSET($H$3,0,0,'Données projet'!$E$9+1,1))</f>
        <v>512.84819850818667</v>
      </c>
      <c r="T106" s="62">
        <f t="shared" si="88"/>
        <v>332.61387922152159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-5.6843418860808015E-14</v>
      </c>
      <c r="AJ106" s="14">
        <f>AI106*VLOOKUP('Données projet'!$B$10,Paramètres!$A$1:$I$89,3,0)*VLOOKUP('Données projet'!$B$10,Paramètres!$A$1:$I$89,5,0)</f>
        <v>-4.1677594708744434E-14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344.45199703750711</v>
      </c>
      <c r="AO106" s="62">
        <f t="shared" si="90"/>
        <v>376.41441893222185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5.2</v>
      </c>
      <c r="BD106" s="13">
        <f>IF('Données projet'!$A$88&gt;35,BD105+BC106-BL105,IF(A106&lt;'Données projet'!$A$88,$BA$205^A106,IF(A106='Données projet'!$A$88,'Données projet'!$B$88,BD105+BC106-BL105)))</f>
        <v>321.59999999999985</v>
      </c>
      <c r="BE106" s="14">
        <f>BD106*VLOOKUP('Données projet'!$B$11,Paramètres!$A$1:$I$89,3,0)*VLOOKUP('Données projet'!$B$11,Paramètres!$A$1:$I$89,5,0)</f>
        <v>326.10239999999988</v>
      </c>
      <c r="BF106" s="14">
        <f t="shared" si="91"/>
        <v>76.621677329562289</v>
      </c>
      <c r="BG106" s="22">
        <f t="shared" si="61"/>
        <v>701.41110134898747</v>
      </c>
      <c r="BH106" s="62">
        <f t="shared" si="62"/>
        <v>994.74443468232084</v>
      </c>
      <c r="BI106" s="62">
        <f ca="1">AVERAGE(OFFSET($BH$3,0,0,'Données projet'!$E$11+1,1))-AVERAGE(OFFSET($H$3,0,0,'Données projet'!$E$11+1,1))</f>
        <v>569.39473185784823</v>
      </c>
      <c r="BJ106" s="62">
        <f t="shared" si="92"/>
        <v>367.42881145517066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6.5</v>
      </c>
      <c r="BY106" s="13">
        <f>IF('Données projet'!$A$114&gt;35,BY105+BX106-CG105,IF(A106&lt;'Données projet'!$A$114,$BV$205^A106,IF(A106='Données projet'!$A$114,'Données projet'!$B$114,BY105+BX106-CG105)))</f>
        <v>395.49999999999989</v>
      </c>
      <c r="BZ106" s="14">
        <f>BY106*VLOOKUP('Données projet'!$B$12,Paramètres!$A$1:$I$89,3,0)*VLOOKUP('Données projet'!$B$12,Paramètres!$A$1:$I$89,5,0)</f>
        <v>339.33899999999994</v>
      </c>
      <c r="CA106" s="14">
        <f t="shared" si="93"/>
        <v>79.36336417337327</v>
      </c>
      <c r="CB106" s="22">
        <f t="shared" si="64"/>
        <v>729.23995093529174</v>
      </c>
      <c r="CC106" s="62">
        <f t="shared" si="65"/>
        <v>1022.573284268625</v>
      </c>
      <c r="CD106" s="62">
        <f ca="1">AVERAGE(OFFSET($CC$3,0,0,'Données projet'!$E$12+1,1))-AVERAGE(OFFSET($H$3,0,0,'Données projet'!$E$12+1,1))</f>
        <v>554.06253050955502</v>
      </c>
      <c r="CE106" s="62">
        <f t="shared" si="94"/>
        <v>269.71949336355789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1.1368683772161603E-13</v>
      </c>
      <c r="CU106" s="18">
        <f>CT106*VLOOKUP('Données projet'!$B$13,Paramètres!$A$1:$I$89,3,0)*VLOOKUP('Données projet'!$B$13,Paramètres!$A$1:$I$89,5,0)</f>
        <v>8.8675733422860506E-14</v>
      </c>
      <c r="CV106" s="14">
        <f t="shared" si="95"/>
        <v>1.3509285393066301E-12</v>
      </c>
      <c r="CW106" s="22">
        <f t="shared" si="67"/>
        <v>2.5073107750038623E-12</v>
      </c>
      <c r="CX106" s="62">
        <f t="shared" si="68"/>
        <v>293.33333333333582</v>
      </c>
      <c r="CY106" s="62">
        <f ca="1">AVERAGE(OFFSET($CX$3,0,0,'Données projet'!$E$13+1,1))-AVERAGE(OFFSET($H$3,0,0,'Données projet'!$E$13+1,1))</f>
        <v>292.21364130214391</v>
      </c>
      <c r="CZ106" s="62">
        <f t="shared" si="96"/>
        <v>283.48738729114024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3.5897435897435854</v>
      </c>
      <c r="DO106" s="13">
        <f>IF('Données projet'!$A$166&gt;35,DO105+DN106-DW105,IF(A106&lt;'Données projet'!$A$166,$DL$205^A106,IF(A106='Données projet'!$A$166,'Données projet'!$B$166,DO105+DN106-DW105)))</f>
        <v>268.46153846153868</v>
      </c>
      <c r="DP106" s="18">
        <f>DO106*VLOOKUP('Données projet'!$B$14,Paramètres!$A$1:$I$89,3,0)*VLOOKUP('Données projet'!$B$14,Paramètres!$A$1:$I$89,5,0)</f>
        <v>255.46800000000019</v>
      </c>
      <c r="DQ106" s="14">
        <f t="shared" si="97"/>
        <v>61.755352263609289</v>
      </c>
      <c r="DR106" s="22">
        <f t="shared" si="70"/>
        <v>552.4973385257864</v>
      </c>
      <c r="DS106" s="62">
        <f t="shared" si="71"/>
        <v>845.83067185911978</v>
      </c>
      <c r="DT106" s="62">
        <f ca="1">AVERAGE(OFFSET($DS$3,0,0,'Données projet'!$E$14+1,1))-AVERAGE(OFFSET($H$3,0,0,'Données projet'!$E$14+1,1))</f>
        <v>427.47603885390191</v>
      </c>
      <c r="DU106" s="62">
        <f t="shared" si="98"/>
        <v>350.88664394632116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4.4000000000000004</v>
      </c>
      <c r="EJ106" s="13">
        <f>IF('Données projet'!$A$192&gt;35,EJ105+EI106-ER105,IF(A106&lt;'Données projet'!$A$192,$EG$205^A106,IF(A106='Données projet'!$A$192,'Données projet'!$B$192,EJ105+EI106-ER105)))</f>
        <v>274.19999999999976</v>
      </c>
      <c r="EK106" s="18">
        <f>EJ106*VLOOKUP('Données projet'!$B$15,Paramètres!$A$1:$I$89,3,0)*VLOOKUP('Données projet'!$B$15,Paramètres!$A$1:$I$89,5,0)</f>
        <v>265.20623999999975</v>
      </c>
      <c r="EL106" s="14">
        <f t="shared" si="99"/>
        <v>63.830854160896386</v>
      </c>
      <c r="EM106" s="22">
        <f t="shared" si="73"/>
        <v>573.07293899689409</v>
      </c>
      <c r="EN106" s="62">
        <f t="shared" si="74"/>
        <v>866.40627233022747</v>
      </c>
      <c r="EO106" s="62">
        <f ca="1">AVERAGE(OFFSET($EN$3,0,0,'Données projet'!$E$15+1,1))-AVERAGE(OFFSET($H$3,0,0,'Données projet'!$E$15+1,1))</f>
        <v>455.50822833641354</v>
      </c>
      <c r="EP106" s="62">
        <f t="shared" si="100"/>
        <v>261.14722581688039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243</v>
      </c>
      <c r="FF106" s="18">
        <f>FE106*VLOOKUP('Données projet'!$B$16,Paramètres!$A$1:$I$89,3,0)*VLOOKUP('Données projet'!$B$16,Paramètres!$A$1:$I$89,5,0)</f>
        <v>212.28480000000002</v>
      </c>
      <c r="FG106" s="14">
        <f t="shared" si="101"/>
        <v>52.434557099704193</v>
      </c>
      <c r="FH106" s="22">
        <f t="shared" si="76"/>
        <v>461.05288028198476</v>
      </c>
      <c r="FI106" s="62">
        <f t="shared" si="77"/>
        <v>754.38621361531807</v>
      </c>
      <c r="FJ106" s="62">
        <f ca="1">AVERAGE(OFFSET($FI$3,0,0,'Données projet'!$E$16+1,1))-AVERAGE(OFFSET($H$3,0,0,'Données projet'!$E$16+1,1))</f>
        <v>369.34989412920129</v>
      </c>
      <c r="FK106" s="62">
        <f t="shared" si="102"/>
        <v>371.26234252426553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0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>
        <f>FZ106*VLOOKUP('Données projet'!$B$17,Paramètres!$A$1:$I$89,3,0)*VLOOKUP('Données projet'!$B$17,Paramètres!$A$1:$I$89,5,0)</f>
        <v>0</v>
      </c>
      <c r="GB106" s="14" t="e">
        <f t="shared" si="103"/>
        <v>#NUM!</v>
      </c>
      <c r="GC106" s="22" t="e">
        <f t="shared" si="79"/>
        <v>#NUM!</v>
      </c>
      <c r="GD106" s="62" t="e">
        <f t="shared" si="80"/>
        <v>#NUM!</v>
      </c>
      <c r="GE106" s="62">
        <f ca="1">AVERAGE(OFFSET($GD$3,0,0,'Données projet'!$E$17+1,1))-AVERAGE(OFFSET($H$3,0,0,'Données projet'!$E$17+1,1))</f>
        <v>324.4489531703187</v>
      </c>
      <c r="GF106" s="62">
        <f t="shared" si="104"/>
        <v>446.55019360848706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projet'!$B$17,Paramètres!$A$1:$I$89,3,0)*0.475*44/12</f>
        <v>0</v>
      </c>
      <c r="GM106" s="23">
        <f>EXP(-LN(2)/25)*GM105+(1-EXP(-LN(2)/25))/(LN(2)/25)*Calculateur!GH106*Calculateur!GJ106*VLOOKUP('Données projet'!$B$17,Paramètres!$A$1:$I$89,3,0)*0.475*44/12</f>
        <v>0</v>
      </c>
      <c r="GN106" s="23">
        <f>EXP(-LN(2)/2)*GN105+(1-EXP(-LN(2)/2))/(LN(2)/2)*GH106*GK106*VLOOKUP('Données projet'!$B$17,Paramètres!$A$1:$I$89,3,0)*0.475*44/12</f>
        <v>0</v>
      </c>
      <c r="GO106" s="23">
        <f t="shared" si="81"/>
        <v>0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3.2051282051282102</v>
      </c>
      <c r="GU106" s="13">
        <f>IF('Données projet'!$A$270&gt;35,GU105+GT106-HC105,IF(A106&lt;'Données projet'!$A$270,$GR$205^A106,IF(A106='Données projet'!$A$270,'Données projet'!$B$270,GU105+GT106-HC105)))</f>
        <v>294.87179487179509</v>
      </c>
      <c r="GV106" s="18">
        <f>GU106*VLOOKUP('Données projet'!$B$18,Paramètres!$A$1:$I$89,3,0)*VLOOKUP('Données projet'!$B$18,Paramètres!$A$1:$I$89,5,0)</f>
        <v>197.80000000000015</v>
      </c>
      <c r="GW106" s="14">
        <f t="shared" si="105"/>
        <v>49.260363505790551</v>
      </c>
      <c r="GX106" s="22">
        <f t="shared" si="82"/>
        <v>430.29679977258542</v>
      </c>
      <c r="GY106" s="62">
        <f t="shared" si="83"/>
        <v>723.63013310591873</v>
      </c>
      <c r="GZ106" s="62">
        <f ca="1">AVERAGE(OFFSET($GY$3,0,0,'Données projet'!$E$18+1,1))-AVERAGE(OFFSET($H$3,0,0,'Données projet'!$E$18+1,1))</f>
        <v>312.06797204903796</v>
      </c>
      <c r="HA106" s="62">
        <f t="shared" si="106"/>
        <v>258.20189001775151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>
        <f>EXP(-LN(2)/35)*HG105+(1-EXP(-LN(2)/35))/(LN(2)/35)*HC106*HD106*VLOOKUP('Données projet'!$B$18,Paramètres!$A$1:$I$89,3,0)*0.475*44/12</f>
        <v>0</v>
      </c>
      <c r="HH106" s="23">
        <f>EXP(-LN(2)/25)*HH105+(1-EXP(-LN(2)/25))/(LN(2)/25)*Calculateur!HC106*Calculateur!HE106*VLOOKUP('Données projet'!$B$18,Paramètres!$A$1:$I$89,3,0)*0.475*44/12</f>
        <v>0</v>
      </c>
      <c r="HI106" s="23">
        <f>EXP(-LN(2)/2)*HI105+(1-EXP(-LN(2)/2))/(LN(2)/2)*HC106*HF106*VLOOKUP('Données projet'!$B$18,Paramètres!$A$1:$I$89,3,0)*0.475*44/12</f>
        <v>0</v>
      </c>
      <c r="HJ106" s="24">
        <f t="shared" si="84"/>
        <v>0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5.2</v>
      </c>
      <c r="N107" s="14">
        <f>IF('Données projet'!$A$36&gt;35,N106+M107-V106,IF(A107&lt;'Données projet'!$A$36,$K$205^A107,IF(A107='Données projet'!$A$36,'Données projet'!$B$36,N106+M107-V106)))</f>
        <v>326.79999999999984</v>
      </c>
      <c r="O107" s="14">
        <f>N107*VLOOKUP('Données projet'!$B$9,Paramètres!$A$1:$I$89,3,0)*VLOOKUP('Données projet'!$B$9,Paramètres!$A$1:$I$89,5,0)</f>
        <v>295.68863999999985</v>
      </c>
      <c r="P107" s="14">
        <f t="shared" si="87"/>
        <v>70.271876780519676</v>
      </c>
      <c r="Q107" s="22">
        <f t="shared" si="107"/>
        <v>637.38123339273818</v>
      </c>
      <c r="R107" s="62">
        <f t="shared" si="55"/>
        <v>930.71456672607155</v>
      </c>
      <c r="S107" s="62">
        <f ca="1">AVERAGE(OFFSET($R$3,0,0,'Données projet'!$E$9+1,1))-AVERAGE(OFFSET($H$3,0,0,'Données projet'!$E$9+1,1))</f>
        <v>512.84819850818667</v>
      </c>
      <c r="T107" s="62">
        <f t="shared" si="88"/>
        <v>332.61387922152159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-5.6843418860808015E-14</v>
      </c>
      <c r="AJ107" s="14">
        <f>AI107*VLOOKUP('Données projet'!$B$10,Paramètres!$A$1:$I$89,3,0)*VLOOKUP('Données projet'!$B$10,Paramètres!$A$1:$I$89,5,0)</f>
        <v>-4.1677594708744434E-14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344.45199703750711</v>
      </c>
      <c r="AO107" s="62">
        <f t="shared" si="90"/>
        <v>376.41441893222185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5.2</v>
      </c>
      <c r="BD107" s="13">
        <f>IF('Données projet'!$A$88&gt;35,BD106+BC107-BL106,IF(A107&lt;'Données projet'!$A$88,$BA$205^A107,IF(A107='Données projet'!$A$88,'Données projet'!$B$88,BD106+BC107-BL106)))</f>
        <v>326.79999999999984</v>
      </c>
      <c r="BE107" s="14">
        <f>BD107*VLOOKUP('Données projet'!$B$11,Paramètres!$A$1:$I$89,3,0)*VLOOKUP('Données projet'!$B$11,Paramètres!$A$1:$I$89,5,0)</f>
        <v>331.37519999999984</v>
      </c>
      <c r="BF107" s="14">
        <f t="shared" si="91"/>
        <v>77.715352174616896</v>
      </c>
      <c r="BG107" s="22">
        <f t="shared" si="61"/>
        <v>712.49937837079085</v>
      </c>
      <c r="BH107" s="62">
        <f t="shared" si="62"/>
        <v>1005.8327117041242</v>
      </c>
      <c r="BI107" s="62">
        <f ca="1">AVERAGE(OFFSET($BH$3,0,0,'Données projet'!$E$11+1,1))-AVERAGE(OFFSET($H$3,0,0,'Données projet'!$E$11+1,1))</f>
        <v>569.39473185784823</v>
      </c>
      <c r="BJ107" s="62">
        <f t="shared" si="92"/>
        <v>367.42881145517066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6.5</v>
      </c>
      <c r="BY107" s="13">
        <f>IF('Données projet'!$A$114&gt;35,BY106+BX107-CG106,IF(A107&lt;'Données projet'!$A$114,$BV$205^A107,IF(A107='Données projet'!$A$114,'Données projet'!$B$114,BY106+BX107-CG106)))</f>
        <v>401.99999999999989</v>
      </c>
      <c r="BZ107" s="14">
        <f>BY107*VLOOKUP('Données projet'!$B$12,Paramètres!$A$1:$I$89,3,0)*VLOOKUP('Données projet'!$B$12,Paramètres!$A$1:$I$89,5,0)</f>
        <v>344.91599999999994</v>
      </c>
      <c r="CA107" s="14">
        <f t="shared" si="93"/>
        <v>80.51477301506921</v>
      </c>
      <c r="CB107" s="22">
        <f t="shared" si="64"/>
        <v>740.9585963345786</v>
      </c>
      <c r="CC107" s="62">
        <f t="shared" si="65"/>
        <v>1034.291929667912</v>
      </c>
      <c r="CD107" s="62">
        <f ca="1">AVERAGE(OFFSET($CC$3,0,0,'Données projet'!$E$12+1,1))-AVERAGE(OFFSET($H$3,0,0,'Données projet'!$E$12+1,1))</f>
        <v>554.06253050955502</v>
      </c>
      <c r="CE107" s="62">
        <f t="shared" si="94"/>
        <v>269.71949336355789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1.1368683772161603E-13</v>
      </c>
      <c r="CU107" s="18">
        <f>CT107*VLOOKUP('Données projet'!$B$13,Paramètres!$A$1:$I$89,3,0)*VLOOKUP('Données projet'!$B$13,Paramètres!$A$1:$I$89,5,0)</f>
        <v>8.8675733422860506E-14</v>
      </c>
      <c r="CV107" s="14">
        <f t="shared" si="95"/>
        <v>1.3509285393066301E-12</v>
      </c>
      <c r="CW107" s="22">
        <f t="shared" si="67"/>
        <v>2.5073107750038623E-12</v>
      </c>
      <c r="CX107" s="62">
        <f t="shared" si="68"/>
        <v>293.33333333333582</v>
      </c>
      <c r="CY107" s="62">
        <f ca="1">AVERAGE(OFFSET($CX$3,0,0,'Données projet'!$E$13+1,1))-AVERAGE(OFFSET($H$3,0,0,'Données projet'!$E$13+1,1))</f>
        <v>292.21364130214391</v>
      </c>
      <c r="CZ107" s="62">
        <f t="shared" si="96"/>
        <v>283.48738729114024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3.5897435897435854</v>
      </c>
      <c r="DO107" s="13">
        <f>IF('Données projet'!$A$166&gt;35,DO106+DN107-DW106,IF(A107&lt;'Données projet'!$A$166,$DL$205^A107,IF(A107='Données projet'!$A$166,'Données projet'!$B$166,DO106+DN107-DW106)))</f>
        <v>272.05128205128227</v>
      </c>
      <c r="DP107" s="18">
        <f>DO107*VLOOKUP('Données projet'!$B$14,Paramètres!$A$1:$I$89,3,0)*VLOOKUP('Données projet'!$B$14,Paramètres!$A$1:$I$89,5,0)</f>
        <v>258.88400000000024</v>
      </c>
      <c r="DQ107" s="14">
        <f t="shared" si="97"/>
        <v>62.48443233272873</v>
      </c>
      <c r="DR107" s="22">
        <f t="shared" si="70"/>
        <v>559.71668631283626</v>
      </c>
      <c r="DS107" s="62">
        <f t="shared" si="71"/>
        <v>853.05001964616963</v>
      </c>
      <c r="DT107" s="62">
        <f ca="1">AVERAGE(OFFSET($DS$3,0,0,'Données projet'!$E$14+1,1))-AVERAGE(OFFSET($H$3,0,0,'Données projet'!$E$14+1,1))</f>
        <v>427.47603885390191</v>
      </c>
      <c r="DU107" s="62">
        <f t="shared" si="98"/>
        <v>350.88664394632116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4.4000000000000004</v>
      </c>
      <c r="EJ107" s="13">
        <f>IF('Données projet'!$A$192&gt;35,EJ106+EI107-ER106,IF(A107&lt;'Données projet'!$A$192,$EG$205^A107,IF(A107='Données projet'!$A$192,'Données projet'!$B$192,EJ106+EI107-ER106)))</f>
        <v>278.59999999999974</v>
      </c>
      <c r="EK107" s="18">
        <f>EJ107*VLOOKUP('Données projet'!$B$15,Paramètres!$A$1:$I$89,3,0)*VLOOKUP('Données projet'!$B$15,Paramètres!$A$1:$I$89,5,0)</f>
        <v>269.46191999999974</v>
      </c>
      <c r="EL107" s="14">
        <f t="shared" si="99"/>
        <v>64.735061876839055</v>
      </c>
      <c r="EM107" s="22">
        <f t="shared" si="73"/>
        <v>582.05974343549417</v>
      </c>
      <c r="EN107" s="62">
        <f t="shared" si="74"/>
        <v>875.39307676882754</v>
      </c>
      <c r="EO107" s="62">
        <f ca="1">AVERAGE(OFFSET($EN$3,0,0,'Données projet'!$E$15+1,1))-AVERAGE(OFFSET($H$3,0,0,'Données projet'!$E$15+1,1))</f>
        <v>455.50822833641354</v>
      </c>
      <c r="EP107" s="62">
        <f t="shared" si="100"/>
        <v>261.14722581688039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243</v>
      </c>
      <c r="FF107" s="18">
        <f>FE107*VLOOKUP('Données projet'!$B$16,Paramètres!$A$1:$I$89,3,0)*VLOOKUP('Données projet'!$B$16,Paramètres!$A$1:$I$89,5,0)</f>
        <v>212.28480000000002</v>
      </c>
      <c r="FG107" s="14">
        <f t="shared" si="101"/>
        <v>52.434557099704193</v>
      </c>
      <c r="FH107" s="22">
        <f t="shared" si="76"/>
        <v>461.05288028198476</v>
      </c>
      <c r="FI107" s="62">
        <f t="shared" si="77"/>
        <v>754.38621361531807</v>
      </c>
      <c r="FJ107" s="62">
        <f ca="1">AVERAGE(OFFSET($FI$3,0,0,'Données projet'!$E$16+1,1))-AVERAGE(OFFSET($H$3,0,0,'Données projet'!$E$16+1,1))</f>
        <v>369.34989412920129</v>
      </c>
      <c r="FK107" s="62">
        <f t="shared" si="102"/>
        <v>371.26234252426553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0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>
        <f>FZ107*VLOOKUP('Données projet'!$B$17,Paramètres!$A$1:$I$89,3,0)*VLOOKUP('Données projet'!$B$17,Paramètres!$A$1:$I$89,5,0)</f>
        <v>0</v>
      </c>
      <c r="GB107" s="14" t="e">
        <f t="shared" si="103"/>
        <v>#NUM!</v>
      </c>
      <c r="GC107" s="22" t="e">
        <f t="shared" si="79"/>
        <v>#NUM!</v>
      </c>
      <c r="GD107" s="62" t="e">
        <f t="shared" si="80"/>
        <v>#NUM!</v>
      </c>
      <c r="GE107" s="62">
        <f ca="1">AVERAGE(OFFSET($GD$3,0,0,'Données projet'!$E$17+1,1))-AVERAGE(OFFSET($H$3,0,0,'Données projet'!$E$17+1,1))</f>
        <v>324.4489531703187</v>
      </c>
      <c r="GF107" s="62">
        <f t="shared" si="104"/>
        <v>446.55019360848706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projet'!$B$17,Paramètres!$A$1:$I$89,3,0)*0.475*44/12</f>
        <v>0</v>
      </c>
      <c r="GM107" s="23">
        <f>EXP(-LN(2)/25)*GM106+(1-EXP(-LN(2)/25))/(LN(2)/25)*Calculateur!GH107*Calculateur!GJ107*VLOOKUP('Données projet'!$B$17,Paramètres!$A$1:$I$89,3,0)*0.475*44/12</f>
        <v>0</v>
      </c>
      <c r="GN107" s="23">
        <f>EXP(-LN(2)/2)*GN106+(1-EXP(-LN(2)/2))/(LN(2)/2)*GH107*GK107*VLOOKUP('Données projet'!$B$17,Paramètres!$A$1:$I$89,3,0)*0.475*44/12</f>
        <v>0</v>
      </c>
      <c r="GO107" s="23">
        <f t="shared" si="81"/>
        <v>0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3.2051282051282102</v>
      </c>
      <c r="GU107" s="13">
        <f>IF('Données projet'!$A$270&gt;35,GU106+GT107-HC106,IF(A107&lt;'Données projet'!$A$270,$GR$205^A107,IF(A107='Données projet'!$A$270,'Données projet'!$B$270,GU106+GT107-HC106)))</f>
        <v>298.07692307692332</v>
      </c>
      <c r="GV107" s="18">
        <f>GU107*VLOOKUP('Données projet'!$B$18,Paramètres!$A$1:$I$89,3,0)*VLOOKUP('Données projet'!$B$18,Paramètres!$A$1:$I$89,5,0)</f>
        <v>199.95000000000016</v>
      </c>
      <c r="GW107" s="14">
        <f t="shared" si="105"/>
        <v>49.733179078835313</v>
      </c>
      <c r="GX107" s="22">
        <f t="shared" si="82"/>
        <v>434.86487022897177</v>
      </c>
      <c r="GY107" s="62">
        <f t="shared" si="83"/>
        <v>728.19820356230503</v>
      </c>
      <c r="GZ107" s="62">
        <f ca="1">AVERAGE(OFFSET($GY$3,0,0,'Données projet'!$E$18+1,1))-AVERAGE(OFFSET($H$3,0,0,'Données projet'!$E$18+1,1))</f>
        <v>312.06797204903796</v>
      </c>
      <c r="HA107" s="62">
        <f t="shared" si="106"/>
        <v>258.20189001775151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>
        <f>EXP(-LN(2)/35)*HG106+(1-EXP(-LN(2)/35))/(LN(2)/35)*HC107*HD107*VLOOKUP('Données projet'!$B$18,Paramètres!$A$1:$I$89,3,0)*0.475*44/12</f>
        <v>0</v>
      </c>
      <c r="HH107" s="23">
        <f>EXP(-LN(2)/25)*HH106+(1-EXP(-LN(2)/25))/(LN(2)/25)*Calculateur!HC107*Calculateur!HE107*VLOOKUP('Données projet'!$B$18,Paramètres!$A$1:$I$89,3,0)*0.475*44/12</f>
        <v>0</v>
      </c>
      <c r="HI107" s="23">
        <f>EXP(-LN(2)/2)*HI106+(1-EXP(-LN(2)/2))/(LN(2)/2)*HC107*HF107*VLOOKUP('Données projet'!$B$18,Paramètres!$A$1:$I$89,3,0)*0.475*44/12</f>
        <v>0</v>
      </c>
      <c r="HJ107" s="24">
        <f t="shared" si="84"/>
        <v>0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5.2</v>
      </c>
      <c r="N108" s="14">
        <f>IF('Données projet'!$A$36&gt;35,N107+M108-V107,IF(A108&lt;'Données projet'!$A$36,$K$205^A108,IF(A108='Données projet'!$A$36,'Données projet'!$B$36,N107+M108-V107)))</f>
        <v>331.99999999999983</v>
      </c>
      <c r="O108" s="14">
        <f>N108*VLOOKUP('Données projet'!$B$9,Paramètres!$A$1:$I$89,3,0)*VLOOKUP('Données projet'!$B$9,Paramètres!$A$1:$I$89,5,0)</f>
        <v>300.39359999999982</v>
      </c>
      <c r="P108" s="14">
        <f t="shared" si="87"/>
        <v>71.258970856492667</v>
      </c>
      <c r="Q108" s="22">
        <f t="shared" si="107"/>
        <v>647.29489424172436</v>
      </c>
      <c r="R108" s="62">
        <f t="shared" si="55"/>
        <v>940.62822757505774</v>
      </c>
      <c r="S108" s="62">
        <f ca="1">AVERAGE(OFFSET($R$3,0,0,'Données projet'!$E$9+1,1))-AVERAGE(OFFSET($H$3,0,0,'Données projet'!$E$9+1,1))</f>
        <v>512.84819850818667</v>
      </c>
      <c r="T108" s="62">
        <f t="shared" si="88"/>
        <v>332.61387922152159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-5.6843418860808015E-14</v>
      </c>
      <c r="AJ108" s="14">
        <f>AI108*VLOOKUP('Données projet'!$B$10,Paramètres!$A$1:$I$89,3,0)*VLOOKUP('Données projet'!$B$10,Paramètres!$A$1:$I$89,5,0)</f>
        <v>-4.1677594708744434E-14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344.45199703750711</v>
      </c>
      <c r="AO108" s="62">
        <f t="shared" si="90"/>
        <v>376.41441893222185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5.2</v>
      </c>
      <c r="BD108" s="13">
        <f>IF('Données projet'!$A$88&gt;35,BD107+BC108-BL107,IF(A108&lt;'Données projet'!$A$88,$BA$205^A108,IF(A108='Données projet'!$A$88,'Données projet'!$B$88,BD107+BC108-BL107)))</f>
        <v>331.99999999999983</v>
      </c>
      <c r="BE108" s="14">
        <f>BD108*VLOOKUP('Données projet'!$B$11,Paramètres!$A$1:$I$89,3,0)*VLOOKUP('Données projet'!$B$11,Paramètres!$A$1:$I$89,5,0)</f>
        <v>336.64799999999985</v>
      </c>
      <c r="BF108" s="14">
        <f t="shared" si="91"/>
        <v>78.807003163010307</v>
      </c>
      <c r="BG108" s="22">
        <f t="shared" si="61"/>
        <v>723.58413050890931</v>
      </c>
      <c r="BH108" s="62">
        <f t="shared" si="62"/>
        <v>1016.9174638422426</v>
      </c>
      <c r="BI108" s="62">
        <f ca="1">AVERAGE(OFFSET($BH$3,0,0,'Données projet'!$E$11+1,1))-AVERAGE(OFFSET($H$3,0,0,'Données projet'!$E$11+1,1))</f>
        <v>569.39473185784823</v>
      </c>
      <c r="BJ108" s="62">
        <f t="shared" si="92"/>
        <v>367.42881145517066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6.5</v>
      </c>
      <c r="BY108" s="13">
        <f>IF('Données projet'!$A$114&gt;35,BY107+BX108-CG107,IF(A108&lt;'Données projet'!$A$114,$BV$205^A108,IF(A108='Données projet'!$A$114,'Données projet'!$B$114,BY107+BX108-CG107)))</f>
        <v>408.49999999999989</v>
      </c>
      <c r="BZ108" s="14">
        <f>BY108*VLOOKUP('Données projet'!$B$12,Paramètres!$A$1:$I$89,3,0)*VLOOKUP('Données projet'!$B$12,Paramètres!$A$1:$I$89,5,0)</f>
        <v>350.49299999999994</v>
      </c>
      <c r="CA108" s="14">
        <f t="shared" si="93"/>
        <v>81.66401674048538</v>
      </c>
      <c r="CB108" s="22">
        <f t="shared" si="64"/>
        <v>752.67347082301194</v>
      </c>
      <c r="CC108" s="62">
        <f t="shared" si="65"/>
        <v>1046.0068041563452</v>
      </c>
      <c r="CD108" s="62">
        <f ca="1">AVERAGE(OFFSET($CC$3,0,0,'Données projet'!$E$12+1,1))-AVERAGE(OFFSET($H$3,0,0,'Données projet'!$E$12+1,1))</f>
        <v>554.06253050955502</v>
      </c>
      <c r="CE108" s="62">
        <f t="shared" si="94"/>
        <v>269.71949336355789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1.1368683772161603E-13</v>
      </c>
      <c r="CU108" s="18">
        <f>CT108*VLOOKUP('Données projet'!$B$13,Paramètres!$A$1:$I$89,3,0)*VLOOKUP('Données projet'!$B$13,Paramètres!$A$1:$I$89,5,0)</f>
        <v>8.8675733422860506E-14</v>
      </c>
      <c r="CV108" s="14">
        <f t="shared" si="95"/>
        <v>1.3509285393066301E-12</v>
      </c>
      <c r="CW108" s="22">
        <f t="shared" si="67"/>
        <v>2.5073107750038623E-12</v>
      </c>
      <c r="CX108" s="62">
        <f t="shared" si="68"/>
        <v>293.33333333333582</v>
      </c>
      <c r="CY108" s="62">
        <f ca="1">AVERAGE(OFFSET($CX$3,0,0,'Données projet'!$E$13+1,1))-AVERAGE(OFFSET($H$3,0,0,'Données projet'!$E$13+1,1))</f>
        <v>292.21364130214391</v>
      </c>
      <c r="CZ108" s="62">
        <f t="shared" si="96"/>
        <v>283.48738729114024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3.5897435897435854</v>
      </c>
      <c r="DO108" s="13">
        <f>IF('Données projet'!$A$166&gt;35,DO107+DN108-DW107,IF(A108&lt;'Données projet'!$A$166,$DL$205^A108,IF(A108='Données projet'!$A$166,'Données projet'!$B$166,DO107+DN108-DW107)))</f>
        <v>275.64102564102586</v>
      </c>
      <c r="DP108" s="18">
        <f>DO108*VLOOKUP('Données projet'!$B$14,Paramètres!$A$1:$I$89,3,0)*VLOOKUP('Données projet'!$B$14,Paramètres!$A$1:$I$89,5,0)</f>
        <v>262.30000000000024</v>
      </c>
      <c r="DQ108" s="14">
        <f t="shared" si="97"/>
        <v>63.212393426010266</v>
      </c>
      <c r="DR108" s="22">
        <f t="shared" si="70"/>
        <v>566.93408521696813</v>
      </c>
      <c r="DS108" s="62">
        <f t="shared" si="71"/>
        <v>860.2674185503015</v>
      </c>
      <c r="DT108" s="62">
        <f ca="1">AVERAGE(OFFSET($DS$3,0,0,'Données projet'!$E$14+1,1))-AVERAGE(OFFSET($H$3,0,0,'Données projet'!$E$14+1,1))</f>
        <v>427.47603885390191</v>
      </c>
      <c r="DU108" s="62">
        <f t="shared" si="98"/>
        <v>350.88664394632116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4.4000000000000004</v>
      </c>
      <c r="EJ108" s="13">
        <f>IF('Données projet'!$A$192&gt;35,EJ107+EI108-ER107,IF(A108&lt;'Données projet'!$A$192,$EG$205^A108,IF(A108='Données projet'!$A$192,'Données projet'!$B$192,EJ107+EI108-ER107)))</f>
        <v>282.99999999999972</v>
      </c>
      <c r="EK108" s="18">
        <f>EJ108*VLOOKUP('Données projet'!$B$15,Paramètres!$A$1:$I$89,3,0)*VLOOKUP('Données projet'!$B$15,Paramètres!$A$1:$I$89,5,0)</f>
        <v>273.71759999999972</v>
      </c>
      <c r="EL108" s="14">
        <f t="shared" si="99"/>
        <v>65.637608810456612</v>
      </c>
      <c r="EM108" s="22">
        <f t="shared" si="73"/>
        <v>591.04365534487806</v>
      </c>
      <c r="EN108" s="62">
        <f t="shared" si="74"/>
        <v>884.37698867821132</v>
      </c>
      <c r="EO108" s="62">
        <f ca="1">AVERAGE(OFFSET($EN$3,0,0,'Données projet'!$E$15+1,1))-AVERAGE(OFFSET($H$3,0,0,'Données projet'!$E$15+1,1))</f>
        <v>455.50822833641354</v>
      </c>
      <c r="EP108" s="62">
        <f t="shared" si="100"/>
        <v>261.14722581688039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243</v>
      </c>
      <c r="FF108" s="18">
        <f>FE108*VLOOKUP('Données projet'!$B$16,Paramètres!$A$1:$I$89,3,0)*VLOOKUP('Données projet'!$B$16,Paramètres!$A$1:$I$89,5,0)</f>
        <v>212.28480000000002</v>
      </c>
      <c r="FG108" s="14">
        <f t="shared" si="101"/>
        <v>52.434557099704193</v>
      </c>
      <c r="FH108" s="22">
        <f t="shared" si="76"/>
        <v>461.05288028198476</v>
      </c>
      <c r="FI108" s="62">
        <f t="shared" si="77"/>
        <v>754.38621361531807</v>
      </c>
      <c r="FJ108" s="62">
        <f ca="1">AVERAGE(OFFSET($FI$3,0,0,'Données projet'!$E$16+1,1))-AVERAGE(OFFSET($H$3,0,0,'Données projet'!$E$16+1,1))</f>
        <v>369.34989412920129</v>
      </c>
      <c r="FK108" s="62">
        <f t="shared" si="102"/>
        <v>371.26234252426553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0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>
        <f>FZ108*VLOOKUP('Données projet'!$B$17,Paramètres!$A$1:$I$89,3,0)*VLOOKUP('Données projet'!$B$17,Paramètres!$A$1:$I$89,5,0)</f>
        <v>0</v>
      </c>
      <c r="GB108" s="14" t="e">
        <f t="shared" si="103"/>
        <v>#NUM!</v>
      </c>
      <c r="GC108" s="22" t="e">
        <f t="shared" si="79"/>
        <v>#NUM!</v>
      </c>
      <c r="GD108" s="62" t="e">
        <f t="shared" si="80"/>
        <v>#NUM!</v>
      </c>
      <c r="GE108" s="62">
        <f ca="1">AVERAGE(OFFSET($GD$3,0,0,'Données projet'!$E$17+1,1))-AVERAGE(OFFSET($H$3,0,0,'Données projet'!$E$17+1,1))</f>
        <v>324.4489531703187</v>
      </c>
      <c r="GF108" s="62">
        <f t="shared" si="104"/>
        <v>446.55019360848706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projet'!$B$17,Paramètres!$A$1:$I$89,3,0)*0.475*44/12</f>
        <v>0</v>
      </c>
      <c r="GM108" s="23">
        <f>EXP(-LN(2)/25)*GM107+(1-EXP(-LN(2)/25))/(LN(2)/25)*Calculateur!GH108*Calculateur!GJ108*VLOOKUP('Données projet'!$B$17,Paramètres!$A$1:$I$89,3,0)*0.475*44/12</f>
        <v>0</v>
      </c>
      <c r="GN108" s="23">
        <f>EXP(-LN(2)/2)*GN107+(1-EXP(-LN(2)/2))/(LN(2)/2)*GH108*GK108*VLOOKUP('Données projet'!$B$17,Paramètres!$A$1:$I$89,3,0)*0.475*44/12</f>
        <v>0</v>
      </c>
      <c r="GO108" s="23">
        <f t="shared" si="81"/>
        <v>0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>
        <f>VLOOKUP(A108,'Données projet'!$A$269:$I$289,2,0)</f>
        <v>301.28205128205127</v>
      </c>
      <c r="GS108" s="13">
        <f>VLOOKUP(A108,'Données projet'!$A$269:$I$289,9,0)</f>
        <v>3.2051282051282102</v>
      </c>
      <c r="GT108" s="13">
        <f t="array" ref="GT108">INDEX(GS:GS,MIN(IF(ISNUMBER(GS108:GS304),ROW(GS108:GS304),"")))</f>
        <v>3.2051282051282102</v>
      </c>
      <c r="GU108" s="13">
        <f>IF('Données projet'!$A$270&gt;35,GU107+GT108-HC107,IF(A108&lt;'Données projet'!$A$270,$GR$205^A108,IF(A108='Données projet'!$A$270,'Données projet'!$B$270,GU107+GT108-HC107)))</f>
        <v>301.28205128205155</v>
      </c>
      <c r="GV108" s="18">
        <f>GU108*VLOOKUP('Données projet'!$B$18,Paramètres!$A$1:$I$89,3,0)*VLOOKUP('Données projet'!$B$18,Paramètres!$A$1:$I$89,5,0)</f>
        <v>202.10000000000016</v>
      </c>
      <c r="GW108" s="14">
        <f t="shared" si="105"/>
        <v>50.205403227941737</v>
      </c>
      <c r="GX108" s="22">
        <f t="shared" si="82"/>
        <v>439.43191062199884</v>
      </c>
      <c r="GY108" s="62">
        <f t="shared" si="83"/>
        <v>732.76524395533215</v>
      </c>
      <c r="GZ108" s="62">
        <f ca="1">AVERAGE(OFFSET($GY$3,0,0,'Données projet'!$E$18+1,1))-AVERAGE(OFFSET($H$3,0,0,'Données projet'!$E$18+1,1))</f>
        <v>312.06797204903796</v>
      </c>
      <c r="HA108" s="62">
        <f t="shared" si="106"/>
        <v>258.20189001775151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>
        <f>EXP(-LN(2)/35)*HG107+(1-EXP(-LN(2)/35))/(LN(2)/35)*HC108*HD108*VLOOKUP('Données projet'!$B$18,Paramètres!$A$1:$I$89,3,0)*0.475*44/12</f>
        <v>0</v>
      </c>
      <c r="HH108" s="23">
        <f>EXP(-LN(2)/25)*HH107+(1-EXP(-LN(2)/25))/(LN(2)/25)*Calculateur!HC108*Calculateur!HE108*VLOOKUP('Données projet'!$B$18,Paramètres!$A$1:$I$89,3,0)*0.475*44/12</f>
        <v>0</v>
      </c>
      <c r="HI108" s="23">
        <f>EXP(-LN(2)/2)*HI107+(1-EXP(-LN(2)/2))/(LN(2)/2)*HC108*HF108*VLOOKUP('Données projet'!$B$18,Paramètres!$A$1:$I$89,3,0)*0.475*44/12</f>
        <v>0</v>
      </c>
      <c r="HJ108" s="24">
        <f t="shared" si="84"/>
        <v>0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5.2</v>
      </c>
      <c r="N109" s="14">
        <f>IF('Données projet'!$A$36&gt;35,N108+M109-V108,IF(A109&lt;'Données projet'!$A$36,$K$205^A109,IF(A109='Données projet'!$A$36,'Données projet'!$B$36,N108+M109-V108)))</f>
        <v>337.19999999999982</v>
      </c>
      <c r="O109" s="14">
        <f>N109*VLOOKUP('Données projet'!$B$9,Paramètres!$A$1:$I$89,3,0)*VLOOKUP('Données projet'!$B$9,Paramètres!$A$1:$I$89,5,0)</f>
        <v>305.09855999999985</v>
      </c>
      <c r="P109" s="14">
        <f t="shared" si="87"/>
        <v>72.244266890878791</v>
      </c>
      <c r="Q109" s="22">
        <f t="shared" si="107"/>
        <v>657.20542350161361</v>
      </c>
      <c r="R109" s="62">
        <f t="shared" si="55"/>
        <v>950.53875683494698</v>
      </c>
      <c r="S109" s="62">
        <f ca="1">AVERAGE(OFFSET($R$3,0,0,'Données projet'!$E$9+1,1))-AVERAGE(OFFSET($H$3,0,0,'Données projet'!$E$9+1,1))</f>
        <v>512.84819850818667</v>
      </c>
      <c r="T109" s="62">
        <f t="shared" si="88"/>
        <v>332.61387922152159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-5.6843418860808015E-14</v>
      </c>
      <c r="AJ109" s="14">
        <f>AI109*VLOOKUP('Données projet'!$B$10,Paramètres!$A$1:$I$89,3,0)*VLOOKUP('Données projet'!$B$10,Paramètres!$A$1:$I$89,5,0)</f>
        <v>-4.1677594708744434E-14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344.45199703750711</v>
      </c>
      <c r="AO109" s="62">
        <f t="shared" si="90"/>
        <v>376.41441893222185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5.2</v>
      </c>
      <c r="BD109" s="13">
        <f>IF('Données projet'!$A$88&gt;35,BD108+BC109-BL108,IF(A109&lt;'Données projet'!$A$88,$BA$205^A109,IF(A109='Données projet'!$A$88,'Données projet'!$B$88,BD108+BC109-BL108)))</f>
        <v>337.19999999999982</v>
      </c>
      <c r="BE109" s="14">
        <f>BD109*VLOOKUP('Données projet'!$B$11,Paramètres!$A$1:$I$89,3,0)*VLOOKUP('Données projet'!$B$11,Paramètres!$A$1:$I$89,5,0)</f>
        <v>341.92079999999987</v>
      </c>
      <c r="BF109" s="14">
        <f t="shared" si="91"/>
        <v>79.896665654133599</v>
      </c>
      <c r="BG109" s="22">
        <f t="shared" si="61"/>
        <v>734.66541934761574</v>
      </c>
      <c r="BH109" s="62">
        <f t="shared" si="62"/>
        <v>1027.9987526809491</v>
      </c>
      <c r="BI109" s="62">
        <f ca="1">AVERAGE(OFFSET($BH$3,0,0,'Données projet'!$E$11+1,1))-AVERAGE(OFFSET($H$3,0,0,'Données projet'!$E$11+1,1))</f>
        <v>569.39473185784823</v>
      </c>
      <c r="BJ109" s="62">
        <f t="shared" si="92"/>
        <v>367.42881145517066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6.5</v>
      </c>
      <c r="BY109" s="13">
        <f>IF('Données projet'!$A$114&gt;35,BY108+BX109-CG108,IF(A109&lt;'Données projet'!$A$114,$BV$205^A109,IF(A109='Données projet'!$A$114,'Données projet'!$B$114,BY108+BX109-CG108)))</f>
        <v>414.99999999999989</v>
      </c>
      <c r="BZ109" s="14">
        <f>BY109*VLOOKUP('Données projet'!$B$12,Paramètres!$A$1:$I$89,3,0)*VLOOKUP('Données projet'!$B$12,Paramètres!$A$1:$I$89,5,0)</f>
        <v>356.06999999999994</v>
      </c>
      <c r="CA109" s="14">
        <f t="shared" si="93"/>
        <v>82.811133778450042</v>
      </c>
      <c r="CB109" s="22">
        <f t="shared" si="64"/>
        <v>764.38464133080026</v>
      </c>
      <c r="CC109" s="62">
        <f t="shared" si="65"/>
        <v>1057.7179746641336</v>
      </c>
      <c r="CD109" s="62">
        <f ca="1">AVERAGE(OFFSET($CC$3,0,0,'Données projet'!$E$12+1,1))-AVERAGE(OFFSET($H$3,0,0,'Données projet'!$E$12+1,1))</f>
        <v>554.06253050955502</v>
      </c>
      <c r="CE109" s="62">
        <f t="shared" si="94"/>
        <v>269.71949336355789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1.1368683772161603E-13</v>
      </c>
      <c r="CU109" s="18">
        <f>CT109*VLOOKUP('Données projet'!$B$13,Paramètres!$A$1:$I$89,3,0)*VLOOKUP('Données projet'!$B$13,Paramètres!$A$1:$I$89,5,0)</f>
        <v>8.8675733422860506E-14</v>
      </c>
      <c r="CV109" s="14">
        <f t="shared" si="95"/>
        <v>1.3509285393066301E-12</v>
      </c>
      <c r="CW109" s="22">
        <f t="shared" si="67"/>
        <v>2.5073107750038623E-12</v>
      </c>
      <c r="CX109" s="62">
        <f t="shared" si="68"/>
        <v>293.33333333333582</v>
      </c>
      <c r="CY109" s="62">
        <f ca="1">AVERAGE(OFFSET($CX$3,0,0,'Données projet'!$E$13+1,1))-AVERAGE(OFFSET($H$3,0,0,'Données projet'!$E$13+1,1))</f>
        <v>292.21364130214391</v>
      </c>
      <c r="CZ109" s="62">
        <f t="shared" si="96"/>
        <v>283.48738729114024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3.5897435897435854</v>
      </c>
      <c r="DO109" s="13">
        <f>IF('Données projet'!$A$166&gt;35,DO108+DN109-DW108,IF(A109&lt;'Données projet'!$A$166,$DL$205^A109,IF(A109='Données projet'!$A$166,'Données projet'!$B$166,DO108+DN109-DW108)))</f>
        <v>279.23076923076945</v>
      </c>
      <c r="DP109" s="18">
        <f>DO109*VLOOKUP('Données projet'!$B$14,Paramètres!$A$1:$I$89,3,0)*VLOOKUP('Données projet'!$B$14,Paramètres!$A$1:$I$89,5,0)</f>
        <v>265.71600000000024</v>
      </c>
      <c r="DQ109" s="14">
        <f t="shared" si="97"/>
        <v>63.939251801025335</v>
      </c>
      <c r="DR109" s="22">
        <f t="shared" si="70"/>
        <v>574.14956355345282</v>
      </c>
      <c r="DS109" s="62">
        <f t="shared" si="71"/>
        <v>867.48289688678619</v>
      </c>
      <c r="DT109" s="62">
        <f ca="1">AVERAGE(OFFSET($DS$3,0,0,'Données projet'!$E$14+1,1))-AVERAGE(OFFSET($H$3,0,0,'Données projet'!$E$14+1,1))</f>
        <v>427.47603885390191</v>
      </c>
      <c r="DU109" s="62">
        <f t="shared" si="98"/>
        <v>350.88664394632116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4.4000000000000004</v>
      </c>
      <c r="EJ109" s="13">
        <f>IF('Données projet'!$A$192&gt;35,EJ108+EI109-ER108,IF(A109&lt;'Données projet'!$A$192,$EG$205^A109,IF(A109='Données projet'!$A$192,'Données projet'!$B$192,EJ108+EI109-ER108)))</f>
        <v>287.39999999999969</v>
      </c>
      <c r="EK109" s="18">
        <f>EJ109*VLOOKUP('Données projet'!$B$15,Paramètres!$A$1:$I$89,3,0)*VLOOKUP('Données projet'!$B$15,Paramètres!$A$1:$I$89,5,0)</f>
        <v>277.9732799999997</v>
      </c>
      <c r="EL109" s="14">
        <f t="shared" si="99"/>
        <v>66.538523764973135</v>
      </c>
      <c r="EM109" s="22">
        <f t="shared" si="73"/>
        <v>600.0247248906611</v>
      </c>
      <c r="EN109" s="62">
        <f t="shared" si="74"/>
        <v>893.35805822399448</v>
      </c>
      <c r="EO109" s="62">
        <f ca="1">AVERAGE(OFFSET($EN$3,0,0,'Données projet'!$E$15+1,1))-AVERAGE(OFFSET($H$3,0,0,'Données projet'!$E$15+1,1))</f>
        <v>455.50822833641354</v>
      </c>
      <c r="EP109" s="62">
        <f t="shared" si="100"/>
        <v>261.14722581688039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243</v>
      </c>
      <c r="FF109" s="18">
        <f>FE109*VLOOKUP('Données projet'!$B$16,Paramètres!$A$1:$I$89,3,0)*VLOOKUP('Données projet'!$B$16,Paramètres!$A$1:$I$89,5,0)</f>
        <v>212.28480000000002</v>
      </c>
      <c r="FG109" s="14">
        <f t="shared" si="101"/>
        <v>52.434557099704193</v>
      </c>
      <c r="FH109" s="22">
        <f t="shared" si="76"/>
        <v>461.05288028198476</v>
      </c>
      <c r="FI109" s="62">
        <f t="shared" si="77"/>
        <v>754.38621361531807</v>
      </c>
      <c r="FJ109" s="62">
        <f ca="1">AVERAGE(OFFSET($FI$3,0,0,'Données projet'!$E$16+1,1))-AVERAGE(OFFSET($H$3,0,0,'Données projet'!$E$16+1,1))</f>
        <v>369.34989412920129</v>
      </c>
      <c r="FK109" s="62">
        <f t="shared" si="102"/>
        <v>371.26234252426553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0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>
        <f>FZ109*VLOOKUP('Données projet'!$B$17,Paramètres!$A$1:$I$89,3,0)*VLOOKUP('Données projet'!$B$17,Paramètres!$A$1:$I$89,5,0)</f>
        <v>0</v>
      </c>
      <c r="GB109" s="14" t="e">
        <f t="shared" si="103"/>
        <v>#NUM!</v>
      </c>
      <c r="GC109" s="22" t="e">
        <f t="shared" si="79"/>
        <v>#NUM!</v>
      </c>
      <c r="GD109" s="62" t="e">
        <f t="shared" si="80"/>
        <v>#NUM!</v>
      </c>
      <c r="GE109" s="62">
        <f ca="1">AVERAGE(OFFSET($GD$3,0,0,'Données projet'!$E$17+1,1))-AVERAGE(OFFSET($H$3,0,0,'Données projet'!$E$17+1,1))</f>
        <v>324.4489531703187</v>
      </c>
      <c r="GF109" s="62">
        <f t="shared" si="104"/>
        <v>446.55019360848706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projet'!$B$17,Paramètres!$A$1:$I$89,3,0)*0.475*44/12</f>
        <v>0</v>
      </c>
      <c r="GM109" s="23">
        <f>EXP(-LN(2)/25)*GM108+(1-EXP(-LN(2)/25))/(LN(2)/25)*Calculateur!GH109*Calculateur!GJ109*VLOOKUP('Données projet'!$B$17,Paramètres!$A$1:$I$89,3,0)*0.475*44/12</f>
        <v>0</v>
      </c>
      <c r="GN109" s="23">
        <f>EXP(-LN(2)/2)*GN108+(1-EXP(-LN(2)/2))/(LN(2)/2)*GH109*GK109*VLOOKUP('Données projet'!$B$17,Paramètres!$A$1:$I$89,3,0)*0.475*44/12</f>
        <v>0</v>
      </c>
      <c r="GO109" s="23">
        <f t="shared" si="81"/>
        <v>0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3.333333333333337</v>
      </c>
      <c r="GU109" s="13">
        <f>IF('Données projet'!$A$270&gt;35,GU108+GT109-HC108,IF(A109&lt;'Données projet'!$A$270,$GR$205^A109,IF(A109='Données projet'!$A$270,'Données projet'!$B$270,GU108+GT109-HC108)))</f>
        <v>304.61538461538487</v>
      </c>
      <c r="GV109" s="18">
        <f>GU109*VLOOKUP('Données projet'!$B$18,Paramètres!$A$1:$I$89,3,0)*VLOOKUP('Données projet'!$B$18,Paramètres!$A$1:$I$89,5,0)</f>
        <v>204.33600000000018</v>
      </c>
      <c r="GW109" s="14">
        <f t="shared" si="105"/>
        <v>50.695896504938347</v>
      </c>
      <c r="GX109" s="22">
        <f t="shared" si="82"/>
        <v>444.18055307943456</v>
      </c>
      <c r="GY109" s="62">
        <f t="shared" si="83"/>
        <v>737.51388641276787</v>
      </c>
      <c r="GZ109" s="62">
        <f ca="1">AVERAGE(OFFSET($GY$3,0,0,'Données projet'!$E$18+1,1))-AVERAGE(OFFSET($H$3,0,0,'Données projet'!$E$18+1,1))</f>
        <v>312.06797204903796</v>
      </c>
      <c r="HA109" s="62">
        <f t="shared" si="106"/>
        <v>258.20189001775151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>
        <f>EXP(-LN(2)/35)*HG108+(1-EXP(-LN(2)/35))/(LN(2)/35)*HC109*HD109*VLOOKUP('Données projet'!$B$18,Paramètres!$A$1:$I$89,3,0)*0.475*44/12</f>
        <v>0</v>
      </c>
      <c r="HH109" s="23">
        <f>EXP(-LN(2)/25)*HH108+(1-EXP(-LN(2)/25))/(LN(2)/25)*Calculateur!HC109*Calculateur!HE109*VLOOKUP('Données projet'!$B$18,Paramètres!$A$1:$I$89,3,0)*0.475*44/12</f>
        <v>0</v>
      </c>
      <c r="HI109" s="23">
        <f>EXP(-LN(2)/2)*HI108+(1-EXP(-LN(2)/2))/(LN(2)/2)*HC109*HF109*VLOOKUP('Données projet'!$B$18,Paramètres!$A$1:$I$89,3,0)*0.475*44/12</f>
        <v>0</v>
      </c>
      <c r="HJ109" s="24">
        <f t="shared" si="84"/>
        <v>0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5.2</v>
      </c>
      <c r="N110" s="14">
        <f>IF('Données projet'!$A$36&gt;35,N109+M110-V109,IF(A110&lt;'Données projet'!$A$36,$K$205^A110,IF(A110='Données projet'!$A$36,'Données projet'!$B$36,N109+M110-V109)))</f>
        <v>342.39999999999981</v>
      </c>
      <c r="O110" s="14">
        <f>N110*VLOOKUP('Données projet'!$B$9,Paramètres!$A$1:$I$89,3,0)*VLOOKUP('Données projet'!$B$9,Paramètres!$A$1:$I$89,5,0)</f>
        <v>309.80351999999982</v>
      </c>
      <c r="P110" s="14">
        <f t="shared" si="87"/>
        <v>73.227795813703764</v>
      </c>
      <c r="Q110" s="22">
        <f t="shared" si="107"/>
        <v>667.11287504220047</v>
      </c>
      <c r="R110" s="62">
        <f t="shared" si="55"/>
        <v>960.44620837553384</v>
      </c>
      <c r="S110" s="62">
        <f ca="1">AVERAGE(OFFSET($R$3,0,0,'Données projet'!$E$9+1,1))-AVERAGE(OFFSET($H$3,0,0,'Données projet'!$E$9+1,1))</f>
        <v>512.84819850818667</v>
      </c>
      <c r="T110" s="62">
        <f t="shared" si="88"/>
        <v>332.61387922152159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-5.6843418860808015E-14</v>
      </c>
      <c r="AJ110" s="14">
        <f>AI110*VLOOKUP('Données projet'!$B$10,Paramètres!$A$1:$I$89,3,0)*VLOOKUP('Données projet'!$B$10,Paramètres!$A$1:$I$89,5,0)</f>
        <v>-4.1677594708744434E-14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344.45199703750711</v>
      </c>
      <c r="AO110" s="62">
        <f t="shared" si="90"/>
        <v>376.41441893222185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5.2</v>
      </c>
      <c r="BD110" s="13">
        <f>IF('Données projet'!$A$88&gt;35,BD109+BC110-BL109,IF(A110&lt;'Données projet'!$A$88,$BA$205^A110,IF(A110='Données projet'!$A$88,'Données projet'!$B$88,BD109+BC110-BL109)))</f>
        <v>342.39999999999981</v>
      </c>
      <c r="BE110" s="14">
        <f>BD110*VLOOKUP('Données projet'!$B$11,Paramètres!$A$1:$I$89,3,0)*VLOOKUP('Données projet'!$B$11,Paramètres!$A$1:$I$89,5,0)</f>
        <v>347.19359999999983</v>
      </c>
      <c r="BF110" s="14">
        <f t="shared" si="91"/>
        <v>80.984373854243287</v>
      </c>
      <c r="BG110" s="22">
        <f t="shared" si="61"/>
        <v>745.7433044628068</v>
      </c>
      <c r="BH110" s="62">
        <f t="shared" si="62"/>
        <v>1039.0766377961402</v>
      </c>
      <c r="BI110" s="62">
        <f ca="1">AVERAGE(OFFSET($BH$3,0,0,'Données projet'!$E$11+1,1))-AVERAGE(OFFSET($H$3,0,0,'Données projet'!$E$11+1,1))</f>
        <v>569.39473185784823</v>
      </c>
      <c r="BJ110" s="62">
        <f t="shared" si="92"/>
        <v>367.42881145517066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6.5</v>
      </c>
      <c r="BY110" s="13">
        <f>IF('Données projet'!$A$114&gt;35,BY109+BX110-CG109,IF(A110&lt;'Données projet'!$A$114,$BV$205^A110,IF(A110='Données projet'!$A$114,'Données projet'!$B$114,BY109+BX110-CG109)))</f>
        <v>421.49999999999989</v>
      </c>
      <c r="BZ110" s="14">
        <f>BY110*VLOOKUP('Données projet'!$B$12,Paramètres!$A$1:$I$89,3,0)*VLOOKUP('Données projet'!$B$12,Paramètres!$A$1:$I$89,5,0)</f>
        <v>361.64699999999993</v>
      </c>
      <c r="CA110" s="14">
        <f t="shared" si="93"/>
        <v>83.956161284941132</v>
      </c>
      <c r="CB110" s="22">
        <f t="shared" si="64"/>
        <v>776.09217257127227</v>
      </c>
      <c r="CC110" s="62">
        <f t="shared" si="65"/>
        <v>1069.4255059046056</v>
      </c>
      <c r="CD110" s="62">
        <f ca="1">AVERAGE(OFFSET($CC$3,0,0,'Données projet'!$E$12+1,1))-AVERAGE(OFFSET($H$3,0,0,'Données projet'!$E$12+1,1))</f>
        <v>554.06253050955502</v>
      </c>
      <c r="CE110" s="62">
        <f t="shared" si="94"/>
        <v>269.71949336355789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1.1368683772161603E-13</v>
      </c>
      <c r="CU110" s="18">
        <f>CT110*VLOOKUP('Données projet'!$B$13,Paramètres!$A$1:$I$89,3,0)*VLOOKUP('Données projet'!$B$13,Paramètres!$A$1:$I$89,5,0)</f>
        <v>8.8675733422860506E-14</v>
      </c>
      <c r="CV110" s="14">
        <f t="shared" si="95"/>
        <v>1.3509285393066301E-12</v>
      </c>
      <c r="CW110" s="22">
        <f t="shared" si="67"/>
        <v>2.5073107750038623E-12</v>
      </c>
      <c r="CX110" s="62">
        <f t="shared" si="68"/>
        <v>293.33333333333582</v>
      </c>
      <c r="CY110" s="62">
        <f ca="1">AVERAGE(OFFSET($CX$3,0,0,'Données projet'!$E$13+1,1))-AVERAGE(OFFSET($H$3,0,0,'Données projet'!$E$13+1,1))</f>
        <v>292.21364130214391</v>
      </c>
      <c r="CZ110" s="62">
        <f t="shared" si="96"/>
        <v>283.48738729114024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3.5897435897435854</v>
      </c>
      <c r="DO110" s="13">
        <f>IF('Données projet'!$A$166&gt;35,DO109+DN110-DW109,IF(A110&lt;'Données projet'!$A$166,$DL$205^A110,IF(A110='Données projet'!$A$166,'Données projet'!$B$166,DO109+DN110-DW109)))</f>
        <v>282.82051282051304</v>
      </c>
      <c r="DP110" s="18">
        <f>DO110*VLOOKUP('Données projet'!$B$14,Paramètres!$A$1:$I$89,3,0)*VLOOKUP('Données projet'!$B$14,Paramètres!$A$1:$I$89,5,0)</f>
        <v>269.13200000000023</v>
      </c>
      <c r="DQ110" s="14">
        <f t="shared" si="97"/>
        <v>64.665023273302722</v>
      </c>
      <c r="DR110" s="22">
        <f t="shared" si="70"/>
        <v>581.36314886766934</v>
      </c>
      <c r="DS110" s="62">
        <f t="shared" si="71"/>
        <v>874.69648220100271</v>
      </c>
      <c r="DT110" s="62">
        <f ca="1">AVERAGE(OFFSET($DS$3,0,0,'Données projet'!$E$14+1,1))-AVERAGE(OFFSET($H$3,0,0,'Données projet'!$E$14+1,1))</f>
        <v>427.47603885390191</v>
      </c>
      <c r="DU110" s="62">
        <f t="shared" si="98"/>
        <v>350.88664394632116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4.4000000000000004</v>
      </c>
      <c r="EJ110" s="13">
        <f>IF('Données projet'!$A$192&gt;35,EJ109+EI110-ER109,IF(A110&lt;'Données projet'!$A$192,$EG$205^A110,IF(A110='Données projet'!$A$192,'Données projet'!$B$192,EJ109+EI110-ER109)))</f>
        <v>291.79999999999967</v>
      </c>
      <c r="EK110" s="18">
        <f>EJ110*VLOOKUP('Données projet'!$B$15,Paramètres!$A$1:$I$89,3,0)*VLOOKUP('Données projet'!$B$15,Paramètres!$A$1:$I$89,5,0)</f>
        <v>282.22895999999969</v>
      </c>
      <c r="EL110" s="14">
        <f t="shared" si="99"/>
        <v>67.437834611070301</v>
      </c>
      <c r="EM110" s="22">
        <f t="shared" si="73"/>
        <v>609.00300061428027</v>
      </c>
      <c r="EN110" s="62">
        <f t="shared" si="74"/>
        <v>902.33633394761364</v>
      </c>
      <c r="EO110" s="62">
        <f ca="1">AVERAGE(OFFSET($EN$3,0,0,'Données projet'!$E$15+1,1))-AVERAGE(OFFSET($H$3,0,0,'Données projet'!$E$15+1,1))</f>
        <v>455.50822833641354</v>
      </c>
      <c r="EP110" s="62">
        <f t="shared" si="100"/>
        <v>261.14722581688039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243</v>
      </c>
      <c r="FF110" s="18">
        <f>FE110*VLOOKUP('Données projet'!$B$16,Paramètres!$A$1:$I$89,3,0)*VLOOKUP('Données projet'!$B$16,Paramètres!$A$1:$I$89,5,0)</f>
        <v>212.28480000000002</v>
      </c>
      <c r="FG110" s="14">
        <f t="shared" si="101"/>
        <v>52.434557099704193</v>
      </c>
      <c r="FH110" s="22">
        <f t="shared" si="76"/>
        <v>461.05288028198476</v>
      </c>
      <c r="FI110" s="62">
        <f t="shared" si="77"/>
        <v>754.38621361531807</v>
      </c>
      <c r="FJ110" s="62">
        <f ca="1">AVERAGE(OFFSET($FI$3,0,0,'Données projet'!$E$16+1,1))-AVERAGE(OFFSET($H$3,0,0,'Données projet'!$E$16+1,1))</f>
        <v>369.34989412920129</v>
      </c>
      <c r="FK110" s="62">
        <f t="shared" si="102"/>
        <v>371.26234252426553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0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>
        <f>FZ110*VLOOKUP('Données projet'!$B$17,Paramètres!$A$1:$I$89,3,0)*VLOOKUP('Données projet'!$B$17,Paramètres!$A$1:$I$89,5,0)</f>
        <v>0</v>
      </c>
      <c r="GB110" s="14" t="e">
        <f t="shared" si="103"/>
        <v>#NUM!</v>
      </c>
      <c r="GC110" s="22" t="e">
        <f t="shared" si="79"/>
        <v>#NUM!</v>
      </c>
      <c r="GD110" s="62" t="e">
        <f t="shared" si="80"/>
        <v>#NUM!</v>
      </c>
      <c r="GE110" s="62">
        <f ca="1">AVERAGE(OFFSET($GD$3,0,0,'Données projet'!$E$17+1,1))-AVERAGE(OFFSET($H$3,0,0,'Données projet'!$E$17+1,1))</f>
        <v>324.4489531703187</v>
      </c>
      <c r="GF110" s="62">
        <f t="shared" si="104"/>
        <v>446.55019360848706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projet'!$B$17,Paramètres!$A$1:$I$89,3,0)*0.475*44/12</f>
        <v>0</v>
      </c>
      <c r="GM110" s="23">
        <f>EXP(-LN(2)/25)*GM109+(1-EXP(-LN(2)/25))/(LN(2)/25)*Calculateur!GH110*Calculateur!GJ110*VLOOKUP('Données projet'!$B$17,Paramètres!$A$1:$I$89,3,0)*0.475*44/12</f>
        <v>0</v>
      </c>
      <c r="GN110" s="23">
        <f>EXP(-LN(2)/2)*GN109+(1-EXP(-LN(2)/2))/(LN(2)/2)*GH110*GK110*VLOOKUP('Données projet'!$B$17,Paramètres!$A$1:$I$89,3,0)*0.475*44/12</f>
        <v>0</v>
      </c>
      <c r="GO110" s="23">
        <f t="shared" si="81"/>
        <v>0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3.333333333333337</v>
      </c>
      <c r="GU110" s="13">
        <f>IF('Données projet'!$A$270&gt;35,GU109+GT110-HC109,IF(A110&lt;'Données projet'!$A$270,$GR$205^A110,IF(A110='Données projet'!$A$270,'Données projet'!$B$270,GU109+GT110-HC109)))</f>
        <v>307.94871794871818</v>
      </c>
      <c r="GV110" s="18">
        <f>GU110*VLOOKUP('Données projet'!$B$18,Paramètres!$A$1:$I$89,3,0)*VLOOKUP('Données projet'!$B$18,Paramètres!$A$1:$I$89,5,0)</f>
        <v>206.57200000000014</v>
      </c>
      <c r="GW110" s="14">
        <f t="shared" si="105"/>
        <v>51.185765406859268</v>
      </c>
      <c r="GX110" s="22">
        <f t="shared" si="82"/>
        <v>448.92810808361338</v>
      </c>
      <c r="GY110" s="62">
        <f t="shared" si="83"/>
        <v>742.2614414169467</v>
      </c>
      <c r="GZ110" s="62">
        <f ca="1">AVERAGE(OFFSET($GY$3,0,0,'Données projet'!$E$18+1,1))-AVERAGE(OFFSET($H$3,0,0,'Données projet'!$E$18+1,1))</f>
        <v>312.06797204903796</v>
      </c>
      <c r="HA110" s="62">
        <f t="shared" si="106"/>
        <v>258.20189001775151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>
        <f>EXP(-LN(2)/35)*HG109+(1-EXP(-LN(2)/35))/(LN(2)/35)*HC110*HD110*VLOOKUP('Données projet'!$B$18,Paramètres!$A$1:$I$89,3,0)*0.475*44/12</f>
        <v>0</v>
      </c>
      <c r="HH110" s="23">
        <f>EXP(-LN(2)/25)*HH109+(1-EXP(-LN(2)/25))/(LN(2)/25)*Calculateur!HC110*Calculateur!HE110*VLOOKUP('Données projet'!$B$18,Paramètres!$A$1:$I$89,3,0)*0.475*44/12</f>
        <v>0</v>
      </c>
      <c r="HI110" s="23">
        <f>EXP(-LN(2)/2)*HI109+(1-EXP(-LN(2)/2))/(LN(2)/2)*HC110*HF110*VLOOKUP('Données projet'!$B$18,Paramètres!$A$1:$I$89,3,0)*0.475*44/12</f>
        <v>0</v>
      </c>
      <c r="HJ110" s="24">
        <f t="shared" si="84"/>
        <v>0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5.2</v>
      </c>
      <c r="N111" s="14">
        <f>IF('Données projet'!$A$36&gt;35,N110+M111-V110,IF(A111&lt;'Données projet'!$A$36,$K$205^A111,IF(A111='Données projet'!$A$36,'Données projet'!$B$36,N110+M111-V110)))</f>
        <v>347.5999999999998</v>
      </c>
      <c r="O111" s="14">
        <f>N111*VLOOKUP('Données projet'!$B$9,Paramètres!$A$1:$I$89,3,0)*VLOOKUP('Données projet'!$B$9,Paramètres!$A$1:$I$89,5,0)</f>
        <v>314.50847999999979</v>
      </c>
      <c r="P111" s="14">
        <f t="shared" si="87"/>
        <v>74.209587561617383</v>
      </c>
      <c r="Q111" s="22">
        <f t="shared" si="107"/>
        <v>677.01730100315001</v>
      </c>
      <c r="R111" s="62">
        <f t="shared" si="55"/>
        <v>970.35063433648338</v>
      </c>
      <c r="S111" s="62">
        <f ca="1">AVERAGE(OFFSET($R$3,0,0,'Données projet'!$E$9+1,1))-AVERAGE(OFFSET($H$3,0,0,'Données projet'!$E$9+1,1))</f>
        <v>512.84819850818667</v>
      </c>
      <c r="T111" s="62">
        <f t="shared" si="88"/>
        <v>332.61387922152159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-5.6843418860808015E-14</v>
      </c>
      <c r="AJ111" s="14">
        <f>AI111*VLOOKUP('Données projet'!$B$10,Paramètres!$A$1:$I$89,3,0)*VLOOKUP('Données projet'!$B$10,Paramètres!$A$1:$I$89,5,0)</f>
        <v>-4.1677594708744434E-14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344.45199703750711</v>
      </c>
      <c r="AO111" s="62">
        <f t="shared" si="90"/>
        <v>376.41441893222185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5.2</v>
      </c>
      <c r="BD111" s="13">
        <f>IF('Données projet'!$A$88&gt;35,BD110+BC111-BL110,IF(A111&lt;'Données projet'!$A$88,$BA$205^A111,IF(A111='Données projet'!$A$88,'Données projet'!$B$88,BD110+BC111-BL110)))</f>
        <v>347.5999999999998</v>
      </c>
      <c r="BE111" s="14">
        <f>BD111*VLOOKUP('Données projet'!$B$11,Paramètres!$A$1:$I$89,3,0)*VLOOKUP('Données projet'!$B$11,Paramètres!$A$1:$I$89,5,0)</f>
        <v>352.46639999999985</v>
      </c>
      <c r="BF111" s="14">
        <f t="shared" si="91"/>
        <v>82.070160870997498</v>
      </c>
      <c r="BG111" s="22">
        <f t="shared" si="61"/>
        <v>756.81784351698707</v>
      </c>
      <c r="BH111" s="62">
        <f t="shared" si="62"/>
        <v>1050.1511768503203</v>
      </c>
      <c r="BI111" s="62">
        <f ca="1">AVERAGE(OFFSET($BH$3,0,0,'Données projet'!$E$11+1,1))-AVERAGE(OFFSET($H$3,0,0,'Données projet'!$E$11+1,1))</f>
        <v>569.39473185784823</v>
      </c>
      <c r="BJ111" s="62">
        <f t="shared" si="92"/>
        <v>367.42881145517066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6.5</v>
      </c>
      <c r="BY111" s="13">
        <f>IF('Données projet'!$A$114&gt;35,BY110+BX111-CG110,IF(A111&lt;'Données projet'!$A$114,$BV$205^A111,IF(A111='Données projet'!$A$114,'Données projet'!$B$114,BY110+BX111-CG110)))</f>
        <v>427.99999999999989</v>
      </c>
      <c r="BZ111" s="14">
        <f>BY111*VLOOKUP('Données projet'!$B$12,Paramètres!$A$1:$I$89,3,0)*VLOOKUP('Données projet'!$B$12,Paramètres!$A$1:$I$89,5,0)</f>
        <v>367.22399999999993</v>
      </c>
      <c r="CA111" s="14">
        <f t="shared" si="93"/>
        <v>85.099135204211706</v>
      </c>
      <c r="CB111" s="22">
        <f t="shared" si="64"/>
        <v>787.79612714733514</v>
      </c>
      <c r="CC111" s="62">
        <f t="shared" si="65"/>
        <v>1081.1294604806685</v>
      </c>
      <c r="CD111" s="62">
        <f ca="1">AVERAGE(OFFSET($CC$3,0,0,'Données projet'!$E$12+1,1))-AVERAGE(OFFSET($H$3,0,0,'Données projet'!$E$12+1,1))</f>
        <v>554.06253050955502</v>
      </c>
      <c r="CE111" s="62">
        <f t="shared" si="94"/>
        <v>269.71949336355789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1.1368683772161603E-13</v>
      </c>
      <c r="CU111" s="18">
        <f>CT111*VLOOKUP('Données projet'!$B$13,Paramètres!$A$1:$I$89,3,0)*VLOOKUP('Données projet'!$B$13,Paramètres!$A$1:$I$89,5,0)</f>
        <v>8.8675733422860506E-14</v>
      </c>
      <c r="CV111" s="14">
        <f t="shared" si="95"/>
        <v>1.3509285393066301E-12</v>
      </c>
      <c r="CW111" s="22">
        <f t="shared" si="67"/>
        <v>2.5073107750038623E-12</v>
      </c>
      <c r="CX111" s="62">
        <f t="shared" si="68"/>
        <v>293.33333333333582</v>
      </c>
      <c r="CY111" s="62">
        <f ca="1">AVERAGE(OFFSET($CX$3,0,0,'Données projet'!$E$13+1,1))-AVERAGE(OFFSET($H$3,0,0,'Données projet'!$E$13+1,1))</f>
        <v>292.21364130214391</v>
      </c>
      <c r="CZ111" s="62">
        <f t="shared" si="96"/>
        <v>283.48738729114024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3.5897435897435854</v>
      </c>
      <c r="DO111" s="13">
        <f>IF('Données projet'!$A$166&gt;35,DO110+DN111-DW110,IF(A111&lt;'Données projet'!$A$166,$DL$205^A111,IF(A111='Données projet'!$A$166,'Données projet'!$B$166,DO110+DN111-DW110)))</f>
        <v>286.41025641025664</v>
      </c>
      <c r="DP111" s="18">
        <f>DO111*VLOOKUP('Données projet'!$B$14,Paramètres!$A$1:$I$89,3,0)*VLOOKUP('Données projet'!$B$14,Paramètres!$A$1:$I$89,5,0)</f>
        <v>272.54800000000023</v>
      </c>
      <c r="DQ111" s="14">
        <f t="shared" si="97"/>
        <v>65.389723233802428</v>
      </c>
      <c r="DR111" s="22">
        <f t="shared" si="70"/>
        <v>588.57486796553962</v>
      </c>
      <c r="DS111" s="62">
        <f t="shared" si="71"/>
        <v>881.90820129887288</v>
      </c>
      <c r="DT111" s="62">
        <f ca="1">AVERAGE(OFFSET($DS$3,0,0,'Données projet'!$E$14+1,1))-AVERAGE(OFFSET($H$3,0,0,'Données projet'!$E$14+1,1))</f>
        <v>427.47603885390191</v>
      </c>
      <c r="DU111" s="62">
        <f t="shared" si="98"/>
        <v>350.88664394632116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4.4000000000000004</v>
      </c>
      <c r="EJ111" s="13">
        <f>IF('Données projet'!$A$192&gt;35,EJ110+EI111-ER110,IF(A111&lt;'Données projet'!$A$192,$EG$205^A111,IF(A111='Données projet'!$A$192,'Données projet'!$B$192,EJ110+EI111-ER110)))</f>
        <v>296.19999999999965</v>
      </c>
      <c r="EK111" s="18">
        <f>EJ111*VLOOKUP('Données projet'!$B$15,Paramètres!$A$1:$I$89,3,0)*VLOOKUP('Données projet'!$B$15,Paramètres!$A$1:$I$89,5,0)</f>
        <v>286.48463999999967</v>
      </c>
      <c r="EL111" s="14">
        <f t="shared" si="99"/>
        <v>68.335568330677432</v>
      </c>
      <c r="EM111" s="22">
        <f t="shared" si="73"/>
        <v>617.97852950926267</v>
      </c>
      <c r="EN111" s="62">
        <f t="shared" si="74"/>
        <v>911.31186284259593</v>
      </c>
      <c r="EO111" s="62">
        <f ca="1">AVERAGE(OFFSET($EN$3,0,0,'Données projet'!$E$15+1,1))-AVERAGE(OFFSET($H$3,0,0,'Données projet'!$E$15+1,1))</f>
        <v>455.50822833641354</v>
      </c>
      <c r="EP111" s="62">
        <f t="shared" si="100"/>
        <v>261.14722581688039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243</v>
      </c>
      <c r="FF111" s="18">
        <f>FE111*VLOOKUP('Données projet'!$B$16,Paramètres!$A$1:$I$89,3,0)*VLOOKUP('Données projet'!$B$16,Paramètres!$A$1:$I$89,5,0)</f>
        <v>212.28480000000002</v>
      </c>
      <c r="FG111" s="14">
        <f t="shared" si="101"/>
        <v>52.434557099704193</v>
      </c>
      <c r="FH111" s="22">
        <f t="shared" si="76"/>
        <v>461.05288028198476</v>
      </c>
      <c r="FI111" s="62">
        <f t="shared" si="77"/>
        <v>754.38621361531807</v>
      </c>
      <c r="FJ111" s="62">
        <f ca="1">AVERAGE(OFFSET($FI$3,0,0,'Données projet'!$E$16+1,1))-AVERAGE(OFFSET($H$3,0,0,'Données projet'!$E$16+1,1))</f>
        <v>369.34989412920129</v>
      </c>
      <c r="FK111" s="62">
        <f t="shared" si="102"/>
        <v>371.26234252426553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0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>
        <f>FZ111*VLOOKUP('Données projet'!$B$17,Paramètres!$A$1:$I$89,3,0)*VLOOKUP('Données projet'!$B$17,Paramètres!$A$1:$I$89,5,0)</f>
        <v>0</v>
      </c>
      <c r="GB111" s="14" t="e">
        <f t="shared" si="103"/>
        <v>#NUM!</v>
      </c>
      <c r="GC111" s="22" t="e">
        <f t="shared" si="79"/>
        <v>#NUM!</v>
      </c>
      <c r="GD111" s="62" t="e">
        <f t="shared" si="80"/>
        <v>#NUM!</v>
      </c>
      <c r="GE111" s="62">
        <f ca="1">AVERAGE(OFFSET($GD$3,0,0,'Données projet'!$E$17+1,1))-AVERAGE(OFFSET($H$3,0,0,'Données projet'!$E$17+1,1))</f>
        <v>324.4489531703187</v>
      </c>
      <c r="GF111" s="62">
        <f t="shared" si="104"/>
        <v>446.55019360848706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projet'!$B$17,Paramètres!$A$1:$I$89,3,0)*0.475*44/12</f>
        <v>0</v>
      </c>
      <c r="GM111" s="23">
        <f>EXP(-LN(2)/25)*GM110+(1-EXP(-LN(2)/25))/(LN(2)/25)*Calculateur!GH111*Calculateur!GJ111*VLOOKUP('Données projet'!$B$17,Paramètres!$A$1:$I$89,3,0)*0.475*44/12</f>
        <v>0</v>
      </c>
      <c r="GN111" s="23">
        <f>EXP(-LN(2)/2)*GN110+(1-EXP(-LN(2)/2))/(LN(2)/2)*GH111*GK111*VLOOKUP('Données projet'!$B$17,Paramètres!$A$1:$I$89,3,0)*0.475*44/12</f>
        <v>0</v>
      </c>
      <c r="GO111" s="23">
        <f t="shared" si="81"/>
        <v>0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3.333333333333337</v>
      </c>
      <c r="GU111" s="13">
        <f>IF('Données projet'!$A$270&gt;35,GU110+GT111-HC110,IF(A111&lt;'Données projet'!$A$270,$GR$205^A111,IF(A111='Données projet'!$A$270,'Données projet'!$B$270,GU110+GT111-HC110)))</f>
        <v>311.2820512820515</v>
      </c>
      <c r="GV111" s="18">
        <f>GU111*VLOOKUP('Données projet'!$B$18,Paramètres!$A$1:$I$89,3,0)*VLOOKUP('Données projet'!$B$18,Paramètres!$A$1:$I$89,5,0)</f>
        <v>208.80800000000013</v>
      </c>
      <c r="GW111" s="14">
        <f t="shared" si="105"/>
        <v>51.675017474362051</v>
      </c>
      <c r="GX111" s="22">
        <f t="shared" si="82"/>
        <v>453.67458876784752</v>
      </c>
      <c r="GY111" s="62">
        <f t="shared" si="83"/>
        <v>747.00792210118084</v>
      </c>
      <c r="GZ111" s="62">
        <f ca="1">AVERAGE(OFFSET($GY$3,0,0,'Données projet'!$E$18+1,1))-AVERAGE(OFFSET($H$3,0,0,'Données projet'!$E$18+1,1))</f>
        <v>312.06797204903796</v>
      </c>
      <c r="HA111" s="62">
        <f t="shared" si="106"/>
        <v>258.20189001775151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>
        <f>EXP(-LN(2)/35)*HG110+(1-EXP(-LN(2)/35))/(LN(2)/35)*HC111*HD111*VLOOKUP('Données projet'!$B$18,Paramètres!$A$1:$I$89,3,0)*0.475*44/12</f>
        <v>0</v>
      </c>
      <c r="HH111" s="23">
        <f>EXP(-LN(2)/25)*HH110+(1-EXP(-LN(2)/25))/(LN(2)/25)*Calculateur!HC111*Calculateur!HE111*VLOOKUP('Données projet'!$B$18,Paramètres!$A$1:$I$89,3,0)*0.475*44/12</f>
        <v>0</v>
      </c>
      <c r="HI111" s="23">
        <f>EXP(-LN(2)/2)*HI110+(1-EXP(-LN(2)/2))/(LN(2)/2)*HC111*HF111*VLOOKUP('Données projet'!$B$18,Paramètres!$A$1:$I$89,3,0)*0.475*44/12</f>
        <v>0</v>
      </c>
      <c r="HJ111" s="24">
        <f t="shared" si="84"/>
        <v>0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5.2</v>
      </c>
      <c r="N112" s="14">
        <f>IF('Données projet'!$A$36&gt;35,N111+M112-V111,IF(A112&lt;'Données projet'!$A$36,$K$205^A112,IF(A112='Données projet'!$A$36,'Données projet'!$B$36,N111+M112-V111)))</f>
        <v>352.79999999999978</v>
      </c>
      <c r="O112" s="14">
        <f>N112*VLOOKUP('Données projet'!$B$9,Paramètres!$A$1:$I$89,3,0)*VLOOKUP('Données projet'!$B$9,Paramètres!$A$1:$I$89,5,0)</f>
        <v>319.21343999999976</v>
      </c>
      <c r="P112" s="14">
        <f t="shared" si="87"/>
        <v>75.189671124171639</v>
      </c>
      <c r="Q112" s="22">
        <f t="shared" si="107"/>
        <v>686.91875187459846</v>
      </c>
      <c r="R112" s="62">
        <f t="shared" si="55"/>
        <v>980.25208520793171</v>
      </c>
      <c r="S112" s="62">
        <f ca="1">AVERAGE(OFFSET($R$3,0,0,'Données projet'!$E$9+1,1))-AVERAGE(OFFSET($H$3,0,0,'Données projet'!$E$9+1,1))</f>
        <v>512.84819850818667</v>
      </c>
      <c r="T112" s="62">
        <f t="shared" si="88"/>
        <v>332.61387922152159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-5.6843418860808015E-14</v>
      </c>
      <c r="AJ112" s="14">
        <f>AI112*VLOOKUP('Données projet'!$B$10,Paramètres!$A$1:$I$89,3,0)*VLOOKUP('Données projet'!$B$10,Paramètres!$A$1:$I$89,5,0)</f>
        <v>-4.1677594708744434E-14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344.45199703750711</v>
      </c>
      <c r="AO112" s="62">
        <f t="shared" si="90"/>
        <v>376.41441893222185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5.2</v>
      </c>
      <c r="BD112" s="13">
        <f>IF('Données projet'!$A$88&gt;35,BD111+BC112-BL111,IF(A112&lt;'Données projet'!$A$88,$BA$205^A112,IF(A112='Données projet'!$A$88,'Données projet'!$B$88,BD111+BC112-BL111)))</f>
        <v>352.79999999999978</v>
      </c>
      <c r="BE112" s="14">
        <f>BD112*VLOOKUP('Données projet'!$B$11,Paramètres!$A$1:$I$89,3,0)*VLOOKUP('Données projet'!$B$11,Paramètres!$A$1:$I$89,5,0)</f>
        <v>357.73919999999981</v>
      </c>
      <c r="BF112" s="14">
        <f t="shared" si="91"/>
        <v>83.154058764636403</v>
      </c>
      <c r="BG112" s="22">
        <f t="shared" si="61"/>
        <v>767.8890923484081</v>
      </c>
      <c r="BH112" s="62">
        <f t="shared" si="62"/>
        <v>1061.2224256817415</v>
      </c>
      <c r="BI112" s="62">
        <f ca="1">AVERAGE(OFFSET($BH$3,0,0,'Données projet'!$E$11+1,1))-AVERAGE(OFFSET($H$3,0,0,'Données projet'!$E$11+1,1))</f>
        <v>569.39473185784823</v>
      </c>
      <c r="BJ112" s="62">
        <f t="shared" si="92"/>
        <v>367.42881145517066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6.5</v>
      </c>
      <c r="BY112" s="13">
        <f>IF('Données projet'!$A$114&gt;35,BY111+BX112-CG111,IF(A112&lt;'Données projet'!$A$114,$BV$205^A112,IF(A112='Données projet'!$A$114,'Données projet'!$B$114,BY111+BX112-CG111)))</f>
        <v>434.49999999999989</v>
      </c>
      <c r="BZ112" s="14">
        <f>BY112*VLOOKUP('Données projet'!$B$12,Paramètres!$A$1:$I$89,3,0)*VLOOKUP('Données projet'!$B$12,Paramètres!$A$1:$I$89,5,0)</f>
        <v>372.80099999999999</v>
      </c>
      <c r="CA112" s="14">
        <f t="shared" si="93"/>
        <v>86.240090326097956</v>
      </c>
      <c r="CB112" s="22">
        <f t="shared" si="64"/>
        <v>799.49656565128726</v>
      </c>
      <c r="CC112" s="62">
        <f t="shared" si="65"/>
        <v>1092.8298989846205</v>
      </c>
      <c r="CD112" s="62">
        <f ca="1">AVERAGE(OFFSET($CC$3,0,0,'Données projet'!$E$12+1,1))-AVERAGE(OFFSET($H$3,0,0,'Données projet'!$E$12+1,1))</f>
        <v>554.06253050955502</v>
      </c>
      <c r="CE112" s="62">
        <f t="shared" si="94"/>
        <v>269.71949336355789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1.1368683772161603E-13</v>
      </c>
      <c r="CU112" s="18">
        <f>CT112*VLOOKUP('Données projet'!$B$13,Paramètres!$A$1:$I$89,3,0)*VLOOKUP('Données projet'!$B$13,Paramètres!$A$1:$I$89,5,0)</f>
        <v>8.8675733422860506E-14</v>
      </c>
      <c r="CV112" s="14">
        <f t="shared" si="95"/>
        <v>1.3509285393066301E-12</v>
      </c>
      <c r="CW112" s="22">
        <f t="shared" si="67"/>
        <v>2.5073107750038623E-12</v>
      </c>
      <c r="CX112" s="62">
        <f t="shared" si="68"/>
        <v>293.33333333333582</v>
      </c>
      <c r="CY112" s="62">
        <f ca="1">AVERAGE(OFFSET($CX$3,0,0,'Données projet'!$E$13+1,1))-AVERAGE(OFFSET($H$3,0,0,'Données projet'!$E$13+1,1))</f>
        <v>292.21364130214391</v>
      </c>
      <c r="CZ112" s="62">
        <f t="shared" si="96"/>
        <v>283.48738729114024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3.5897435897435854</v>
      </c>
      <c r="DO112" s="13">
        <f>IF('Données projet'!$A$166&gt;35,DO111+DN112-DW111,IF(A112&lt;'Données projet'!$A$166,$DL$205^A112,IF(A112='Données projet'!$A$166,'Données projet'!$B$166,DO111+DN112-DW111)))</f>
        <v>290.00000000000023</v>
      </c>
      <c r="DP112" s="18">
        <f>DO112*VLOOKUP('Données projet'!$B$14,Paramètres!$A$1:$I$89,3,0)*VLOOKUP('Données projet'!$B$14,Paramètres!$A$1:$I$89,5,0)</f>
        <v>275.96400000000023</v>
      </c>
      <c r="DQ112" s="14">
        <f t="shared" si="97"/>
        <v>66.113366665488911</v>
      </c>
      <c r="DR112" s="22">
        <f t="shared" si="70"/>
        <v>595.78474694239355</v>
      </c>
      <c r="DS112" s="62">
        <f t="shared" si="71"/>
        <v>889.11808027572692</v>
      </c>
      <c r="DT112" s="62">
        <f ca="1">AVERAGE(OFFSET($DS$3,0,0,'Données projet'!$E$14+1,1))-AVERAGE(OFFSET($H$3,0,0,'Données projet'!$E$14+1,1))</f>
        <v>427.47603885390191</v>
      </c>
      <c r="DU112" s="62">
        <f t="shared" si="98"/>
        <v>350.88664394632116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4.4000000000000004</v>
      </c>
      <c r="EJ112" s="13">
        <f>IF('Données projet'!$A$192&gt;35,EJ111+EI112-ER111,IF(A112&lt;'Données projet'!$A$192,$EG$205^A112,IF(A112='Données projet'!$A$192,'Données projet'!$B$192,EJ111+EI112-ER111)))</f>
        <v>300.59999999999962</v>
      </c>
      <c r="EK112" s="18">
        <f>EJ112*VLOOKUP('Données projet'!$B$15,Paramètres!$A$1:$I$89,3,0)*VLOOKUP('Données projet'!$B$15,Paramètres!$A$1:$I$89,5,0)</f>
        <v>290.74031999999966</v>
      </c>
      <c r="EL112" s="14">
        <f t="shared" si="99"/>
        <v>69.231751058085507</v>
      </c>
      <c r="EM112" s="22">
        <f t="shared" si="73"/>
        <v>626.95135709283159</v>
      </c>
      <c r="EN112" s="62">
        <f t="shared" si="74"/>
        <v>920.28469042616484</v>
      </c>
      <c r="EO112" s="62">
        <f ca="1">AVERAGE(OFFSET($EN$3,0,0,'Données projet'!$E$15+1,1))-AVERAGE(OFFSET($H$3,0,0,'Données projet'!$E$15+1,1))</f>
        <v>455.50822833641354</v>
      </c>
      <c r="EP112" s="62">
        <f t="shared" si="100"/>
        <v>261.14722581688039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243</v>
      </c>
      <c r="FF112" s="18">
        <f>FE112*VLOOKUP('Données projet'!$B$16,Paramètres!$A$1:$I$89,3,0)*VLOOKUP('Données projet'!$B$16,Paramètres!$A$1:$I$89,5,0)</f>
        <v>212.28480000000002</v>
      </c>
      <c r="FG112" s="14">
        <f t="shared" si="101"/>
        <v>52.434557099704193</v>
      </c>
      <c r="FH112" s="22">
        <f t="shared" si="76"/>
        <v>461.05288028198476</v>
      </c>
      <c r="FI112" s="62">
        <f t="shared" si="77"/>
        <v>754.38621361531807</v>
      </c>
      <c r="FJ112" s="62">
        <f ca="1">AVERAGE(OFFSET($FI$3,0,0,'Données projet'!$E$16+1,1))-AVERAGE(OFFSET($H$3,0,0,'Données projet'!$E$16+1,1))</f>
        <v>369.34989412920129</v>
      </c>
      <c r="FK112" s="62">
        <f t="shared" si="102"/>
        <v>371.26234252426553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0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>
        <f>FZ112*VLOOKUP('Données projet'!$B$17,Paramètres!$A$1:$I$89,3,0)*VLOOKUP('Données projet'!$B$17,Paramètres!$A$1:$I$89,5,0)</f>
        <v>0</v>
      </c>
      <c r="GB112" s="14" t="e">
        <f t="shared" si="103"/>
        <v>#NUM!</v>
      </c>
      <c r="GC112" s="22" t="e">
        <f t="shared" si="79"/>
        <v>#NUM!</v>
      </c>
      <c r="GD112" s="62" t="e">
        <f t="shared" si="80"/>
        <v>#NUM!</v>
      </c>
      <c r="GE112" s="62">
        <f ca="1">AVERAGE(OFFSET($GD$3,0,0,'Données projet'!$E$17+1,1))-AVERAGE(OFFSET($H$3,0,0,'Données projet'!$E$17+1,1))</f>
        <v>324.4489531703187</v>
      </c>
      <c r="GF112" s="62">
        <f t="shared" si="104"/>
        <v>446.55019360848706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projet'!$B$17,Paramètres!$A$1:$I$89,3,0)*0.475*44/12</f>
        <v>0</v>
      </c>
      <c r="GM112" s="23">
        <f>EXP(-LN(2)/25)*GM111+(1-EXP(-LN(2)/25))/(LN(2)/25)*Calculateur!GH112*Calculateur!GJ112*VLOOKUP('Données projet'!$B$17,Paramètres!$A$1:$I$89,3,0)*0.475*44/12</f>
        <v>0</v>
      </c>
      <c r="GN112" s="23">
        <f>EXP(-LN(2)/2)*GN111+(1-EXP(-LN(2)/2))/(LN(2)/2)*GH112*GK112*VLOOKUP('Données projet'!$B$17,Paramètres!$A$1:$I$89,3,0)*0.475*44/12</f>
        <v>0</v>
      </c>
      <c r="GO112" s="23">
        <f t="shared" si="81"/>
        <v>0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3.333333333333337</v>
      </c>
      <c r="GU112" s="13">
        <f>IF('Données projet'!$A$270&gt;35,GU111+GT112-HC111,IF(A112&lt;'Données projet'!$A$270,$GR$205^A112,IF(A112='Données projet'!$A$270,'Données projet'!$B$270,GU111+GT112-HC111)))</f>
        <v>314.61538461538481</v>
      </c>
      <c r="GV112" s="18">
        <f>GU112*VLOOKUP('Données projet'!$B$18,Paramètres!$A$1:$I$89,3,0)*VLOOKUP('Données projet'!$B$18,Paramètres!$A$1:$I$89,5,0)</f>
        <v>211.04400000000015</v>
      </c>
      <c r="GW112" s="14">
        <f t="shared" si="105"/>
        <v>52.163660077304868</v>
      </c>
      <c r="GX112" s="22">
        <f t="shared" si="82"/>
        <v>458.42000796797294</v>
      </c>
      <c r="GY112" s="62">
        <f t="shared" si="83"/>
        <v>751.75334130130625</v>
      </c>
      <c r="GZ112" s="62">
        <f ca="1">AVERAGE(OFFSET($GY$3,0,0,'Données projet'!$E$18+1,1))-AVERAGE(OFFSET($H$3,0,0,'Données projet'!$E$18+1,1))</f>
        <v>312.06797204903796</v>
      </c>
      <c r="HA112" s="62">
        <f t="shared" si="106"/>
        <v>258.20189001775151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>
        <f>EXP(-LN(2)/35)*HG111+(1-EXP(-LN(2)/35))/(LN(2)/35)*HC112*HD112*VLOOKUP('Données projet'!$B$18,Paramètres!$A$1:$I$89,3,0)*0.475*44/12</f>
        <v>0</v>
      </c>
      <c r="HH112" s="23">
        <f>EXP(-LN(2)/25)*HH111+(1-EXP(-LN(2)/25))/(LN(2)/25)*Calculateur!HC112*Calculateur!HE112*VLOOKUP('Données projet'!$B$18,Paramètres!$A$1:$I$89,3,0)*0.475*44/12</f>
        <v>0</v>
      </c>
      <c r="HI112" s="23">
        <f>EXP(-LN(2)/2)*HI111+(1-EXP(-LN(2)/2))/(LN(2)/2)*HC112*HF112*VLOOKUP('Données projet'!$B$18,Paramètres!$A$1:$I$89,3,0)*0.475*44/12</f>
        <v>0</v>
      </c>
      <c r="HJ112" s="24">
        <f t="shared" si="84"/>
        <v>0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358</v>
      </c>
      <c r="L113" s="13">
        <f>VLOOKUP(A113,'Données projet'!$A$35:$I$55,9,0)</f>
        <v>5.2</v>
      </c>
      <c r="M113" s="13">
        <f t="array" ref="M113">INDEX(L:L,MIN(IF(ISNUMBER(L113:L309),ROW(L113:L309),"")))</f>
        <v>5.2</v>
      </c>
      <c r="N113" s="14">
        <f>IF('Données projet'!$A$36&gt;35,N112+M113-V112,IF(A113&lt;'Données projet'!$A$36,$K$205^A113,IF(A113='Données projet'!$A$36,'Données projet'!$B$36,N112+M113-V112)))</f>
        <v>357.99999999999977</v>
      </c>
      <c r="O113" s="14">
        <f>N113*VLOOKUP('Données projet'!$B$9,Paramètres!$A$1:$I$89,3,0)*VLOOKUP('Données projet'!$B$9,Paramètres!$A$1:$I$89,5,0)</f>
        <v>323.91839999999979</v>
      </c>
      <c r="P113" s="14">
        <f t="shared" si="87"/>
        <v>76.168074587293034</v>
      </c>
      <c r="Q113" s="22">
        <f t="shared" si="107"/>
        <v>696.81727657286831</v>
      </c>
      <c r="R113" s="62">
        <f t="shared" si="55"/>
        <v>990.15060990620168</v>
      </c>
      <c r="S113" s="62">
        <f ca="1">AVERAGE(OFFSET($R$3,0,0,'Données projet'!$E$9+1,1))-AVERAGE(OFFSET($H$3,0,0,'Données projet'!$E$9+1,1))</f>
        <v>512.84819850818667</v>
      </c>
      <c r="T113" s="62">
        <f t="shared" si="88"/>
        <v>332.61387922152159</v>
      </c>
      <c r="U113" s="16">
        <f>IF(ISNA(VLOOKUP(A113,'Données projet'!$A$35:$I$55,3,0)),0,VLOOKUP(A113,'Données projet'!$A$35:$I$55,3,0))</f>
        <v>10</v>
      </c>
      <c r="V113" s="16">
        <f>IF(ISNA(VLOOKUP(A113,'Données projet'!$A$35:$I$55,4,0)),0,VLOOKUP(A113,'Données projet'!$A$35:$I$55,4,0))</f>
        <v>51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-5.6843418860808015E-14</v>
      </c>
      <c r="AJ113" s="14">
        <f>AI113*VLOOKUP('Données projet'!$B$10,Paramètres!$A$1:$I$89,3,0)*VLOOKUP('Données projet'!$B$10,Paramètres!$A$1:$I$89,5,0)</f>
        <v>-4.1677594708744434E-14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344.45199703750711</v>
      </c>
      <c r="AO113" s="62">
        <f t="shared" si="90"/>
        <v>376.41441893222185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358</v>
      </c>
      <c r="BB113" s="13">
        <f>VLOOKUP(A113,'Données projet'!$A$87:$I$107,9,0)</f>
        <v>5.2</v>
      </c>
      <c r="BC113" s="13">
        <f t="array" ref="BC113">INDEX(BB:BB,MIN(IF(ISNUMBER(BB113:BB309),ROW(BB113:BB309),"")))</f>
        <v>5.2</v>
      </c>
      <c r="BD113" s="13">
        <f>IF('Données projet'!$A$88&gt;35,BD112+BC113-BL112,IF(A113&lt;'Données projet'!$A$88,$BA$205^A113,IF(A113='Données projet'!$A$88,'Données projet'!$B$88,BD112+BC113-BL112)))</f>
        <v>357.99999999999977</v>
      </c>
      <c r="BE113" s="14">
        <f>BD113*VLOOKUP('Données projet'!$B$11,Paramètres!$A$1:$I$89,3,0)*VLOOKUP('Données projet'!$B$11,Paramètres!$A$1:$I$89,5,0)</f>
        <v>363.01199999999977</v>
      </c>
      <c r="BF113" s="14">
        <f t="shared" si="91"/>
        <v>84.236098596059009</v>
      </c>
      <c r="BG113" s="22">
        <f t="shared" si="61"/>
        <v>778.95710505480235</v>
      </c>
      <c r="BH113" s="62">
        <f t="shared" si="62"/>
        <v>1072.2904383881357</v>
      </c>
      <c r="BI113" s="62">
        <f ca="1">AVERAGE(OFFSET($BH$3,0,0,'Données projet'!$E$11+1,1))-AVERAGE(OFFSET($H$3,0,0,'Données projet'!$E$11+1,1))</f>
        <v>569.39473185784823</v>
      </c>
      <c r="BJ113" s="62">
        <f t="shared" si="92"/>
        <v>367.42881145517066</v>
      </c>
      <c r="BK113" s="16">
        <f>IF(ISNA(VLOOKUP(A113,'Données projet'!$A$87:$I$107,3,0)),0,VLOOKUP(A113,'Données projet'!$A$87:$I$107,3,0))</f>
        <v>10</v>
      </c>
      <c r="BL113" s="16">
        <f>IF(ISNA(VLOOKUP(A113,'Données projet'!$A$87:$I$107,4,0)),0,VLOOKUP(A113,'Données projet'!$A$87:$I$107,4,0))</f>
        <v>51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441</v>
      </c>
      <c r="BW113" s="13">
        <f>VLOOKUP(A113,'Données projet'!$A$113:$I$133,9,0)</f>
        <v>6.5</v>
      </c>
      <c r="BX113" s="13">
        <f t="array" ref="BX113">INDEX(BW:BW,MIN(IF(ISNUMBER(BW113:BW309),ROW(BW113:BW309),"")))</f>
        <v>6.5</v>
      </c>
      <c r="BY113" s="13">
        <f>IF('Données projet'!$A$114&gt;35,BY112+BX113-CG112,IF(A113&lt;'Données projet'!$A$114,$BV$205^A113,IF(A113='Données projet'!$A$114,'Données projet'!$B$114,BY112+BX113-CG112)))</f>
        <v>440.99999999999989</v>
      </c>
      <c r="BZ113" s="14">
        <f>BY113*VLOOKUP('Données projet'!$B$12,Paramètres!$A$1:$I$89,3,0)*VLOOKUP('Données projet'!$B$12,Paramètres!$A$1:$I$89,5,0)</f>
        <v>378.37799999999993</v>
      </c>
      <c r="CA113" s="14">
        <f t="shared" si="93"/>
        <v>87.379060339798912</v>
      </c>
      <c r="CB113" s="22">
        <f t="shared" si="64"/>
        <v>811.19354675848297</v>
      </c>
      <c r="CC113" s="62">
        <f t="shared" si="65"/>
        <v>1104.5268800918163</v>
      </c>
      <c r="CD113" s="62">
        <f ca="1">AVERAGE(OFFSET($CC$3,0,0,'Données projet'!$E$12+1,1))-AVERAGE(OFFSET($H$3,0,0,'Données projet'!$E$12+1,1))</f>
        <v>554.06253050955502</v>
      </c>
      <c r="CE113" s="62">
        <f t="shared" si="94"/>
        <v>269.71949336355789</v>
      </c>
      <c r="CF113" s="16">
        <f>IF(ISNA(VLOOKUP(A113,'Données projet'!$A$113:$I$133,3,0)),0,VLOOKUP(A113,'Données projet'!$A$113:$I$133,3,0))</f>
        <v>9</v>
      </c>
      <c r="CG113" s="16">
        <f>IF(ISNA(VLOOKUP(A113,'Données projet'!$A$113:$I$133,4,0)),0,VLOOKUP(A113,'Données projet'!$A$113:$I$133,4,0))</f>
        <v>45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1.1368683772161603E-13</v>
      </c>
      <c r="CU113" s="18">
        <f>CT113*VLOOKUP('Données projet'!$B$13,Paramètres!$A$1:$I$89,3,0)*VLOOKUP('Données projet'!$B$13,Paramètres!$A$1:$I$89,5,0)</f>
        <v>8.8675733422860506E-14</v>
      </c>
      <c r="CV113" s="14">
        <f t="shared" si="95"/>
        <v>1.3509285393066301E-12</v>
      </c>
      <c r="CW113" s="22">
        <f t="shared" si="67"/>
        <v>2.5073107750038623E-12</v>
      </c>
      <c r="CX113" s="62">
        <f t="shared" si="68"/>
        <v>293.33333333333582</v>
      </c>
      <c r="CY113" s="62">
        <f ca="1">AVERAGE(OFFSET($CX$3,0,0,'Données projet'!$E$13+1,1))-AVERAGE(OFFSET($H$3,0,0,'Données projet'!$E$13+1,1))</f>
        <v>292.21364130214391</v>
      </c>
      <c r="CZ113" s="62">
        <f t="shared" si="96"/>
        <v>283.48738729114024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293.58974358974359</v>
      </c>
      <c r="DM113" s="13">
        <f>VLOOKUP(A113,'Données projet'!$A$165:$I$185,9,0)</f>
        <v>3.5897435897435854</v>
      </c>
      <c r="DN113" s="13">
        <f t="array" ref="DN113">INDEX(DM:DM,MIN(IF(ISNUMBER(DM113:DM309),ROW(DM113:DM309),"")))</f>
        <v>3.5897435897435854</v>
      </c>
      <c r="DO113" s="13">
        <f>IF('Données projet'!$A$166&gt;35,DO112+DN113-DW112,IF(A113&lt;'Données projet'!$A$166,$DL$205^A113,IF(A113='Données projet'!$A$166,'Données projet'!$B$166,DO112+DN113-DW112)))</f>
        <v>293.58974358974382</v>
      </c>
      <c r="DP113" s="18">
        <f>DO113*VLOOKUP('Données projet'!$B$14,Paramètres!$A$1:$I$89,3,0)*VLOOKUP('Données projet'!$B$14,Paramètres!$A$1:$I$89,5,0)</f>
        <v>279.38000000000022</v>
      </c>
      <c r="DQ113" s="14">
        <f t="shared" si="97"/>
        <v>66.835968159060357</v>
      </c>
      <c r="DR113" s="22">
        <f t="shared" si="70"/>
        <v>602.99281121036381</v>
      </c>
      <c r="DS113" s="62">
        <f t="shared" si="71"/>
        <v>896.32614454369718</v>
      </c>
      <c r="DT113" s="62">
        <f ca="1">AVERAGE(OFFSET($DS$3,0,0,'Données projet'!$E$14+1,1))-AVERAGE(OFFSET($H$3,0,0,'Données projet'!$E$14+1,1))</f>
        <v>427.47603885390191</v>
      </c>
      <c r="DU113" s="62">
        <f t="shared" si="98"/>
        <v>350.88664394632116</v>
      </c>
      <c r="DV113" s="16">
        <f>IF(ISNA(VLOOKUP(A113,'Données projet'!$A$165:$I$185,3,0)),0,VLOOKUP(A113,'Données projet'!$A$165:$I$185,3,0))</f>
        <v>10</v>
      </c>
      <c r="DW113" s="16">
        <f>IF(ISNA(VLOOKUP(A113,'Données projet'!$A$165:$I$185,4,0)),0,VLOOKUP(A113,'Données projet'!$A$165:$I$185,4,0))</f>
        <v>26.282051282051281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>
        <f>VLOOKUP(A113,'Données projet'!$A$191:$I$211,2,0)</f>
        <v>305</v>
      </c>
      <c r="EH113" s="13">
        <f>VLOOKUP(A113,'Données projet'!$A$191:$I$211,9,0)</f>
        <v>4.4000000000000004</v>
      </c>
      <c r="EI113" s="13">
        <f t="array" ref="EI113">INDEX(EH:EH,MIN(IF(ISNUMBER(EH113:EH309),ROW(EH113:EH309),"")))</f>
        <v>4.4000000000000004</v>
      </c>
      <c r="EJ113" s="13">
        <f>IF('Données projet'!$A$192&gt;35,EJ112+EI113-ER112,IF(A113&lt;'Données projet'!$A$192,$EG$205^A113,IF(A113='Données projet'!$A$192,'Données projet'!$B$192,EJ112+EI113-ER112)))</f>
        <v>304.9999999999996</v>
      </c>
      <c r="EK113" s="18">
        <f>EJ113*VLOOKUP('Données projet'!$B$15,Paramètres!$A$1:$I$89,3,0)*VLOOKUP('Données projet'!$B$15,Paramètres!$A$1:$I$89,5,0)</f>
        <v>294.99599999999958</v>
      </c>
      <c r="EL113" s="14">
        <f t="shared" si="99"/>
        <v>70.126408118585317</v>
      </c>
      <c r="EM113" s="22">
        <f t="shared" si="73"/>
        <v>635.92152747320199</v>
      </c>
      <c r="EN113" s="62">
        <f t="shared" si="74"/>
        <v>929.25486080653536</v>
      </c>
      <c r="EO113" s="62">
        <f ca="1">AVERAGE(OFFSET($EN$3,0,0,'Données projet'!$E$15+1,1))-AVERAGE(OFFSET($H$3,0,0,'Données projet'!$E$15+1,1))</f>
        <v>455.50822833641354</v>
      </c>
      <c r="EP113" s="62">
        <f t="shared" si="100"/>
        <v>261.14722581688039</v>
      </c>
      <c r="EQ113" s="16">
        <f>IF(ISNA(VLOOKUP(A113,'Données projet'!$A$191:$I$211,3,0)),0,VLOOKUP(A113,'Données projet'!$A$191:$I$211,3,0))</f>
        <v>9</v>
      </c>
      <c r="ER113" s="16">
        <f>IF(ISNA(VLOOKUP(A113,'Données projet'!$A$191:$I$211,4,0)),0,VLOOKUP(A113,'Données projet'!$A$191:$I$211,4,0))</f>
        <v>39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243</v>
      </c>
      <c r="FF113" s="18">
        <f>FE113*VLOOKUP('Données projet'!$B$16,Paramètres!$A$1:$I$89,3,0)*VLOOKUP('Données projet'!$B$16,Paramètres!$A$1:$I$89,5,0)</f>
        <v>212.28480000000002</v>
      </c>
      <c r="FG113" s="14">
        <f t="shared" si="101"/>
        <v>52.434557099704193</v>
      </c>
      <c r="FH113" s="22">
        <f t="shared" si="76"/>
        <v>461.05288028198476</v>
      </c>
      <c r="FI113" s="62">
        <f t="shared" si="77"/>
        <v>754.38621361531807</v>
      </c>
      <c r="FJ113" s="62">
        <f ca="1">AVERAGE(OFFSET($FI$3,0,0,'Données projet'!$E$16+1,1))-AVERAGE(OFFSET($H$3,0,0,'Données projet'!$E$16+1,1))</f>
        <v>369.34989412920129</v>
      </c>
      <c r="FK113" s="62">
        <f t="shared" si="102"/>
        <v>371.26234252426553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0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>
        <f>FZ113*VLOOKUP('Données projet'!$B$17,Paramètres!$A$1:$I$89,3,0)*VLOOKUP('Données projet'!$B$17,Paramètres!$A$1:$I$89,5,0)</f>
        <v>0</v>
      </c>
      <c r="GB113" s="14" t="e">
        <f t="shared" si="103"/>
        <v>#NUM!</v>
      </c>
      <c r="GC113" s="22" t="e">
        <f t="shared" si="79"/>
        <v>#NUM!</v>
      </c>
      <c r="GD113" s="62" t="e">
        <f t="shared" si="80"/>
        <v>#NUM!</v>
      </c>
      <c r="GE113" s="62">
        <f ca="1">AVERAGE(OFFSET($GD$3,0,0,'Données projet'!$E$17+1,1))-AVERAGE(OFFSET($H$3,0,0,'Données projet'!$E$17+1,1))</f>
        <v>324.4489531703187</v>
      </c>
      <c r="GF113" s="62">
        <f t="shared" si="104"/>
        <v>446.55019360848706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projet'!$B$17,Paramètres!$A$1:$I$89,3,0)*0.475*44/12</f>
        <v>0</v>
      </c>
      <c r="GM113" s="23">
        <f>EXP(-LN(2)/25)*GM112+(1-EXP(-LN(2)/25))/(LN(2)/25)*Calculateur!GH113*Calculateur!GJ113*VLOOKUP('Données projet'!$B$17,Paramètres!$A$1:$I$89,3,0)*0.475*44/12</f>
        <v>0</v>
      </c>
      <c r="GN113" s="23">
        <f>EXP(-LN(2)/2)*GN112+(1-EXP(-LN(2)/2))/(LN(2)/2)*GH113*GK113*VLOOKUP('Données projet'!$B$17,Paramètres!$A$1:$I$89,3,0)*0.475*44/12</f>
        <v>0</v>
      </c>
      <c r="GO113" s="23">
        <f t="shared" si="81"/>
        <v>0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>
        <f>VLOOKUP(A113,'Données projet'!$A$269:$I$289,2,0)</f>
        <v>317.94871794871796</v>
      </c>
      <c r="GS113" s="13">
        <f>VLOOKUP(A113,'Données projet'!$A$269:$I$289,9,0)</f>
        <v>3.333333333333337</v>
      </c>
      <c r="GT113" s="13">
        <f t="array" ref="GT113">INDEX(GS:GS,MIN(IF(ISNUMBER(GS113:GS309),ROW(GS113:GS309),"")))</f>
        <v>3.333333333333337</v>
      </c>
      <c r="GU113" s="13">
        <f>IF('Données projet'!$A$270&gt;35,GU112+GT113-HC112,IF(A113&lt;'Données projet'!$A$270,$GR$205^A113,IF(A113='Données projet'!$A$270,'Données projet'!$B$270,GU112+GT113-HC112)))</f>
        <v>317.94871794871813</v>
      </c>
      <c r="GV113" s="18">
        <f>GU113*VLOOKUP('Données projet'!$B$18,Paramètres!$A$1:$I$89,3,0)*VLOOKUP('Données projet'!$B$18,Paramètres!$A$1:$I$89,5,0)</f>
        <v>213.28000000000011</v>
      </c>
      <c r="GW113" s="14">
        <f t="shared" si="105"/>
        <v>52.651700420383257</v>
      </c>
      <c r="GX113" s="22">
        <f t="shared" si="82"/>
        <v>463.16437823216773</v>
      </c>
      <c r="GY113" s="62">
        <f t="shared" si="83"/>
        <v>756.49771156550105</v>
      </c>
      <c r="GZ113" s="62">
        <f ca="1">AVERAGE(OFFSET($GY$3,0,0,'Données projet'!$E$18+1,1))-AVERAGE(OFFSET($H$3,0,0,'Données projet'!$E$18+1,1))</f>
        <v>312.06797204903796</v>
      </c>
      <c r="HA113" s="62">
        <f t="shared" si="106"/>
        <v>258.20189001775151</v>
      </c>
      <c r="HB113" s="16">
        <f>IF(ISNA(VLOOKUP(A113,'Données projet'!$A$269:$I$289,3,0)),0,VLOOKUP(A113,'Données projet'!$A$269:$I$289,3,0))</f>
        <v>10</v>
      </c>
      <c r="HC113" s="16">
        <f>IF(ISNA(VLOOKUP(A113,'Données projet'!$A$269:$I$289,4,0)),0,VLOOKUP(A113,'Données projet'!$A$269:$I$289,4,0))</f>
        <v>317.94871794871796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>
        <f>EXP(-LN(2)/35)*HG112+(1-EXP(-LN(2)/35))/(LN(2)/35)*HC113*HD113*VLOOKUP('Données projet'!$B$18,Paramètres!$A$1:$I$89,3,0)*0.475*44/12</f>
        <v>0</v>
      </c>
      <c r="HH113" s="23">
        <f>EXP(-LN(2)/25)*HH112+(1-EXP(-LN(2)/25))/(LN(2)/25)*Calculateur!HC113*Calculateur!HE113*VLOOKUP('Données projet'!$B$18,Paramètres!$A$1:$I$89,3,0)*0.475*44/12</f>
        <v>0</v>
      </c>
      <c r="HI113" s="23">
        <f>EXP(-LN(2)/2)*HI112+(1-EXP(-LN(2)/2))/(LN(2)/2)*HC113*HF113*VLOOKUP('Données projet'!$B$18,Paramètres!$A$1:$I$89,3,0)*0.475*44/12</f>
        <v>0</v>
      </c>
      <c r="HJ113" s="24">
        <f t="shared" si="84"/>
        <v>0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4.5</v>
      </c>
      <c r="N114" s="14">
        <f>IF('Données projet'!$A$36&gt;35,N113+M114-V113,IF(A114&lt;'Données projet'!$A$36,$K$205^A114,IF(A114='Données projet'!$A$36,'Données projet'!$B$36,N113+M114-V113)))</f>
        <v>311.49999999999977</v>
      </c>
      <c r="O114" s="14">
        <f>N114*VLOOKUP('Données projet'!$B$9,Paramètres!$A$1:$I$89,3,0)*VLOOKUP('Données projet'!$B$9,Paramètres!$A$1:$I$89,5,0)</f>
        <v>281.84519999999975</v>
      </c>
      <c r="P114" s="14">
        <f t="shared" si="87"/>
        <v>67.356803491560427</v>
      </c>
      <c r="Q114" s="22">
        <f t="shared" si="107"/>
        <v>608.19348941446731</v>
      </c>
      <c r="R114" s="62">
        <f t="shared" si="55"/>
        <v>901.52682274780068</v>
      </c>
      <c r="S114" s="62">
        <f ca="1">AVERAGE(OFFSET($R$3,0,0,'Données projet'!$E$9+1,1))-AVERAGE(OFFSET($H$3,0,0,'Données projet'!$E$9+1,1))</f>
        <v>512.84819850818667</v>
      </c>
      <c r="T114" s="62">
        <f t="shared" si="88"/>
        <v>332.61387922152159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-5.6843418860808015E-14</v>
      </c>
      <c r="AJ114" s="14">
        <f>AI114*VLOOKUP('Données projet'!$B$10,Paramètres!$A$1:$I$89,3,0)*VLOOKUP('Données projet'!$B$10,Paramètres!$A$1:$I$89,5,0)</f>
        <v>-4.1677594708744434E-14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344.45199703750711</v>
      </c>
      <c r="AO114" s="62">
        <f t="shared" si="90"/>
        <v>376.41441893222185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4.5</v>
      </c>
      <c r="BD114" s="13">
        <f>IF('Données projet'!$A$88&gt;35,BD113+BC114-BL113,IF(A114&lt;'Données projet'!$A$88,$BA$205^A114,IF(A114='Données projet'!$A$88,'Données projet'!$B$88,BD113+BC114-BL113)))</f>
        <v>311.49999999999977</v>
      </c>
      <c r="BE114" s="14">
        <f>BD114*VLOOKUP('Données projet'!$B$11,Paramètres!$A$1:$I$89,3,0)*VLOOKUP('Données projet'!$B$11,Paramètres!$A$1:$I$89,5,0)</f>
        <v>315.86099999999976</v>
      </c>
      <c r="BF114" s="14">
        <f t="shared" si="91"/>
        <v>74.491502782151414</v>
      </c>
      <c r="BG114" s="22">
        <f t="shared" si="61"/>
        <v>679.86394234557997</v>
      </c>
      <c r="BH114" s="62">
        <f t="shared" si="62"/>
        <v>973.19727567891323</v>
      </c>
      <c r="BI114" s="62">
        <f ca="1">AVERAGE(OFFSET($BH$3,0,0,'Données projet'!$E$11+1,1))-AVERAGE(OFFSET($H$3,0,0,'Données projet'!$E$11+1,1))</f>
        <v>569.39473185784823</v>
      </c>
      <c r="BJ114" s="62">
        <f t="shared" si="92"/>
        <v>367.42881145517066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5.8</v>
      </c>
      <c r="BY114" s="13">
        <f>IF('Données projet'!$A$114&gt;35,BY113+BX114-CG113,IF(A114&lt;'Données projet'!$A$114,$BV$205^A114,IF(A114='Données projet'!$A$114,'Données projet'!$B$114,BY113+BX114-CG113)))</f>
        <v>401.7999999999999</v>
      </c>
      <c r="BZ114" s="14">
        <f>BY114*VLOOKUP('Données projet'!$B$12,Paramètres!$A$1:$I$89,3,0)*VLOOKUP('Données projet'!$B$12,Paramètres!$A$1:$I$89,5,0)</f>
        <v>344.74439999999993</v>
      </c>
      <c r="CA114" s="14">
        <f t="shared" si="93"/>
        <v>80.47937753557926</v>
      </c>
      <c r="CB114" s="22">
        <f t="shared" si="64"/>
        <v>740.59807920780031</v>
      </c>
      <c r="CC114" s="62">
        <f t="shared" si="65"/>
        <v>1033.9314125411336</v>
      </c>
      <c r="CD114" s="62">
        <f ca="1">AVERAGE(OFFSET($CC$3,0,0,'Données projet'!$E$12+1,1))-AVERAGE(OFFSET($H$3,0,0,'Données projet'!$E$12+1,1))</f>
        <v>554.06253050955502</v>
      </c>
      <c r="CE114" s="62">
        <f t="shared" si="94"/>
        <v>269.71949336355789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1.1368683772161603E-13</v>
      </c>
      <c r="CU114" s="18">
        <f>CT114*VLOOKUP('Données projet'!$B$13,Paramètres!$A$1:$I$89,3,0)*VLOOKUP('Données projet'!$B$13,Paramètres!$A$1:$I$89,5,0)</f>
        <v>8.8675733422860506E-14</v>
      </c>
      <c r="CV114" s="14">
        <f t="shared" si="95"/>
        <v>1.3509285393066301E-12</v>
      </c>
      <c r="CW114" s="22">
        <f t="shared" si="67"/>
        <v>2.5073107750038623E-12</v>
      </c>
      <c r="CX114" s="62">
        <f t="shared" si="68"/>
        <v>293.33333333333582</v>
      </c>
      <c r="CY114" s="62">
        <f ca="1">AVERAGE(OFFSET($CX$3,0,0,'Données projet'!$E$13+1,1))-AVERAGE(OFFSET($H$3,0,0,'Données projet'!$E$13+1,1))</f>
        <v>292.21364130214391</v>
      </c>
      <c r="CZ114" s="62">
        <f t="shared" si="96"/>
        <v>283.48738729114024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3.3333333333333313</v>
      </c>
      <c r="DO114" s="13">
        <f>IF('Données projet'!$A$166&gt;35,DO113+DN114-DW113,IF(A114&lt;'Données projet'!$A$166,$DL$205^A114,IF(A114='Données projet'!$A$166,'Données projet'!$B$166,DO113+DN114-DW113)))</f>
        <v>270.64102564102586</v>
      </c>
      <c r="DP114" s="18">
        <f>DO114*VLOOKUP('Données projet'!$B$14,Paramètres!$A$1:$I$89,3,0)*VLOOKUP('Données projet'!$B$14,Paramètres!$A$1:$I$89,5,0)</f>
        <v>257.5420000000002</v>
      </c>
      <c r="DQ114" s="14">
        <f t="shared" si="97"/>
        <v>62.198142384392476</v>
      </c>
      <c r="DR114" s="22">
        <f t="shared" si="70"/>
        <v>556.8807479861506</v>
      </c>
      <c r="DS114" s="62">
        <f t="shared" si="71"/>
        <v>850.21408131948397</v>
      </c>
      <c r="DT114" s="62">
        <f ca="1">AVERAGE(OFFSET($DS$3,0,0,'Données projet'!$E$14+1,1))-AVERAGE(OFFSET($H$3,0,0,'Données projet'!$E$14+1,1))</f>
        <v>427.47603885390191</v>
      </c>
      <c r="DU114" s="62">
        <f t="shared" si="98"/>
        <v>350.88664394632116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3.7</v>
      </c>
      <c r="EJ114" s="13">
        <f>IF('Données projet'!$A$192&gt;35,EJ113+EI114-ER113,IF(A114&lt;'Données projet'!$A$192,$EG$205^A114,IF(A114='Données projet'!$A$192,'Données projet'!$B$192,EJ113+EI114-ER113)))</f>
        <v>269.69999999999959</v>
      </c>
      <c r="EK114" s="18">
        <f>EJ114*VLOOKUP('Données projet'!$B$15,Paramètres!$A$1:$I$89,3,0)*VLOOKUP('Données projet'!$B$15,Paramètres!$A$1:$I$89,5,0)</f>
        <v>260.85383999999959</v>
      </c>
      <c r="EL114" s="14">
        <f t="shared" si="99"/>
        <v>62.904347395903649</v>
      </c>
      <c r="EM114" s="22">
        <f t="shared" si="73"/>
        <v>563.87884304786473</v>
      </c>
      <c r="EN114" s="62">
        <f t="shared" si="74"/>
        <v>857.21217638119811</v>
      </c>
      <c r="EO114" s="62">
        <f ca="1">AVERAGE(OFFSET($EN$3,0,0,'Données projet'!$E$15+1,1))-AVERAGE(OFFSET($H$3,0,0,'Données projet'!$E$15+1,1))</f>
        <v>455.50822833641354</v>
      </c>
      <c r="EP114" s="62">
        <f t="shared" si="100"/>
        <v>261.14722581688039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243</v>
      </c>
      <c r="FF114" s="18">
        <f>FE114*VLOOKUP('Données projet'!$B$16,Paramètres!$A$1:$I$89,3,0)*VLOOKUP('Données projet'!$B$16,Paramètres!$A$1:$I$89,5,0)</f>
        <v>212.28480000000002</v>
      </c>
      <c r="FG114" s="14">
        <f t="shared" si="101"/>
        <v>52.434557099704193</v>
      </c>
      <c r="FH114" s="22">
        <f t="shared" si="76"/>
        <v>461.05288028198476</v>
      </c>
      <c r="FI114" s="62">
        <f t="shared" si="77"/>
        <v>754.38621361531807</v>
      </c>
      <c r="FJ114" s="62">
        <f ca="1">AVERAGE(OFFSET($FI$3,0,0,'Données projet'!$E$16+1,1))-AVERAGE(OFFSET($H$3,0,0,'Données projet'!$E$16+1,1))</f>
        <v>369.34989412920129</v>
      </c>
      <c r="FK114" s="62">
        <f t="shared" si="102"/>
        <v>371.26234252426553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0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>
        <f>FZ114*VLOOKUP('Données projet'!$B$17,Paramètres!$A$1:$I$89,3,0)*VLOOKUP('Données projet'!$B$17,Paramètres!$A$1:$I$89,5,0)</f>
        <v>0</v>
      </c>
      <c r="GB114" s="14" t="e">
        <f t="shared" si="103"/>
        <v>#NUM!</v>
      </c>
      <c r="GC114" s="22" t="e">
        <f t="shared" si="79"/>
        <v>#NUM!</v>
      </c>
      <c r="GD114" s="62" t="e">
        <f t="shared" si="80"/>
        <v>#NUM!</v>
      </c>
      <c r="GE114" s="62">
        <f ca="1">AVERAGE(OFFSET($GD$3,0,0,'Données projet'!$E$17+1,1))-AVERAGE(OFFSET($H$3,0,0,'Données projet'!$E$17+1,1))</f>
        <v>324.4489531703187</v>
      </c>
      <c r="GF114" s="62">
        <f t="shared" si="104"/>
        <v>446.55019360848706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projet'!$B$17,Paramètres!$A$1:$I$89,3,0)*0.475*44/12</f>
        <v>0</v>
      </c>
      <c r="GM114" s="23">
        <f>EXP(-LN(2)/25)*GM113+(1-EXP(-LN(2)/25))/(LN(2)/25)*Calculateur!GH114*Calculateur!GJ114*VLOOKUP('Données projet'!$B$17,Paramètres!$A$1:$I$89,3,0)*0.475*44/12</f>
        <v>0</v>
      </c>
      <c r="GN114" s="23">
        <f>EXP(-LN(2)/2)*GN113+(1-EXP(-LN(2)/2))/(LN(2)/2)*GH114*GK114*VLOOKUP('Données projet'!$B$17,Paramètres!$A$1:$I$89,3,0)*0.475*44/12</f>
        <v>0</v>
      </c>
      <c r="GO114" s="23">
        <f t="shared" si="81"/>
        <v>0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1.7053025658242404E-13</v>
      </c>
      <c r="GV114" s="18">
        <f>GU114*VLOOKUP('Données projet'!$B$18,Paramètres!$A$1:$I$89,3,0)*VLOOKUP('Données projet'!$B$18,Paramètres!$A$1:$I$89,5,0)</f>
        <v>1.1439169611549005E-13</v>
      </c>
      <c r="GW114" s="14">
        <f t="shared" si="105"/>
        <v>1.6918016515029816E-12</v>
      </c>
      <c r="GX114" s="22">
        <f t="shared" si="82"/>
        <v>3.1457867471021712E-12</v>
      </c>
      <c r="GY114" s="62">
        <f t="shared" si="83"/>
        <v>293.33333333333644</v>
      </c>
      <c r="GZ114" s="62">
        <f ca="1">AVERAGE(OFFSET($GY$3,0,0,'Données projet'!$E$18+1,1))-AVERAGE(OFFSET($H$3,0,0,'Données projet'!$E$18+1,1))</f>
        <v>312.06797204903796</v>
      </c>
      <c r="HA114" s="62">
        <f t="shared" si="106"/>
        <v>258.20189001775151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>
        <f>EXP(-LN(2)/35)*HG113+(1-EXP(-LN(2)/35))/(LN(2)/35)*HC114*HD114*VLOOKUP('Données projet'!$B$18,Paramètres!$A$1:$I$89,3,0)*0.475*44/12</f>
        <v>0</v>
      </c>
      <c r="HH114" s="23">
        <f>EXP(-LN(2)/25)*HH113+(1-EXP(-LN(2)/25))/(LN(2)/25)*Calculateur!HC114*Calculateur!HE114*VLOOKUP('Données projet'!$B$18,Paramètres!$A$1:$I$89,3,0)*0.475*44/12</f>
        <v>0</v>
      </c>
      <c r="HI114" s="23">
        <f>EXP(-LN(2)/2)*HI113+(1-EXP(-LN(2)/2))/(LN(2)/2)*HC114*HF114*VLOOKUP('Données projet'!$B$18,Paramètres!$A$1:$I$89,3,0)*0.475*44/12</f>
        <v>0</v>
      </c>
      <c r="HJ114" s="24">
        <f t="shared" si="84"/>
        <v>0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4.5</v>
      </c>
      <c r="N115" s="14">
        <f>IF('Données projet'!$A$36&gt;35,N114+M115-V114,IF(A115&lt;'Données projet'!$A$36,$K$205^A115,IF(A115='Données projet'!$A$36,'Données projet'!$B$36,N114+M115-V114)))</f>
        <v>315.99999999999977</v>
      </c>
      <c r="O115" s="14">
        <f>N115*VLOOKUP('Données projet'!$B$9,Paramètres!$A$1:$I$89,3,0)*VLOOKUP('Données projet'!$B$9,Paramètres!$A$1:$I$89,5,0)</f>
        <v>285.9167999999998</v>
      </c>
      <c r="P115" s="14">
        <f t="shared" si="87"/>
        <v>68.215872977287475</v>
      </c>
      <c r="Q115" s="22">
        <f t="shared" si="107"/>
        <v>616.78107210210862</v>
      </c>
      <c r="R115" s="62">
        <f t="shared" si="55"/>
        <v>910.11440543544199</v>
      </c>
      <c r="S115" s="62">
        <f ca="1">AVERAGE(OFFSET($R$3,0,0,'Données projet'!$E$9+1,1))-AVERAGE(OFFSET($H$3,0,0,'Données projet'!$E$9+1,1))</f>
        <v>512.84819850818667</v>
      </c>
      <c r="T115" s="62">
        <f t="shared" si="88"/>
        <v>332.61387922152159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-5.6843418860808015E-14</v>
      </c>
      <c r="AJ115" s="14">
        <f>AI115*VLOOKUP('Données projet'!$B$10,Paramètres!$A$1:$I$89,3,0)*VLOOKUP('Données projet'!$B$10,Paramètres!$A$1:$I$89,5,0)</f>
        <v>-4.1677594708744434E-14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344.45199703750711</v>
      </c>
      <c r="AO115" s="62">
        <f t="shared" si="90"/>
        <v>376.41441893222185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4.5</v>
      </c>
      <c r="BD115" s="13">
        <f>IF('Données projet'!$A$88&gt;35,BD114+BC115-BL114,IF(A115&lt;'Données projet'!$A$88,$BA$205^A115,IF(A115='Données projet'!$A$88,'Données projet'!$B$88,BD114+BC115-BL114)))</f>
        <v>315.99999999999977</v>
      </c>
      <c r="BE115" s="14">
        <f>BD115*VLOOKUP('Données projet'!$B$11,Paramètres!$A$1:$I$89,3,0)*VLOOKUP('Données projet'!$B$11,Paramètres!$A$1:$I$89,5,0)</f>
        <v>320.42399999999981</v>
      </c>
      <c r="BF115" s="14">
        <f t="shared" si="91"/>
        <v>75.441568308852254</v>
      </c>
      <c r="BG115" s="22">
        <f t="shared" si="61"/>
        <v>689.46586480458393</v>
      </c>
      <c r="BH115" s="62">
        <f t="shared" si="62"/>
        <v>982.7991981379173</v>
      </c>
      <c r="BI115" s="62">
        <f ca="1">AVERAGE(OFFSET($BH$3,0,0,'Données projet'!$E$11+1,1))-AVERAGE(OFFSET($H$3,0,0,'Données projet'!$E$11+1,1))</f>
        <v>569.39473185784823</v>
      </c>
      <c r="BJ115" s="62">
        <f t="shared" si="92"/>
        <v>367.42881145517066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5.8</v>
      </c>
      <c r="BY115" s="13">
        <f>IF('Données projet'!$A$114&gt;35,BY114+BX115-CG114,IF(A115&lt;'Données projet'!$A$114,$BV$205^A115,IF(A115='Données projet'!$A$114,'Données projet'!$B$114,BY114+BX115-CG114)))</f>
        <v>407.59999999999991</v>
      </c>
      <c r="BZ115" s="14">
        <f>BY115*VLOOKUP('Données projet'!$B$12,Paramètres!$A$1:$I$89,3,0)*VLOOKUP('Données projet'!$B$12,Paramètres!$A$1:$I$89,5,0)</f>
        <v>349.7208</v>
      </c>
      <c r="CA115" s="14">
        <f t="shared" si="93"/>
        <v>81.505018388531752</v>
      </c>
      <c r="CB115" s="22">
        <f t="shared" si="64"/>
        <v>751.05163369335958</v>
      </c>
      <c r="CC115" s="62">
        <f t="shared" si="65"/>
        <v>1044.3849670266929</v>
      </c>
      <c r="CD115" s="62">
        <f ca="1">AVERAGE(OFFSET($CC$3,0,0,'Données projet'!$E$12+1,1))-AVERAGE(OFFSET($H$3,0,0,'Données projet'!$E$12+1,1))</f>
        <v>554.06253050955502</v>
      </c>
      <c r="CE115" s="62">
        <f t="shared" si="94"/>
        <v>269.71949336355789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1.1368683772161603E-13</v>
      </c>
      <c r="CU115" s="18">
        <f>CT115*VLOOKUP('Données projet'!$B$13,Paramètres!$A$1:$I$89,3,0)*VLOOKUP('Données projet'!$B$13,Paramètres!$A$1:$I$89,5,0)</f>
        <v>8.8675733422860506E-14</v>
      </c>
      <c r="CV115" s="14">
        <f t="shared" si="95"/>
        <v>1.3509285393066301E-12</v>
      </c>
      <c r="CW115" s="22">
        <f t="shared" si="67"/>
        <v>2.5073107750038623E-12</v>
      </c>
      <c r="CX115" s="62">
        <f t="shared" si="68"/>
        <v>293.33333333333582</v>
      </c>
      <c r="CY115" s="62">
        <f ca="1">AVERAGE(OFFSET($CX$3,0,0,'Données projet'!$E$13+1,1))-AVERAGE(OFFSET($H$3,0,0,'Données projet'!$E$13+1,1))</f>
        <v>292.21364130214391</v>
      </c>
      <c r="CZ115" s="62">
        <f t="shared" si="96"/>
        <v>283.48738729114024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3.3333333333333313</v>
      </c>
      <c r="DO115" s="13">
        <f>IF('Données projet'!$A$166&gt;35,DO114+DN115-DW114,IF(A115&lt;'Données projet'!$A$166,$DL$205^A115,IF(A115='Données projet'!$A$166,'Données projet'!$B$166,DO114+DN115-DW114)))</f>
        <v>273.97435897435918</v>
      </c>
      <c r="DP115" s="18">
        <f>DO115*VLOOKUP('Données projet'!$B$14,Paramètres!$A$1:$I$89,3,0)*VLOOKUP('Données projet'!$B$14,Paramètres!$A$1:$I$89,5,0)</f>
        <v>260.71400000000023</v>
      </c>
      <c r="DQ115" s="14">
        <f t="shared" si="97"/>
        <v>62.874549602698941</v>
      </c>
      <c r="DR115" s="22">
        <f t="shared" si="70"/>
        <v>563.58339055803435</v>
      </c>
      <c r="DS115" s="62">
        <f t="shared" si="71"/>
        <v>856.91672389136761</v>
      </c>
      <c r="DT115" s="62">
        <f ca="1">AVERAGE(OFFSET($DS$3,0,0,'Données projet'!$E$14+1,1))-AVERAGE(OFFSET($H$3,0,0,'Données projet'!$E$14+1,1))</f>
        <v>427.47603885390191</v>
      </c>
      <c r="DU115" s="62">
        <f t="shared" si="98"/>
        <v>350.88664394632116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3.7</v>
      </c>
      <c r="EJ115" s="13">
        <f>IF('Données projet'!$A$192&gt;35,EJ114+EI115-ER114,IF(A115&lt;'Données projet'!$A$192,$EG$205^A115,IF(A115='Données projet'!$A$192,'Données projet'!$B$192,EJ114+EI115-ER114)))</f>
        <v>273.39999999999958</v>
      </c>
      <c r="EK115" s="18">
        <f>EJ115*VLOOKUP('Données projet'!$B$15,Paramètres!$A$1:$I$89,3,0)*VLOOKUP('Données projet'!$B$15,Paramètres!$A$1:$I$89,5,0)</f>
        <v>264.4324799999996</v>
      </c>
      <c r="EL115" s="14">
        <f t="shared" si="99"/>
        <v>63.666272015882292</v>
      </c>
      <c r="EM115" s="22">
        <f t="shared" si="73"/>
        <v>571.43865976099426</v>
      </c>
      <c r="EN115" s="62">
        <f t="shared" si="74"/>
        <v>864.77199309432763</v>
      </c>
      <c r="EO115" s="62">
        <f ca="1">AVERAGE(OFFSET($EN$3,0,0,'Données projet'!$E$15+1,1))-AVERAGE(OFFSET($H$3,0,0,'Données projet'!$E$15+1,1))</f>
        <v>455.50822833641354</v>
      </c>
      <c r="EP115" s="62">
        <f t="shared" si="100"/>
        <v>261.14722581688039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243</v>
      </c>
      <c r="FF115" s="18">
        <f>FE115*VLOOKUP('Données projet'!$B$16,Paramètres!$A$1:$I$89,3,0)*VLOOKUP('Données projet'!$B$16,Paramètres!$A$1:$I$89,5,0)</f>
        <v>212.28480000000002</v>
      </c>
      <c r="FG115" s="14">
        <f t="shared" si="101"/>
        <v>52.434557099704193</v>
      </c>
      <c r="FH115" s="22">
        <f t="shared" si="76"/>
        <v>461.05288028198476</v>
      </c>
      <c r="FI115" s="62">
        <f t="shared" si="77"/>
        <v>754.38621361531807</v>
      </c>
      <c r="FJ115" s="62">
        <f ca="1">AVERAGE(OFFSET($FI$3,0,0,'Données projet'!$E$16+1,1))-AVERAGE(OFFSET($H$3,0,0,'Données projet'!$E$16+1,1))</f>
        <v>369.34989412920129</v>
      </c>
      <c r="FK115" s="62">
        <f t="shared" si="102"/>
        <v>371.26234252426553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0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>
        <f>FZ115*VLOOKUP('Données projet'!$B$17,Paramètres!$A$1:$I$89,3,0)*VLOOKUP('Données projet'!$B$17,Paramètres!$A$1:$I$89,5,0)</f>
        <v>0</v>
      </c>
      <c r="GB115" s="14" t="e">
        <f t="shared" si="103"/>
        <v>#NUM!</v>
      </c>
      <c r="GC115" s="22" t="e">
        <f t="shared" si="79"/>
        <v>#NUM!</v>
      </c>
      <c r="GD115" s="62" t="e">
        <f t="shared" si="80"/>
        <v>#NUM!</v>
      </c>
      <c r="GE115" s="62">
        <f ca="1">AVERAGE(OFFSET($GD$3,0,0,'Données projet'!$E$17+1,1))-AVERAGE(OFFSET($H$3,0,0,'Données projet'!$E$17+1,1))</f>
        <v>324.4489531703187</v>
      </c>
      <c r="GF115" s="62">
        <f t="shared" si="104"/>
        <v>446.55019360848706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projet'!$B$17,Paramètres!$A$1:$I$89,3,0)*0.475*44/12</f>
        <v>0</v>
      </c>
      <c r="GM115" s="23">
        <f>EXP(-LN(2)/25)*GM114+(1-EXP(-LN(2)/25))/(LN(2)/25)*Calculateur!GH115*Calculateur!GJ115*VLOOKUP('Données projet'!$B$17,Paramètres!$A$1:$I$89,3,0)*0.475*44/12</f>
        <v>0</v>
      </c>
      <c r="GN115" s="23">
        <f>EXP(-LN(2)/2)*GN114+(1-EXP(-LN(2)/2))/(LN(2)/2)*GH115*GK115*VLOOKUP('Données projet'!$B$17,Paramètres!$A$1:$I$89,3,0)*0.475*44/12</f>
        <v>0</v>
      </c>
      <c r="GO115" s="23">
        <f t="shared" si="81"/>
        <v>0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1.7053025658242404E-13</v>
      </c>
      <c r="GV115" s="18">
        <f>GU115*VLOOKUP('Données projet'!$B$18,Paramètres!$A$1:$I$89,3,0)*VLOOKUP('Données projet'!$B$18,Paramètres!$A$1:$I$89,5,0)</f>
        <v>1.1439169611549005E-13</v>
      </c>
      <c r="GW115" s="14">
        <f t="shared" si="105"/>
        <v>1.6918016515029816E-12</v>
      </c>
      <c r="GX115" s="22">
        <f t="shared" si="82"/>
        <v>3.1457867471021712E-12</v>
      </c>
      <c r="GY115" s="62">
        <f t="shared" si="83"/>
        <v>293.33333333333644</v>
      </c>
      <c r="GZ115" s="62">
        <f ca="1">AVERAGE(OFFSET($GY$3,0,0,'Données projet'!$E$18+1,1))-AVERAGE(OFFSET($H$3,0,0,'Données projet'!$E$18+1,1))</f>
        <v>312.06797204903796</v>
      </c>
      <c r="HA115" s="62">
        <f t="shared" si="106"/>
        <v>258.20189001775151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>
        <f>EXP(-LN(2)/35)*HG114+(1-EXP(-LN(2)/35))/(LN(2)/35)*HC115*HD115*VLOOKUP('Données projet'!$B$18,Paramètres!$A$1:$I$89,3,0)*0.475*44/12</f>
        <v>0</v>
      </c>
      <c r="HH115" s="23">
        <f>EXP(-LN(2)/25)*HH114+(1-EXP(-LN(2)/25))/(LN(2)/25)*Calculateur!HC115*Calculateur!HE115*VLOOKUP('Données projet'!$B$18,Paramètres!$A$1:$I$89,3,0)*0.475*44/12</f>
        <v>0</v>
      </c>
      <c r="HI115" s="23">
        <f>EXP(-LN(2)/2)*HI114+(1-EXP(-LN(2)/2))/(LN(2)/2)*HC115*HF115*VLOOKUP('Données projet'!$B$18,Paramètres!$A$1:$I$89,3,0)*0.475*44/12</f>
        <v>0</v>
      </c>
      <c r="HJ115" s="24">
        <f t="shared" si="84"/>
        <v>0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4.5</v>
      </c>
      <c r="N116" s="14">
        <f>IF('Données projet'!$A$36&gt;35,N115+M116-V115,IF(A116&lt;'Données projet'!$A$36,$K$205^A116,IF(A116='Données projet'!$A$36,'Données projet'!$B$36,N115+M116-V115)))</f>
        <v>320.49999999999977</v>
      </c>
      <c r="O116" s="14">
        <f>N116*VLOOKUP('Données projet'!$B$9,Paramètres!$A$1:$I$89,3,0)*VLOOKUP('Données projet'!$B$9,Paramètres!$A$1:$I$89,5,0)</f>
        <v>289.98839999999979</v>
      </c>
      <c r="P116" s="14">
        <f t="shared" si="87"/>
        <v>69.073519602481525</v>
      </c>
      <c r="Q116" s="22">
        <f t="shared" si="107"/>
        <v>625.36617664098833</v>
      </c>
      <c r="R116" s="62">
        <f t="shared" si="55"/>
        <v>918.6995099743217</v>
      </c>
      <c r="S116" s="62">
        <f ca="1">AVERAGE(OFFSET($R$3,0,0,'Données projet'!$E$9+1,1))-AVERAGE(OFFSET($H$3,0,0,'Données projet'!$E$9+1,1))</f>
        <v>512.84819850818667</v>
      </c>
      <c r="T116" s="62">
        <f t="shared" si="88"/>
        <v>332.61387922152159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-5.6843418860808015E-14</v>
      </c>
      <c r="AJ116" s="14">
        <f>AI116*VLOOKUP('Données projet'!$B$10,Paramètres!$A$1:$I$89,3,0)*VLOOKUP('Données projet'!$B$10,Paramètres!$A$1:$I$89,5,0)</f>
        <v>-4.1677594708744434E-14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344.45199703750711</v>
      </c>
      <c r="AO116" s="62">
        <f t="shared" si="90"/>
        <v>376.41441893222185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4.5</v>
      </c>
      <c r="BD116" s="13">
        <f>IF('Données projet'!$A$88&gt;35,BD115+BC116-BL115,IF(A116&lt;'Données projet'!$A$88,$BA$205^A116,IF(A116='Données projet'!$A$88,'Données projet'!$B$88,BD115+BC116-BL115)))</f>
        <v>320.49999999999977</v>
      </c>
      <c r="BE116" s="14">
        <f>BD116*VLOOKUP('Données projet'!$B$11,Paramètres!$A$1:$I$89,3,0)*VLOOKUP('Données projet'!$B$11,Paramètres!$A$1:$I$89,5,0)</f>
        <v>324.9869999999998</v>
      </c>
      <c r="BF116" s="14">
        <f t="shared" si="91"/>
        <v>76.390060259999387</v>
      </c>
      <c r="BG116" s="22">
        <f t="shared" si="61"/>
        <v>699.06504661949873</v>
      </c>
      <c r="BH116" s="62">
        <f t="shared" si="62"/>
        <v>992.3983799528321</v>
      </c>
      <c r="BI116" s="62">
        <f ca="1">AVERAGE(OFFSET($BH$3,0,0,'Données projet'!$E$11+1,1))-AVERAGE(OFFSET($H$3,0,0,'Données projet'!$E$11+1,1))</f>
        <v>569.39473185784823</v>
      </c>
      <c r="BJ116" s="62">
        <f t="shared" si="92"/>
        <v>367.42881145517066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5.8</v>
      </c>
      <c r="BY116" s="13">
        <f>IF('Données projet'!$A$114&gt;35,BY115+BX116-CG115,IF(A116&lt;'Données projet'!$A$114,$BV$205^A116,IF(A116='Données projet'!$A$114,'Données projet'!$B$114,BY115+BX116-CG115)))</f>
        <v>413.39999999999992</v>
      </c>
      <c r="BZ116" s="14">
        <f>BY116*VLOOKUP('Données projet'!$B$12,Paramètres!$A$1:$I$89,3,0)*VLOOKUP('Données projet'!$B$12,Paramètres!$A$1:$I$89,5,0)</f>
        <v>354.69719999999995</v>
      </c>
      <c r="CA116" s="14">
        <f t="shared" si="93"/>
        <v>82.528961787580869</v>
      </c>
      <c r="CB116" s="22">
        <f t="shared" si="64"/>
        <v>761.5022317800366</v>
      </c>
      <c r="CC116" s="62">
        <f t="shared" si="65"/>
        <v>1054.83556511337</v>
      </c>
      <c r="CD116" s="62">
        <f ca="1">AVERAGE(OFFSET($CC$3,0,0,'Données projet'!$E$12+1,1))-AVERAGE(OFFSET($H$3,0,0,'Données projet'!$E$12+1,1))</f>
        <v>554.06253050955502</v>
      </c>
      <c r="CE116" s="62">
        <f t="shared" si="94"/>
        <v>269.71949336355789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1.1368683772161603E-13</v>
      </c>
      <c r="CU116" s="18">
        <f>CT116*VLOOKUP('Données projet'!$B$13,Paramètres!$A$1:$I$89,3,0)*VLOOKUP('Données projet'!$B$13,Paramètres!$A$1:$I$89,5,0)</f>
        <v>8.8675733422860506E-14</v>
      </c>
      <c r="CV116" s="14">
        <f t="shared" si="95"/>
        <v>1.3509285393066301E-12</v>
      </c>
      <c r="CW116" s="22">
        <f t="shared" si="67"/>
        <v>2.5073107750038623E-12</v>
      </c>
      <c r="CX116" s="62">
        <f t="shared" si="68"/>
        <v>293.33333333333582</v>
      </c>
      <c r="CY116" s="62">
        <f ca="1">AVERAGE(OFFSET($CX$3,0,0,'Données projet'!$E$13+1,1))-AVERAGE(OFFSET($H$3,0,0,'Données projet'!$E$13+1,1))</f>
        <v>292.21364130214391</v>
      </c>
      <c r="CZ116" s="62">
        <f t="shared" si="96"/>
        <v>283.48738729114024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3.3333333333333313</v>
      </c>
      <c r="DO116" s="13">
        <f>IF('Données projet'!$A$166&gt;35,DO115+DN116-DW115,IF(A116&lt;'Données projet'!$A$166,$DL$205^A116,IF(A116='Données projet'!$A$166,'Données projet'!$B$166,DO115+DN116-DW115)))</f>
        <v>277.30769230769249</v>
      </c>
      <c r="DP116" s="18">
        <f>DO116*VLOOKUP('Données projet'!$B$14,Paramètres!$A$1:$I$89,3,0)*VLOOKUP('Données projet'!$B$14,Paramètres!$A$1:$I$89,5,0)</f>
        <v>263.88600000000019</v>
      </c>
      <c r="DQ116" s="14">
        <f t="shared" si="97"/>
        <v>63.54999955224892</v>
      </c>
      <c r="DR116" s="22">
        <f t="shared" si="70"/>
        <v>570.28436588683383</v>
      </c>
      <c r="DS116" s="62">
        <f t="shared" si="71"/>
        <v>863.6176992201672</v>
      </c>
      <c r="DT116" s="62">
        <f ca="1">AVERAGE(OFFSET($DS$3,0,0,'Données projet'!$E$14+1,1))-AVERAGE(OFFSET($H$3,0,0,'Données projet'!$E$14+1,1))</f>
        <v>427.47603885390191</v>
      </c>
      <c r="DU116" s="62">
        <f t="shared" si="98"/>
        <v>350.88664394632116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3.7</v>
      </c>
      <c r="EJ116" s="13">
        <f>IF('Données projet'!$A$192&gt;35,EJ115+EI116-ER115,IF(A116&lt;'Données projet'!$A$192,$EG$205^A116,IF(A116='Données projet'!$A$192,'Données projet'!$B$192,EJ115+EI116-ER115)))</f>
        <v>277.09999999999957</v>
      </c>
      <c r="EK116" s="18">
        <f>EJ116*VLOOKUP('Données projet'!$B$15,Paramètres!$A$1:$I$89,3,0)*VLOOKUP('Données projet'!$B$15,Paramètres!$A$1:$I$89,5,0)</f>
        <v>268.01111999999961</v>
      </c>
      <c r="EL116" s="14">
        <f t="shared" si="99"/>
        <v>64.426997301716796</v>
      </c>
      <c r="EM116" s="22">
        <f t="shared" si="73"/>
        <v>578.99638763382268</v>
      </c>
      <c r="EN116" s="62">
        <f t="shared" si="74"/>
        <v>872.32972096715594</v>
      </c>
      <c r="EO116" s="62">
        <f ca="1">AVERAGE(OFFSET($EN$3,0,0,'Données projet'!$E$15+1,1))-AVERAGE(OFFSET($H$3,0,0,'Données projet'!$E$15+1,1))</f>
        <v>455.50822833641354</v>
      </c>
      <c r="EP116" s="62">
        <f t="shared" si="100"/>
        <v>261.14722581688039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243</v>
      </c>
      <c r="FF116" s="18">
        <f>FE116*VLOOKUP('Données projet'!$B$16,Paramètres!$A$1:$I$89,3,0)*VLOOKUP('Données projet'!$B$16,Paramètres!$A$1:$I$89,5,0)</f>
        <v>212.28480000000002</v>
      </c>
      <c r="FG116" s="14">
        <f t="shared" si="101"/>
        <v>52.434557099704193</v>
      </c>
      <c r="FH116" s="22">
        <f t="shared" si="76"/>
        <v>461.05288028198476</v>
      </c>
      <c r="FI116" s="62">
        <f t="shared" si="77"/>
        <v>754.38621361531807</v>
      </c>
      <c r="FJ116" s="62">
        <f ca="1">AVERAGE(OFFSET($FI$3,0,0,'Données projet'!$E$16+1,1))-AVERAGE(OFFSET($H$3,0,0,'Données projet'!$E$16+1,1))</f>
        <v>369.34989412920129</v>
      </c>
      <c r="FK116" s="62">
        <f t="shared" si="102"/>
        <v>371.26234252426553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0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>
        <f>FZ116*VLOOKUP('Données projet'!$B$17,Paramètres!$A$1:$I$89,3,0)*VLOOKUP('Données projet'!$B$17,Paramètres!$A$1:$I$89,5,0)</f>
        <v>0</v>
      </c>
      <c r="GB116" s="14" t="e">
        <f t="shared" si="103"/>
        <v>#NUM!</v>
      </c>
      <c r="GC116" s="22" t="e">
        <f t="shared" si="79"/>
        <v>#NUM!</v>
      </c>
      <c r="GD116" s="62" t="e">
        <f t="shared" si="80"/>
        <v>#NUM!</v>
      </c>
      <c r="GE116" s="62">
        <f ca="1">AVERAGE(OFFSET($GD$3,0,0,'Données projet'!$E$17+1,1))-AVERAGE(OFFSET($H$3,0,0,'Données projet'!$E$17+1,1))</f>
        <v>324.4489531703187</v>
      </c>
      <c r="GF116" s="62">
        <f t="shared" si="104"/>
        <v>446.55019360848706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projet'!$B$17,Paramètres!$A$1:$I$89,3,0)*0.475*44/12</f>
        <v>0</v>
      </c>
      <c r="GM116" s="23">
        <f>EXP(-LN(2)/25)*GM115+(1-EXP(-LN(2)/25))/(LN(2)/25)*Calculateur!GH116*Calculateur!GJ116*VLOOKUP('Données projet'!$B$17,Paramètres!$A$1:$I$89,3,0)*0.475*44/12</f>
        <v>0</v>
      </c>
      <c r="GN116" s="23">
        <f>EXP(-LN(2)/2)*GN115+(1-EXP(-LN(2)/2))/(LN(2)/2)*GH116*GK116*VLOOKUP('Données projet'!$B$17,Paramètres!$A$1:$I$89,3,0)*0.475*44/12</f>
        <v>0</v>
      </c>
      <c r="GO116" s="23">
        <f t="shared" si="81"/>
        <v>0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1.7053025658242404E-13</v>
      </c>
      <c r="GV116" s="18">
        <f>GU116*VLOOKUP('Données projet'!$B$18,Paramètres!$A$1:$I$89,3,0)*VLOOKUP('Données projet'!$B$18,Paramètres!$A$1:$I$89,5,0)</f>
        <v>1.1439169611549005E-13</v>
      </c>
      <c r="GW116" s="14">
        <f t="shared" si="105"/>
        <v>1.6918016515029816E-12</v>
      </c>
      <c r="GX116" s="22">
        <f t="shared" si="82"/>
        <v>3.1457867471021712E-12</v>
      </c>
      <c r="GY116" s="62">
        <f t="shared" si="83"/>
        <v>293.33333333333644</v>
      </c>
      <c r="GZ116" s="62">
        <f ca="1">AVERAGE(OFFSET($GY$3,0,0,'Données projet'!$E$18+1,1))-AVERAGE(OFFSET($H$3,0,0,'Données projet'!$E$18+1,1))</f>
        <v>312.06797204903796</v>
      </c>
      <c r="HA116" s="62">
        <f t="shared" si="106"/>
        <v>258.20189001775151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>
        <f>EXP(-LN(2)/35)*HG115+(1-EXP(-LN(2)/35))/(LN(2)/35)*HC116*HD116*VLOOKUP('Données projet'!$B$18,Paramètres!$A$1:$I$89,3,0)*0.475*44/12</f>
        <v>0</v>
      </c>
      <c r="HH116" s="23">
        <f>EXP(-LN(2)/25)*HH115+(1-EXP(-LN(2)/25))/(LN(2)/25)*Calculateur!HC116*Calculateur!HE116*VLOOKUP('Données projet'!$B$18,Paramètres!$A$1:$I$89,3,0)*0.475*44/12</f>
        <v>0</v>
      </c>
      <c r="HI116" s="23">
        <f>EXP(-LN(2)/2)*HI115+(1-EXP(-LN(2)/2))/(LN(2)/2)*HC116*HF116*VLOOKUP('Données projet'!$B$18,Paramètres!$A$1:$I$89,3,0)*0.475*44/12</f>
        <v>0</v>
      </c>
      <c r="HJ116" s="24">
        <f t="shared" si="84"/>
        <v>0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4.5</v>
      </c>
      <c r="N117" s="14">
        <f>IF('Données projet'!$A$36&gt;35,N116+M117-V116,IF(A117&lt;'Données projet'!$A$36,$K$205^A117,IF(A117='Données projet'!$A$36,'Données projet'!$B$36,N116+M117-V116)))</f>
        <v>324.99999999999977</v>
      </c>
      <c r="O117" s="14">
        <f>N117*VLOOKUP('Données projet'!$B$9,Paramètres!$A$1:$I$89,3,0)*VLOOKUP('Données projet'!$B$9,Paramètres!$A$1:$I$89,5,0)</f>
        <v>294.05999999999977</v>
      </c>
      <c r="P117" s="14">
        <f t="shared" si="87"/>
        <v>69.929765653573313</v>
      </c>
      <c r="Q117" s="22">
        <f t="shared" si="107"/>
        <v>633.94884184663977</v>
      </c>
      <c r="R117" s="62">
        <f t="shared" si="55"/>
        <v>927.28217517997314</v>
      </c>
      <c r="S117" s="62">
        <f ca="1">AVERAGE(OFFSET($R$3,0,0,'Données projet'!$E$9+1,1))-AVERAGE(OFFSET($H$3,0,0,'Données projet'!$E$9+1,1))</f>
        <v>512.84819850818667</v>
      </c>
      <c r="T117" s="62">
        <f t="shared" si="88"/>
        <v>332.61387922152159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-5.6843418860808015E-14</v>
      </c>
      <c r="AJ117" s="14">
        <f>AI117*VLOOKUP('Données projet'!$B$10,Paramètres!$A$1:$I$89,3,0)*VLOOKUP('Données projet'!$B$10,Paramètres!$A$1:$I$89,5,0)</f>
        <v>-4.1677594708744434E-14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344.45199703750711</v>
      </c>
      <c r="AO117" s="62">
        <f t="shared" si="90"/>
        <v>376.41441893222185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4.5</v>
      </c>
      <c r="BD117" s="13">
        <f>IF('Données projet'!$A$88&gt;35,BD116+BC117-BL116,IF(A117&lt;'Données projet'!$A$88,$BA$205^A117,IF(A117='Données projet'!$A$88,'Données projet'!$B$88,BD116+BC117-BL116)))</f>
        <v>324.99999999999977</v>
      </c>
      <c r="BE117" s="14">
        <f>BD117*VLOOKUP('Données projet'!$B$11,Paramètres!$A$1:$I$89,3,0)*VLOOKUP('Données projet'!$B$11,Paramètres!$A$1:$I$89,5,0)</f>
        <v>329.54999999999978</v>
      </c>
      <c r="BF117" s="14">
        <f t="shared" si="91"/>
        <v>77.337003282690574</v>
      </c>
      <c r="BG117" s="22">
        <f t="shared" si="61"/>
        <v>708.66153071735232</v>
      </c>
      <c r="BH117" s="62">
        <f t="shared" si="62"/>
        <v>1001.9948640506857</v>
      </c>
      <c r="BI117" s="62">
        <f ca="1">AVERAGE(OFFSET($BH$3,0,0,'Données projet'!$E$11+1,1))-AVERAGE(OFFSET($H$3,0,0,'Données projet'!$E$11+1,1))</f>
        <v>569.39473185784823</v>
      </c>
      <c r="BJ117" s="62">
        <f t="shared" si="92"/>
        <v>367.42881145517066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5.8</v>
      </c>
      <c r="BY117" s="13">
        <f>IF('Données projet'!$A$114&gt;35,BY116+BX117-CG116,IF(A117&lt;'Données projet'!$A$114,$BV$205^A117,IF(A117='Données projet'!$A$114,'Données projet'!$B$114,BY116+BX117-CG116)))</f>
        <v>419.19999999999993</v>
      </c>
      <c r="BZ117" s="14">
        <f>BY117*VLOOKUP('Données projet'!$B$12,Paramètres!$A$1:$I$89,3,0)*VLOOKUP('Données projet'!$B$12,Paramètres!$A$1:$I$89,5,0)</f>
        <v>359.67359999999996</v>
      </c>
      <c r="CA117" s="14">
        <f t="shared" si="93"/>
        <v>83.55123430015017</v>
      </c>
      <c r="CB117" s="22">
        <f t="shared" si="64"/>
        <v>771.94991973942808</v>
      </c>
      <c r="CC117" s="62">
        <f t="shared" si="65"/>
        <v>1065.2832530727615</v>
      </c>
      <c r="CD117" s="62">
        <f ca="1">AVERAGE(OFFSET($CC$3,0,0,'Données projet'!$E$12+1,1))-AVERAGE(OFFSET($H$3,0,0,'Données projet'!$E$12+1,1))</f>
        <v>554.06253050955502</v>
      </c>
      <c r="CE117" s="62">
        <f t="shared" si="94"/>
        <v>269.71949336355789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1.1368683772161603E-13</v>
      </c>
      <c r="CU117" s="18">
        <f>CT117*VLOOKUP('Données projet'!$B$13,Paramètres!$A$1:$I$89,3,0)*VLOOKUP('Données projet'!$B$13,Paramètres!$A$1:$I$89,5,0)</f>
        <v>8.8675733422860506E-14</v>
      </c>
      <c r="CV117" s="14">
        <f t="shared" si="95"/>
        <v>1.3509285393066301E-12</v>
      </c>
      <c r="CW117" s="22">
        <f t="shared" si="67"/>
        <v>2.5073107750038623E-12</v>
      </c>
      <c r="CX117" s="62">
        <f t="shared" si="68"/>
        <v>293.33333333333582</v>
      </c>
      <c r="CY117" s="62">
        <f ca="1">AVERAGE(OFFSET($CX$3,0,0,'Données projet'!$E$13+1,1))-AVERAGE(OFFSET($H$3,0,0,'Données projet'!$E$13+1,1))</f>
        <v>292.21364130214391</v>
      </c>
      <c r="CZ117" s="62">
        <f t="shared" si="96"/>
        <v>283.48738729114024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3.3333333333333313</v>
      </c>
      <c r="DO117" s="13">
        <f>IF('Données projet'!$A$166&gt;35,DO116+DN117-DW116,IF(A117&lt;'Données projet'!$A$166,$DL$205^A117,IF(A117='Données projet'!$A$166,'Données projet'!$B$166,DO116+DN117-DW116)))</f>
        <v>280.64102564102581</v>
      </c>
      <c r="DP117" s="18">
        <f>DO117*VLOOKUP('Données projet'!$B$14,Paramètres!$A$1:$I$89,3,0)*VLOOKUP('Données projet'!$B$14,Paramètres!$A$1:$I$89,5,0)</f>
        <v>267.05800000000016</v>
      </c>
      <c r="DQ117" s="14">
        <f t="shared" si="97"/>
        <v>64.22450507075888</v>
      </c>
      <c r="DR117" s="22">
        <f t="shared" si="70"/>
        <v>576.98369633157199</v>
      </c>
      <c r="DS117" s="62">
        <f t="shared" si="71"/>
        <v>870.31702966490525</v>
      </c>
      <c r="DT117" s="62">
        <f ca="1">AVERAGE(OFFSET($DS$3,0,0,'Données projet'!$E$14+1,1))-AVERAGE(OFFSET($H$3,0,0,'Données projet'!$E$14+1,1))</f>
        <v>427.47603885390191</v>
      </c>
      <c r="DU117" s="62">
        <f t="shared" si="98"/>
        <v>350.88664394632116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3.7</v>
      </c>
      <c r="EJ117" s="13">
        <f>IF('Données projet'!$A$192&gt;35,EJ116+EI117-ER116,IF(A117&lt;'Données projet'!$A$192,$EG$205^A117,IF(A117='Données projet'!$A$192,'Données projet'!$B$192,EJ116+EI117-ER116)))</f>
        <v>280.79999999999956</v>
      </c>
      <c r="EK117" s="18">
        <f>EJ117*VLOOKUP('Données projet'!$B$15,Paramètres!$A$1:$I$89,3,0)*VLOOKUP('Données projet'!$B$15,Paramètres!$A$1:$I$89,5,0)</f>
        <v>271.58975999999956</v>
      </c>
      <c r="EL117" s="14">
        <f t="shared" si="99"/>
        <v>65.186541118848012</v>
      </c>
      <c r="EM117" s="22">
        <f t="shared" si="73"/>
        <v>586.55205778199286</v>
      </c>
      <c r="EN117" s="62">
        <f t="shared" si="74"/>
        <v>879.88539111532623</v>
      </c>
      <c r="EO117" s="62">
        <f ca="1">AVERAGE(OFFSET($EN$3,0,0,'Données projet'!$E$15+1,1))-AVERAGE(OFFSET($H$3,0,0,'Données projet'!$E$15+1,1))</f>
        <v>455.50822833641354</v>
      </c>
      <c r="EP117" s="62">
        <f t="shared" si="100"/>
        <v>261.14722581688039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243</v>
      </c>
      <c r="FF117" s="18">
        <f>FE117*VLOOKUP('Données projet'!$B$16,Paramètres!$A$1:$I$89,3,0)*VLOOKUP('Données projet'!$B$16,Paramètres!$A$1:$I$89,5,0)</f>
        <v>212.28480000000002</v>
      </c>
      <c r="FG117" s="14">
        <f t="shared" si="101"/>
        <v>52.434557099704193</v>
      </c>
      <c r="FH117" s="22">
        <f t="shared" si="76"/>
        <v>461.05288028198476</v>
      </c>
      <c r="FI117" s="62">
        <f t="shared" si="77"/>
        <v>754.38621361531807</v>
      </c>
      <c r="FJ117" s="62">
        <f ca="1">AVERAGE(OFFSET($FI$3,0,0,'Données projet'!$E$16+1,1))-AVERAGE(OFFSET($H$3,0,0,'Données projet'!$E$16+1,1))</f>
        <v>369.34989412920129</v>
      </c>
      <c r="FK117" s="62">
        <f t="shared" si="102"/>
        <v>371.26234252426553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0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>
        <f>FZ117*VLOOKUP('Données projet'!$B$17,Paramètres!$A$1:$I$89,3,0)*VLOOKUP('Données projet'!$B$17,Paramètres!$A$1:$I$89,5,0)</f>
        <v>0</v>
      </c>
      <c r="GB117" s="14" t="e">
        <f t="shared" si="103"/>
        <v>#NUM!</v>
      </c>
      <c r="GC117" s="22" t="e">
        <f t="shared" si="79"/>
        <v>#NUM!</v>
      </c>
      <c r="GD117" s="62" t="e">
        <f t="shared" si="80"/>
        <v>#NUM!</v>
      </c>
      <c r="GE117" s="62">
        <f ca="1">AVERAGE(OFFSET($GD$3,0,0,'Données projet'!$E$17+1,1))-AVERAGE(OFFSET($H$3,0,0,'Données projet'!$E$17+1,1))</f>
        <v>324.4489531703187</v>
      </c>
      <c r="GF117" s="62">
        <f t="shared" si="104"/>
        <v>446.55019360848706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projet'!$B$17,Paramètres!$A$1:$I$89,3,0)*0.475*44/12</f>
        <v>0</v>
      </c>
      <c r="GM117" s="23">
        <f>EXP(-LN(2)/25)*GM116+(1-EXP(-LN(2)/25))/(LN(2)/25)*Calculateur!GH117*Calculateur!GJ117*VLOOKUP('Données projet'!$B$17,Paramètres!$A$1:$I$89,3,0)*0.475*44/12</f>
        <v>0</v>
      </c>
      <c r="GN117" s="23">
        <f>EXP(-LN(2)/2)*GN116+(1-EXP(-LN(2)/2))/(LN(2)/2)*GH117*GK117*VLOOKUP('Données projet'!$B$17,Paramètres!$A$1:$I$89,3,0)*0.475*44/12</f>
        <v>0</v>
      </c>
      <c r="GO117" s="23">
        <f t="shared" si="81"/>
        <v>0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1.7053025658242404E-13</v>
      </c>
      <c r="GV117" s="18">
        <f>GU117*VLOOKUP('Données projet'!$B$18,Paramètres!$A$1:$I$89,3,0)*VLOOKUP('Données projet'!$B$18,Paramètres!$A$1:$I$89,5,0)</f>
        <v>1.1439169611549005E-13</v>
      </c>
      <c r="GW117" s="14">
        <f t="shared" si="105"/>
        <v>1.6918016515029816E-12</v>
      </c>
      <c r="GX117" s="22">
        <f t="shared" si="82"/>
        <v>3.1457867471021712E-12</v>
      </c>
      <c r="GY117" s="62">
        <f t="shared" si="83"/>
        <v>293.33333333333644</v>
      </c>
      <c r="GZ117" s="62">
        <f ca="1">AVERAGE(OFFSET($GY$3,0,0,'Données projet'!$E$18+1,1))-AVERAGE(OFFSET($H$3,0,0,'Données projet'!$E$18+1,1))</f>
        <v>312.06797204903796</v>
      </c>
      <c r="HA117" s="62">
        <f t="shared" si="106"/>
        <v>258.20189001775151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>
        <f>EXP(-LN(2)/35)*HG116+(1-EXP(-LN(2)/35))/(LN(2)/35)*HC117*HD117*VLOOKUP('Données projet'!$B$18,Paramètres!$A$1:$I$89,3,0)*0.475*44/12</f>
        <v>0</v>
      </c>
      <c r="HH117" s="23">
        <f>EXP(-LN(2)/25)*HH116+(1-EXP(-LN(2)/25))/(LN(2)/25)*Calculateur!HC117*Calculateur!HE117*VLOOKUP('Données projet'!$B$18,Paramètres!$A$1:$I$89,3,0)*0.475*44/12</f>
        <v>0</v>
      </c>
      <c r="HI117" s="23">
        <f>EXP(-LN(2)/2)*HI116+(1-EXP(-LN(2)/2))/(LN(2)/2)*HC117*HF117*VLOOKUP('Données projet'!$B$18,Paramètres!$A$1:$I$89,3,0)*0.475*44/12</f>
        <v>0</v>
      </c>
      <c r="HJ117" s="24">
        <f t="shared" si="84"/>
        <v>0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4.5</v>
      </c>
      <c r="N118" s="14">
        <f>IF('Données projet'!$A$36&gt;35,N117+M118-V117,IF(A118&lt;'Données projet'!$A$36,$K$205^A118,IF(A118='Données projet'!$A$36,'Données projet'!$B$36,N117+M118-V117)))</f>
        <v>329.49999999999977</v>
      </c>
      <c r="O118" s="14">
        <f>N118*VLOOKUP('Données projet'!$B$9,Paramètres!$A$1:$I$89,3,0)*VLOOKUP('Données projet'!$B$9,Paramètres!$A$1:$I$89,5,0)</f>
        <v>298.13159999999976</v>
      </c>
      <c r="P118" s="14">
        <f t="shared" si="87"/>
        <v>70.784632764375971</v>
      </c>
      <c r="Q118" s="22">
        <f t="shared" si="107"/>
        <v>642.52910539795437</v>
      </c>
      <c r="R118" s="62">
        <f t="shared" si="55"/>
        <v>935.86243873128774</v>
      </c>
      <c r="S118" s="62">
        <f ca="1">AVERAGE(OFFSET($R$3,0,0,'Données projet'!$E$9+1,1))-AVERAGE(OFFSET($H$3,0,0,'Données projet'!$E$9+1,1))</f>
        <v>512.84819850818667</v>
      </c>
      <c r="T118" s="62">
        <f t="shared" si="88"/>
        <v>332.61387922152159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-5.6843418860808015E-14</v>
      </c>
      <c r="AJ118" s="14">
        <f>AI118*VLOOKUP('Données projet'!$B$10,Paramètres!$A$1:$I$89,3,0)*VLOOKUP('Données projet'!$B$10,Paramètres!$A$1:$I$89,5,0)</f>
        <v>-4.1677594708744434E-14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344.45199703750711</v>
      </c>
      <c r="AO118" s="62">
        <f t="shared" si="90"/>
        <v>376.41441893222185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4.5</v>
      </c>
      <c r="BD118" s="13">
        <f>IF('Données projet'!$A$88&gt;35,BD117+BC118-BL117,IF(A118&lt;'Données projet'!$A$88,$BA$205^A118,IF(A118='Données projet'!$A$88,'Données projet'!$B$88,BD117+BC118-BL117)))</f>
        <v>329.49999999999977</v>
      </c>
      <c r="BE118" s="14">
        <f>BD118*VLOOKUP('Données projet'!$B$11,Paramètres!$A$1:$I$89,3,0)*VLOOKUP('Données projet'!$B$11,Paramètres!$A$1:$I$89,5,0)</f>
        <v>334.11299999999983</v>
      </c>
      <c r="BF118" s="14">
        <f t="shared" si="91"/>
        <v>78.282421302277939</v>
      </c>
      <c r="BG118" s="22">
        <f t="shared" si="61"/>
        <v>718.25535876813376</v>
      </c>
      <c r="BH118" s="62">
        <f t="shared" si="62"/>
        <v>1011.5886921014671</v>
      </c>
      <c r="BI118" s="62">
        <f ca="1">AVERAGE(OFFSET($BH$3,0,0,'Données projet'!$E$11+1,1))-AVERAGE(OFFSET($H$3,0,0,'Données projet'!$E$11+1,1))</f>
        <v>569.39473185784823</v>
      </c>
      <c r="BJ118" s="62">
        <f t="shared" si="92"/>
        <v>367.42881145517066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5.8</v>
      </c>
      <c r="BY118" s="13">
        <f>IF('Données projet'!$A$114&gt;35,BY117+BX118-CG117,IF(A118&lt;'Données projet'!$A$114,$BV$205^A118,IF(A118='Données projet'!$A$114,'Données projet'!$B$114,BY117+BX118-CG117)))</f>
        <v>424.99999999999994</v>
      </c>
      <c r="BZ118" s="14">
        <f>BY118*VLOOKUP('Données projet'!$B$12,Paramètres!$A$1:$I$89,3,0)*VLOOKUP('Données projet'!$B$12,Paramètres!$A$1:$I$89,5,0)</f>
        <v>364.65000000000003</v>
      </c>
      <c r="CA118" s="14">
        <f t="shared" si="93"/>
        <v>84.57186171626158</v>
      </c>
      <c r="CB118" s="22">
        <f t="shared" si="64"/>
        <v>782.39474248915565</v>
      </c>
      <c r="CC118" s="62">
        <f t="shared" si="65"/>
        <v>1075.728075822489</v>
      </c>
      <c r="CD118" s="62">
        <f ca="1">AVERAGE(OFFSET($CC$3,0,0,'Données projet'!$E$12+1,1))-AVERAGE(OFFSET($H$3,0,0,'Données projet'!$E$12+1,1))</f>
        <v>554.06253050955502</v>
      </c>
      <c r="CE118" s="62">
        <f t="shared" si="94"/>
        <v>269.71949336355789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1.1368683772161603E-13</v>
      </c>
      <c r="CU118" s="18">
        <f>CT118*VLOOKUP('Données projet'!$B$13,Paramètres!$A$1:$I$89,3,0)*VLOOKUP('Données projet'!$B$13,Paramètres!$A$1:$I$89,5,0)</f>
        <v>8.8675733422860506E-14</v>
      </c>
      <c r="CV118" s="14">
        <f t="shared" si="95"/>
        <v>1.3509285393066301E-12</v>
      </c>
      <c r="CW118" s="22">
        <f t="shared" si="67"/>
        <v>2.5073107750038623E-12</v>
      </c>
      <c r="CX118" s="62">
        <f t="shared" si="68"/>
        <v>293.33333333333582</v>
      </c>
      <c r="CY118" s="62">
        <f ca="1">AVERAGE(OFFSET($CX$3,0,0,'Données projet'!$E$13+1,1))-AVERAGE(OFFSET($H$3,0,0,'Données projet'!$E$13+1,1))</f>
        <v>292.21364130214391</v>
      </c>
      <c r="CZ118" s="62">
        <f t="shared" si="96"/>
        <v>283.48738729114024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3.3333333333333313</v>
      </c>
      <c r="DO118" s="13">
        <f>IF('Données projet'!$A$166&gt;35,DO117+DN118-DW117,IF(A118&lt;'Données projet'!$A$166,$DL$205^A118,IF(A118='Données projet'!$A$166,'Données projet'!$B$166,DO117+DN118-DW117)))</f>
        <v>283.97435897435912</v>
      </c>
      <c r="DP118" s="18">
        <f>DO118*VLOOKUP('Données projet'!$B$14,Paramètres!$A$1:$I$89,3,0)*VLOOKUP('Données projet'!$B$14,Paramètres!$A$1:$I$89,5,0)</f>
        <v>270.23000000000013</v>
      </c>
      <c r="DQ118" s="14">
        <f t="shared" si="97"/>
        <v>64.898078673435194</v>
      </c>
      <c r="DR118" s="22">
        <f t="shared" si="70"/>
        <v>583.68140368956654</v>
      </c>
      <c r="DS118" s="62">
        <f t="shared" si="71"/>
        <v>877.01473702289991</v>
      </c>
      <c r="DT118" s="62">
        <f ca="1">AVERAGE(OFFSET($DS$3,0,0,'Données projet'!$E$14+1,1))-AVERAGE(OFFSET($H$3,0,0,'Données projet'!$E$14+1,1))</f>
        <v>427.47603885390191</v>
      </c>
      <c r="DU118" s="62">
        <f t="shared" si="98"/>
        <v>350.88664394632116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3.7</v>
      </c>
      <c r="EJ118" s="13">
        <f>IF('Données projet'!$A$192&gt;35,EJ117+EI118-ER117,IF(A118&lt;'Données projet'!$A$192,$EG$205^A118,IF(A118='Données projet'!$A$192,'Données projet'!$B$192,EJ117+EI118-ER117)))</f>
        <v>284.49999999999955</v>
      </c>
      <c r="EK118" s="18">
        <f>EJ118*VLOOKUP('Données projet'!$B$15,Paramètres!$A$1:$I$89,3,0)*VLOOKUP('Données projet'!$B$15,Paramètres!$A$1:$I$89,5,0)</f>
        <v>275.16839999999956</v>
      </c>
      <c r="EL118" s="14">
        <f t="shared" si="99"/>
        <v>65.944920834841554</v>
      </c>
      <c r="EM118" s="22">
        <f t="shared" si="73"/>
        <v>594.10570045401494</v>
      </c>
      <c r="EN118" s="62">
        <f t="shared" si="74"/>
        <v>887.43903378734831</v>
      </c>
      <c r="EO118" s="62">
        <f ca="1">AVERAGE(OFFSET($EN$3,0,0,'Données projet'!$E$15+1,1))-AVERAGE(OFFSET($H$3,0,0,'Données projet'!$E$15+1,1))</f>
        <v>455.50822833641354</v>
      </c>
      <c r="EP118" s="62">
        <f t="shared" si="100"/>
        <v>261.14722581688039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243</v>
      </c>
      <c r="FF118" s="18">
        <f>FE118*VLOOKUP('Données projet'!$B$16,Paramètres!$A$1:$I$89,3,0)*VLOOKUP('Données projet'!$B$16,Paramètres!$A$1:$I$89,5,0)</f>
        <v>212.28480000000002</v>
      </c>
      <c r="FG118" s="14">
        <f t="shared" si="101"/>
        <v>52.434557099704193</v>
      </c>
      <c r="FH118" s="22">
        <f t="shared" si="76"/>
        <v>461.05288028198476</v>
      </c>
      <c r="FI118" s="62">
        <f t="shared" si="77"/>
        <v>754.38621361531807</v>
      </c>
      <c r="FJ118" s="62">
        <f ca="1">AVERAGE(OFFSET($FI$3,0,0,'Données projet'!$E$16+1,1))-AVERAGE(OFFSET($H$3,0,0,'Données projet'!$E$16+1,1))</f>
        <v>369.34989412920129</v>
      </c>
      <c r="FK118" s="62">
        <f t="shared" si="102"/>
        <v>371.26234252426553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0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>
        <f>FZ118*VLOOKUP('Données projet'!$B$17,Paramètres!$A$1:$I$89,3,0)*VLOOKUP('Données projet'!$B$17,Paramètres!$A$1:$I$89,5,0)</f>
        <v>0</v>
      </c>
      <c r="GB118" s="14" t="e">
        <f t="shared" si="103"/>
        <v>#NUM!</v>
      </c>
      <c r="GC118" s="22" t="e">
        <f t="shared" si="79"/>
        <v>#NUM!</v>
      </c>
      <c r="GD118" s="62" t="e">
        <f t="shared" si="80"/>
        <v>#NUM!</v>
      </c>
      <c r="GE118" s="62">
        <f ca="1">AVERAGE(OFFSET($GD$3,0,0,'Données projet'!$E$17+1,1))-AVERAGE(OFFSET($H$3,0,0,'Données projet'!$E$17+1,1))</f>
        <v>324.4489531703187</v>
      </c>
      <c r="GF118" s="62">
        <f t="shared" si="104"/>
        <v>446.55019360848706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projet'!$B$17,Paramètres!$A$1:$I$89,3,0)*0.475*44/12</f>
        <v>0</v>
      </c>
      <c r="GM118" s="23">
        <f>EXP(-LN(2)/25)*GM117+(1-EXP(-LN(2)/25))/(LN(2)/25)*Calculateur!GH118*Calculateur!GJ118*VLOOKUP('Données projet'!$B$17,Paramètres!$A$1:$I$89,3,0)*0.475*44/12</f>
        <v>0</v>
      </c>
      <c r="GN118" s="23">
        <f>EXP(-LN(2)/2)*GN117+(1-EXP(-LN(2)/2))/(LN(2)/2)*GH118*GK118*VLOOKUP('Données projet'!$B$17,Paramètres!$A$1:$I$89,3,0)*0.475*44/12</f>
        <v>0</v>
      </c>
      <c r="GO118" s="23">
        <f t="shared" si="81"/>
        <v>0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1.7053025658242404E-13</v>
      </c>
      <c r="GV118" s="18">
        <f>GU118*VLOOKUP('Données projet'!$B$18,Paramètres!$A$1:$I$89,3,0)*VLOOKUP('Données projet'!$B$18,Paramètres!$A$1:$I$89,5,0)</f>
        <v>1.1439169611549005E-13</v>
      </c>
      <c r="GW118" s="14">
        <f t="shared" si="105"/>
        <v>1.6918016515029816E-12</v>
      </c>
      <c r="GX118" s="22">
        <f t="shared" si="82"/>
        <v>3.1457867471021712E-12</v>
      </c>
      <c r="GY118" s="62">
        <f t="shared" si="83"/>
        <v>293.33333333333644</v>
      </c>
      <c r="GZ118" s="62">
        <f ca="1">AVERAGE(OFFSET($GY$3,0,0,'Données projet'!$E$18+1,1))-AVERAGE(OFFSET($H$3,0,0,'Données projet'!$E$18+1,1))</f>
        <v>312.06797204903796</v>
      </c>
      <c r="HA118" s="62">
        <f t="shared" si="106"/>
        <v>258.20189001775151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>
        <f>EXP(-LN(2)/35)*HG117+(1-EXP(-LN(2)/35))/(LN(2)/35)*HC118*HD118*VLOOKUP('Données projet'!$B$18,Paramètres!$A$1:$I$89,3,0)*0.475*44/12</f>
        <v>0</v>
      </c>
      <c r="HH118" s="23">
        <f>EXP(-LN(2)/25)*HH117+(1-EXP(-LN(2)/25))/(LN(2)/25)*Calculateur!HC118*Calculateur!HE118*VLOOKUP('Données projet'!$B$18,Paramètres!$A$1:$I$89,3,0)*0.475*44/12</f>
        <v>0</v>
      </c>
      <c r="HI118" s="23">
        <f>EXP(-LN(2)/2)*HI117+(1-EXP(-LN(2)/2))/(LN(2)/2)*HC118*HF118*VLOOKUP('Données projet'!$B$18,Paramètres!$A$1:$I$89,3,0)*0.475*44/12</f>
        <v>0</v>
      </c>
      <c r="HJ118" s="24">
        <f t="shared" si="84"/>
        <v>0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4.5</v>
      </c>
      <c r="N119" s="14">
        <f>IF('Données projet'!$A$36&gt;35,N118+M119-V118,IF(A119&lt;'Données projet'!$A$36,$K$205^A119,IF(A119='Données projet'!$A$36,'Données projet'!$B$36,N118+M119-V118)))</f>
        <v>333.99999999999977</v>
      </c>
      <c r="O119" s="14">
        <f>N119*VLOOKUP('Données projet'!$B$9,Paramètres!$A$1:$I$89,3,0)*VLOOKUP('Données projet'!$B$9,Paramètres!$A$1:$I$89,5,0)</f>
        <v>302.20319999999981</v>
      </c>
      <c r="P119" s="14">
        <f t="shared" si="87"/>
        <v>71.638141943842228</v>
      </c>
      <c r="Q119" s="22">
        <f t="shared" si="107"/>
        <v>651.10700388552482</v>
      </c>
      <c r="R119" s="62">
        <f t="shared" si="55"/>
        <v>944.44033721885808</v>
      </c>
      <c r="S119" s="62">
        <f ca="1">AVERAGE(OFFSET($R$3,0,0,'Données projet'!$E$9+1,1))-AVERAGE(OFFSET($H$3,0,0,'Données projet'!$E$9+1,1))</f>
        <v>512.84819850818667</v>
      </c>
      <c r="T119" s="62">
        <f t="shared" si="88"/>
        <v>332.61387922152159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-5.6843418860808015E-14</v>
      </c>
      <c r="AJ119" s="14">
        <f>AI119*VLOOKUP('Données projet'!$B$10,Paramètres!$A$1:$I$89,3,0)*VLOOKUP('Données projet'!$B$10,Paramètres!$A$1:$I$89,5,0)</f>
        <v>-4.1677594708744434E-14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344.45199703750711</v>
      </c>
      <c r="AO119" s="62">
        <f t="shared" si="90"/>
        <v>376.41441893222185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4.5</v>
      </c>
      <c r="BD119" s="13">
        <f>IF('Données projet'!$A$88&gt;35,BD118+BC119-BL118,IF(A119&lt;'Données projet'!$A$88,$BA$205^A119,IF(A119='Données projet'!$A$88,'Données projet'!$B$88,BD118+BC119-BL118)))</f>
        <v>333.99999999999977</v>
      </c>
      <c r="BE119" s="14">
        <f>BD119*VLOOKUP('Données projet'!$B$11,Paramètres!$A$1:$I$89,3,0)*VLOOKUP('Données projet'!$B$11,Paramètres!$A$1:$I$89,5,0)</f>
        <v>338.67599999999976</v>
      </c>
      <c r="BF119" s="14">
        <f t="shared" si="91"/>
        <v>79.226337553065648</v>
      </c>
      <c r="BG119" s="22">
        <f t="shared" si="61"/>
        <v>727.84657123825571</v>
      </c>
      <c r="BH119" s="62">
        <f t="shared" si="62"/>
        <v>1021.1799045715891</v>
      </c>
      <c r="BI119" s="62">
        <f ca="1">AVERAGE(OFFSET($BH$3,0,0,'Données projet'!$E$11+1,1))-AVERAGE(OFFSET($H$3,0,0,'Données projet'!$E$11+1,1))</f>
        <v>569.39473185784823</v>
      </c>
      <c r="BJ119" s="62">
        <f t="shared" si="92"/>
        <v>367.42881145517066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5.8</v>
      </c>
      <c r="BY119" s="13">
        <f>IF('Données projet'!$A$114&gt;35,BY118+BX119-CG118,IF(A119&lt;'Données projet'!$A$114,$BV$205^A119,IF(A119='Données projet'!$A$114,'Données projet'!$B$114,BY118+BX119-CG118)))</f>
        <v>430.79999999999995</v>
      </c>
      <c r="BZ119" s="14">
        <f>BY119*VLOOKUP('Données projet'!$B$12,Paramètres!$A$1:$I$89,3,0)*VLOOKUP('Données projet'!$B$12,Paramètres!$A$1:$I$89,5,0)</f>
        <v>369.62639999999999</v>
      </c>
      <c r="CA119" s="14">
        <f t="shared" si="93"/>
        <v>85.590869081575732</v>
      </c>
      <c r="CB119" s="22">
        <f t="shared" si="64"/>
        <v>792.83674365041099</v>
      </c>
      <c r="CC119" s="62">
        <f t="shared" si="65"/>
        <v>1086.1700769837444</v>
      </c>
      <c r="CD119" s="62">
        <f ca="1">AVERAGE(OFFSET($CC$3,0,0,'Données projet'!$E$12+1,1))-AVERAGE(OFFSET($H$3,0,0,'Données projet'!$E$12+1,1))</f>
        <v>554.06253050955502</v>
      </c>
      <c r="CE119" s="62">
        <f t="shared" si="94"/>
        <v>269.71949336355789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1.1368683772161603E-13</v>
      </c>
      <c r="CU119" s="18">
        <f>CT119*VLOOKUP('Données projet'!$B$13,Paramètres!$A$1:$I$89,3,0)*VLOOKUP('Données projet'!$B$13,Paramètres!$A$1:$I$89,5,0)</f>
        <v>8.8675733422860506E-14</v>
      </c>
      <c r="CV119" s="14">
        <f t="shared" si="95"/>
        <v>1.3509285393066301E-12</v>
      </c>
      <c r="CW119" s="22">
        <f t="shared" si="67"/>
        <v>2.5073107750038623E-12</v>
      </c>
      <c r="CX119" s="62">
        <f t="shared" si="68"/>
        <v>293.33333333333582</v>
      </c>
      <c r="CY119" s="62">
        <f ca="1">AVERAGE(OFFSET($CX$3,0,0,'Données projet'!$E$13+1,1))-AVERAGE(OFFSET($H$3,0,0,'Données projet'!$E$13+1,1))</f>
        <v>292.21364130214391</v>
      </c>
      <c r="CZ119" s="62">
        <f t="shared" si="96"/>
        <v>283.48738729114024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3.3333333333333313</v>
      </c>
      <c r="DO119" s="13">
        <f>IF('Données projet'!$A$166&gt;35,DO118+DN119-DW118,IF(A119&lt;'Données projet'!$A$166,$DL$205^A119,IF(A119='Données projet'!$A$166,'Données projet'!$B$166,DO118+DN119-DW118)))</f>
        <v>287.30769230769243</v>
      </c>
      <c r="DP119" s="18">
        <f>DO119*VLOOKUP('Données projet'!$B$14,Paramètres!$A$1:$I$89,3,0)*VLOOKUP('Données projet'!$B$14,Paramètres!$A$1:$I$89,5,0)</f>
        <v>273.40200000000016</v>
      </c>
      <c r="DQ119" s="14">
        <f t="shared" si="97"/>
        <v>65.570732564764924</v>
      </c>
      <c r="DR119" s="22">
        <f t="shared" si="70"/>
        <v>590.37750921696579</v>
      </c>
      <c r="DS119" s="62">
        <f t="shared" si="71"/>
        <v>883.71084255029905</v>
      </c>
      <c r="DT119" s="62">
        <f ca="1">AVERAGE(OFFSET($DS$3,0,0,'Données projet'!$E$14+1,1))-AVERAGE(OFFSET($H$3,0,0,'Données projet'!$E$14+1,1))</f>
        <v>427.47603885390191</v>
      </c>
      <c r="DU119" s="62">
        <f t="shared" si="98"/>
        <v>350.88664394632116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3.7</v>
      </c>
      <c r="EJ119" s="13">
        <f>IF('Données projet'!$A$192&gt;35,EJ118+EI119-ER118,IF(A119&lt;'Données projet'!$A$192,$EG$205^A119,IF(A119='Données projet'!$A$192,'Données projet'!$B$192,EJ118+EI119-ER118)))</f>
        <v>288.19999999999953</v>
      </c>
      <c r="EK119" s="18">
        <f>EJ119*VLOOKUP('Données projet'!$B$15,Paramètres!$A$1:$I$89,3,0)*VLOOKUP('Données projet'!$B$15,Paramètres!$A$1:$I$89,5,0)</f>
        <v>278.74703999999957</v>
      </c>
      <c r="EL119" s="14">
        <f t="shared" si="99"/>
        <v>66.702153339553135</v>
      </c>
      <c r="EM119" s="22">
        <f t="shared" si="73"/>
        <v>601.65734506638762</v>
      </c>
      <c r="EN119" s="62">
        <f t="shared" si="74"/>
        <v>894.99067839972099</v>
      </c>
      <c r="EO119" s="62">
        <f ca="1">AVERAGE(OFFSET($EN$3,0,0,'Données projet'!$E$15+1,1))-AVERAGE(OFFSET($H$3,0,0,'Données projet'!$E$15+1,1))</f>
        <v>455.50822833641354</v>
      </c>
      <c r="EP119" s="62">
        <f t="shared" si="100"/>
        <v>261.14722581688039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243</v>
      </c>
      <c r="FF119" s="18">
        <f>FE119*VLOOKUP('Données projet'!$B$16,Paramètres!$A$1:$I$89,3,0)*VLOOKUP('Données projet'!$B$16,Paramètres!$A$1:$I$89,5,0)</f>
        <v>212.28480000000002</v>
      </c>
      <c r="FG119" s="14">
        <f t="shared" si="101"/>
        <v>52.434557099704193</v>
      </c>
      <c r="FH119" s="22">
        <f t="shared" si="76"/>
        <v>461.05288028198476</v>
      </c>
      <c r="FI119" s="62">
        <f t="shared" si="77"/>
        <v>754.38621361531807</v>
      </c>
      <c r="FJ119" s="62">
        <f ca="1">AVERAGE(OFFSET($FI$3,0,0,'Données projet'!$E$16+1,1))-AVERAGE(OFFSET($H$3,0,0,'Données projet'!$E$16+1,1))</f>
        <v>369.34989412920129</v>
      </c>
      <c r="FK119" s="62">
        <f t="shared" si="102"/>
        <v>371.26234252426553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0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>
        <f>FZ119*VLOOKUP('Données projet'!$B$17,Paramètres!$A$1:$I$89,3,0)*VLOOKUP('Données projet'!$B$17,Paramètres!$A$1:$I$89,5,0)</f>
        <v>0</v>
      </c>
      <c r="GB119" s="14" t="e">
        <f t="shared" si="103"/>
        <v>#NUM!</v>
      </c>
      <c r="GC119" s="22" t="e">
        <f t="shared" si="79"/>
        <v>#NUM!</v>
      </c>
      <c r="GD119" s="62" t="e">
        <f t="shared" si="80"/>
        <v>#NUM!</v>
      </c>
      <c r="GE119" s="62">
        <f ca="1">AVERAGE(OFFSET($GD$3,0,0,'Données projet'!$E$17+1,1))-AVERAGE(OFFSET($H$3,0,0,'Données projet'!$E$17+1,1))</f>
        <v>324.4489531703187</v>
      </c>
      <c r="GF119" s="62">
        <f t="shared" si="104"/>
        <v>446.55019360848706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projet'!$B$17,Paramètres!$A$1:$I$89,3,0)*0.475*44/12</f>
        <v>0</v>
      </c>
      <c r="GM119" s="23">
        <f>EXP(-LN(2)/25)*GM118+(1-EXP(-LN(2)/25))/(LN(2)/25)*Calculateur!GH119*Calculateur!GJ119*VLOOKUP('Données projet'!$B$17,Paramètres!$A$1:$I$89,3,0)*0.475*44/12</f>
        <v>0</v>
      </c>
      <c r="GN119" s="23">
        <f>EXP(-LN(2)/2)*GN118+(1-EXP(-LN(2)/2))/(LN(2)/2)*GH119*GK119*VLOOKUP('Données projet'!$B$17,Paramètres!$A$1:$I$89,3,0)*0.475*44/12</f>
        <v>0</v>
      </c>
      <c r="GO119" s="23">
        <f t="shared" si="81"/>
        <v>0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1.7053025658242404E-13</v>
      </c>
      <c r="GV119" s="18">
        <f>GU119*VLOOKUP('Données projet'!$B$18,Paramètres!$A$1:$I$89,3,0)*VLOOKUP('Données projet'!$B$18,Paramètres!$A$1:$I$89,5,0)</f>
        <v>1.1439169611549005E-13</v>
      </c>
      <c r="GW119" s="14">
        <f t="shared" si="105"/>
        <v>1.6918016515029816E-12</v>
      </c>
      <c r="GX119" s="22">
        <f t="shared" si="82"/>
        <v>3.1457867471021712E-12</v>
      </c>
      <c r="GY119" s="62">
        <f t="shared" si="83"/>
        <v>293.33333333333644</v>
      </c>
      <c r="GZ119" s="62">
        <f ca="1">AVERAGE(OFFSET($GY$3,0,0,'Données projet'!$E$18+1,1))-AVERAGE(OFFSET($H$3,0,0,'Données projet'!$E$18+1,1))</f>
        <v>312.06797204903796</v>
      </c>
      <c r="HA119" s="62">
        <f t="shared" si="106"/>
        <v>258.20189001775151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>
        <f>EXP(-LN(2)/35)*HG118+(1-EXP(-LN(2)/35))/(LN(2)/35)*HC119*HD119*VLOOKUP('Données projet'!$B$18,Paramètres!$A$1:$I$89,3,0)*0.475*44/12</f>
        <v>0</v>
      </c>
      <c r="HH119" s="23">
        <f>EXP(-LN(2)/25)*HH118+(1-EXP(-LN(2)/25))/(LN(2)/25)*Calculateur!HC119*Calculateur!HE119*VLOOKUP('Données projet'!$B$18,Paramètres!$A$1:$I$89,3,0)*0.475*44/12</f>
        <v>0</v>
      </c>
      <c r="HI119" s="23">
        <f>EXP(-LN(2)/2)*HI118+(1-EXP(-LN(2)/2))/(LN(2)/2)*HC119*HF119*VLOOKUP('Données projet'!$B$18,Paramètres!$A$1:$I$89,3,0)*0.475*44/12</f>
        <v>0</v>
      </c>
      <c r="HJ119" s="24">
        <f t="shared" si="84"/>
        <v>0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4.5</v>
      </c>
      <c r="N120" s="14">
        <f>IF('Données projet'!$A$36&gt;35,N119+M120-V119,IF(A120&lt;'Données projet'!$A$36,$K$205^A120,IF(A120='Données projet'!$A$36,'Données projet'!$B$36,N119+M120-V119)))</f>
        <v>338.49999999999977</v>
      </c>
      <c r="O120" s="14">
        <f>N120*VLOOKUP('Données projet'!$B$9,Paramètres!$A$1:$I$89,3,0)*VLOOKUP('Données projet'!$B$9,Paramètres!$A$1:$I$89,5,0)</f>
        <v>306.27479999999974</v>
      </c>
      <c r="P120" s="14">
        <f t="shared" si="87"/>
        <v>72.490313602282981</v>
      </c>
      <c r="Q120" s="22">
        <f t="shared" si="107"/>
        <v>659.68257285730908</v>
      </c>
      <c r="R120" s="62">
        <f t="shared" si="55"/>
        <v>953.01590619064245</v>
      </c>
      <c r="S120" s="62">
        <f ca="1">AVERAGE(OFFSET($R$3,0,0,'Données projet'!$E$9+1,1))-AVERAGE(OFFSET($H$3,0,0,'Données projet'!$E$9+1,1))</f>
        <v>512.84819850818667</v>
      </c>
      <c r="T120" s="62">
        <f t="shared" si="88"/>
        <v>332.61387922152159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-5.6843418860808015E-14</v>
      </c>
      <c r="AJ120" s="14">
        <f>AI120*VLOOKUP('Données projet'!$B$10,Paramètres!$A$1:$I$89,3,0)*VLOOKUP('Données projet'!$B$10,Paramètres!$A$1:$I$89,5,0)</f>
        <v>-4.1677594708744434E-14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344.45199703750711</v>
      </c>
      <c r="AO120" s="62">
        <f t="shared" si="90"/>
        <v>376.41441893222185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4.5</v>
      </c>
      <c r="BD120" s="13">
        <f>IF('Données projet'!$A$88&gt;35,BD119+BC120-BL119,IF(A120&lt;'Données projet'!$A$88,$BA$205^A120,IF(A120='Données projet'!$A$88,'Données projet'!$B$88,BD119+BC120-BL119)))</f>
        <v>338.49999999999977</v>
      </c>
      <c r="BE120" s="14">
        <f>BD120*VLOOKUP('Données projet'!$B$11,Paramètres!$A$1:$I$89,3,0)*VLOOKUP('Données projet'!$B$11,Paramètres!$A$1:$I$89,5,0)</f>
        <v>343.23899999999981</v>
      </c>
      <c r="BF120" s="14">
        <f t="shared" si="91"/>
        <v>80.168774607305807</v>
      </c>
      <c r="BG120" s="22">
        <f t="shared" si="61"/>
        <v>737.43520744105729</v>
      </c>
      <c r="BH120" s="62">
        <f t="shared" si="62"/>
        <v>1030.7685407743907</v>
      </c>
      <c r="BI120" s="62">
        <f ca="1">AVERAGE(OFFSET($BH$3,0,0,'Données projet'!$E$11+1,1))-AVERAGE(OFFSET($H$3,0,0,'Données projet'!$E$11+1,1))</f>
        <v>569.39473185784823</v>
      </c>
      <c r="BJ120" s="62">
        <f t="shared" si="92"/>
        <v>367.42881145517066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5.8</v>
      </c>
      <c r="BY120" s="13">
        <f>IF('Données projet'!$A$114&gt;35,BY119+BX120-CG119,IF(A120&lt;'Données projet'!$A$114,$BV$205^A120,IF(A120='Données projet'!$A$114,'Données projet'!$B$114,BY119+BX120-CG119)))</f>
        <v>436.59999999999997</v>
      </c>
      <c r="BZ120" s="14">
        <f>BY120*VLOOKUP('Données projet'!$B$12,Paramètres!$A$1:$I$89,3,0)*VLOOKUP('Données projet'!$B$12,Paramètres!$A$1:$I$89,5,0)</f>
        <v>374.6028</v>
      </c>
      <c r="CA120" s="14">
        <f t="shared" si="93"/>
        <v>86.60828072860221</v>
      </c>
      <c r="CB120" s="22">
        <f t="shared" si="64"/>
        <v>803.27596560231552</v>
      </c>
      <c r="CC120" s="62">
        <f t="shared" si="65"/>
        <v>1096.6092989356489</v>
      </c>
      <c r="CD120" s="62">
        <f ca="1">AVERAGE(OFFSET($CC$3,0,0,'Données projet'!$E$12+1,1))-AVERAGE(OFFSET($H$3,0,0,'Données projet'!$E$12+1,1))</f>
        <v>554.06253050955502</v>
      </c>
      <c r="CE120" s="62">
        <f t="shared" si="94"/>
        <v>269.71949336355789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1.1368683772161603E-13</v>
      </c>
      <c r="CU120" s="18">
        <f>CT120*VLOOKUP('Données projet'!$B$13,Paramètres!$A$1:$I$89,3,0)*VLOOKUP('Données projet'!$B$13,Paramètres!$A$1:$I$89,5,0)</f>
        <v>8.8675733422860506E-14</v>
      </c>
      <c r="CV120" s="14">
        <f t="shared" si="95"/>
        <v>1.3509285393066301E-12</v>
      </c>
      <c r="CW120" s="22">
        <f t="shared" si="67"/>
        <v>2.5073107750038623E-12</v>
      </c>
      <c r="CX120" s="62">
        <f t="shared" si="68"/>
        <v>293.33333333333582</v>
      </c>
      <c r="CY120" s="62">
        <f ca="1">AVERAGE(OFFSET($CX$3,0,0,'Données projet'!$E$13+1,1))-AVERAGE(OFFSET($H$3,0,0,'Données projet'!$E$13+1,1))</f>
        <v>292.21364130214391</v>
      </c>
      <c r="CZ120" s="62">
        <f t="shared" si="96"/>
        <v>283.48738729114024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3.3333333333333313</v>
      </c>
      <c r="DO120" s="13">
        <f>IF('Données projet'!$A$166&gt;35,DO119+DN120-DW119,IF(A120&lt;'Données projet'!$A$166,$DL$205^A120,IF(A120='Données projet'!$A$166,'Données projet'!$B$166,DO119+DN120-DW119)))</f>
        <v>290.64102564102575</v>
      </c>
      <c r="DP120" s="18">
        <f>DO120*VLOOKUP('Données projet'!$B$14,Paramètres!$A$1:$I$89,3,0)*VLOOKUP('Données projet'!$B$14,Paramètres!$A$1:$I$89,5,0)</f>
        <v>276.57400000000013</v>
      </c>
      <c r="DQ120" s="14">
        <f t="shared" si="97"/>
        <v>66.242478649743532</v>
      </c>
      <c r="DR120" s="22">
        <f t="shared" si="70"/>
        <v>597.07203364830355</v>
      </c>
      <c r="DS120" s="62">
        <f t="shared" si="71"/>
        <v>890.40536698163692</v>
      </c>
      <c r="DT120" s="62">
        <f ca="1">AVERAGE(OFFSET($DS$3,0,0,'Données projet'!$E$14+1,1))-AVERAGE(OFFSET($H$3,0,0,'Données projet'!$E$14+1,1))</f>
        <v>427.47603885390191</v>
      </c>
      <c r="DU120" s="62">
        <f t="shared" si="98"/>
        <v>350.88664394632116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3.7</v>
      </c>
      <c r="EJ120" s="13">
        <f>IF('Données projet'!$A$192&gt;35,EJ119+EI120-ER119,IF(A120&lt;'Données projet'!$A$192,$EG$205^A120,IF(A120='Données projet'!$A$192,'Données projet'!$B$192,EJ119+EI120-ER119)))</f>
        <v>291.89999999999952</v>
      </c>
      <c r="EK120" s="18">
        <f>EJ120*VLOOKUP('Données projet'!$B$15,Paramètres!$A$1:$I$89,3,0)*VLOOKUP('Données projet'!$B$15,Paramètres!$A$1:$I$89,5,0)</f>
        <v>282.32567999999952</v>
      </c>
      <c r="EL120" s="14">
        <f t="shared" si="99"/>
        <v>67.458255064229917</v>
      </c>
      <c r="EM120" s="22">
        <f t="shared" si="73"/>
        <v>609.20702023686624</v>
      </c>
      <c r="EN120" s="62">
        <f t="shared" si="74"/>
        <v>902.54035357019961</v>
      </c>
      <c r="EO120" s="62">
        <f ca="1">AVERAGE(OFFSET($EN$3,0,0,'Données projet'!$E$15+1,1))-AVERAGE(OFFSET($H$3,0,0,'Données projet'!$E$15+1,1))</f>
        <v>455.50822833641354</v>
      </c>
      <c r="EP120" s="62">
        <f t="shared" si="100"/>
        <v>261.14722581688039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243</v>
      </c>
      <c r="FF120" s="18">
        <f>FE120*VLOOKUP('Données projet'!$B$16,Paramètres!$A$1:$I$89,3,0)*VLOOKUP('Données projet'!$B$16,Paramètres!$A$1:$I$89,5,0)</f>
        <v>212.28480000000002</v>
      </c>
      <c r="FG120" s="14">
        <f t="shared" si="101"/>
        <v>52.434557099704193</v>
      </c>
      <c r="FH120" s="22">
        <f t="shared" si="76"/>
        <v>461.05288028198476</v>
      </c>
      <c r="FI120" s="62">
        <f t="shared" si="77"/>
        <v>754.38621361531807</v>
      </c>
      <c r="FJ120" s="62">
        <f ca="1">AVERAGE(OFFSET($FI$3,0,0,'Données projet'!$E$16+1,1))-AVERAGE(OFFSET($H$3,0,0,'Données projet'!$E$16+1,1))</f>
        <v>369.34989412920129</v>
      </c>
      <c r="FK120" s="62">
        <f t="shared" si="102"/>
        <v>371.26234252426553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0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>
        <f>FZ120*VLOOKUP('Données projet'!$B$17,Paramètres!$A$1:$I$89,3,0)*VLOOKUP('Données projet'!$B$17,Paramètres!$A$1:$I$89,5,0)</f>
        <v>0</v>
      </c>
      <c r="GB120" s="14" t="e">
        <f t="shared" si="103"/>
        <v>#NUM!</v>
      </c>
      <c r="GC120" s="22" t="e">
        <f t="shared" si="79"/>
        <v>#NUM!</v>
      </c>
      <c r="GD120" s="62" t="e">
        <f t="shared" si="80"/>
        <v>#NUM!</v>
      </c>
      <c r="GE120" s="62">
        <f ca="1">AVERAGE(OFFSET($GD$3,0,0,'Données projet'!$E$17+1,1))-AVERAGE(OFFSET($H$3,0,0,'Données projet'!$E$17+1,1))</f>
        <v>324.4489531703187</v>
      </c>
      <c r="GF120" s="62">
        <f t="shared" si="104"/>
        <v>446.55019360848706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projet'!$B$17,Paramètres!$A$1:$I$89,3,0)*0.475*44/12</f>
        <v>0</v>
      </c>
      <c r="GM120" s="23">
        <f>EXP(-LN(2)/25)*GM119+(1-EXP(-LN(2)/25))/(LN(2)/25)*Calculateur!GH120*Calculateur!GJ120*VLOOKUP('Données projet'!$B$17,Paramètres!$A$1:$I$89,3,0)*0.475*44/12</f>
        <v>0</v>
      </c>
      <c r="GN120" s="23">
        <f>EXP(-LN(2)/2)*GN119+(1-EXP(-LN(2)/2))/(LN(2)/2)*GH120*GK120*VLOOKUP('Données projet'!$B$17,Paramètres!$A$1:$I$89,3,0)*0.475*44/12</f>
        <v>0</v>
      </c>
      <c r="GO120" s="23">
        <f t="shared" si="81"/>
        <v>0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1.7053025658242404E-13</v>
      </c>
      <c r="GV120" s="18">
        <f>GU120*VLOOKUP('Données projet'!$B$18,Paramètres!$A$1:$I$89,3,0)*VLOOKUP('Données projet'!$B$18,Paramètres!$A$1:$I$89,5,0)</f>
        <v>1.1439169611549005E-13</v>
      </c>
      <c r="GW120" s="14">
        <f t="shared" si="105"/>
        <v>1.6918016515029816E-12</v>
      </c>
      <c r="GX120" s="22">
        <f t="shared" si="82"/>
        <v>3.1457867471021712E-12</v>
      </c>
      <c r="GY120" s="62">
        <f t="shared" si="83"/>
        <v>293.33333333333644</v>
      </c>
      <c r="GZ120" s="62">
        <f ca="1">AVERAGE(OFFSET($GY$3,0,0,'Données projet'!$E$18+1,1))-AVERAGE(OFFSET($H$3,0,0,'Données projet'!$E$18+1,1))</f>
        <v>312.06797204903796</v>
      </c>
      <c r="HA120" s="62">
        <f t="shared" si="106"/>
        <v>258.20189001775151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>
        <f>EXP(-LN(2)/35)*HG119+(1-EXP(-LN(2)/35))/(LN(2)/35)*HC120*HD120*VLOOKUP('Données projet'!$B$18,Paramètres!$A$1:$I$89,3,0)*0.475*44/12</f>
        <v>0</v>
      </c>
      <c r="HH120" s="23">
        <f>EXP(-LN(2)/25)*HH119+(1-EXP(-LN(2)/25))/(LN(2)/25)*Calculateur!HC120*Calculateur!HE120*VLOOKUP('Données projet'!$B$18,Paramètres!$A$1:$I$89,3,0)*0.475*44/12</f>
        <v>0</v>
      </c>
      <c r="HI120" s="23">
        <f>EXP(-LN(2)/2)*HI119+(1-EXP(-LN(2)/2))/(LN(2)/2)*HC120*HF120*VLOOKUP('Données projet'!$B$18,Paramètres!$A$1:$I$89,3,0)*0.475*44/12</f>
        <v>0</v>
      </c>
      <c r="HJ120" s="24">
        <f t="shared" si="84"/>
        <v>0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4.5</v>
      </c>
      <c r="N121" s="14">
        <f>IF('Données projet'!$A$36&gt;35,N120+M121-V120,IF(A121&lt;'Données projet'!$A$36,$K$205^A121,IF(A121='Données projet'!$A$36,'Données projet'!$B$36,N120+M121-V120)))</f>
        <v>342.99999999999977</v>
      </c>
      <c r="O121" s="14">
        <f>N121*VLOOKUP('Données projet'!$B$9,Paramètres!$A$1:$I$89,3,0)*VLOOKUP('Données projet'!$B$9,Paramètres!$A$1:$I$89,5,0)</f>
        <v>310.34639999999979</v>
      </c>
      <c r="P121" s="14">
        <f t="shared" si="87"/>
        <v>73.341167576152998</v>
      </c>
      <c r="Q121" s="22">
        <f t="shared" si="107"/>
        <v>668.25584686179945</v>
      </c>
      <c r="R121" s="62">
        <f t="shared" si="55"/>
        <v>961.58918019513271</v>
      </c>
      <c r="S121" s="62">
        <f ca="1">AVERAGE(OFFSET($R$3,0,0,'Données projet'!$E$9+1,1))-AVERAGE(OFFSET($H$3,0,0,'Données projet'!$E$9+1,1))</f>
        <v>512.84819850818667</v>
      </c>
      <c r="T121" s="62">
        <f t="shared" si="88"/>
        <v>332.61387922152159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-5.6843418860808015E-14</v>
      </c>
      <c r="AJ121" s="14">
        <f>AI121*VLOOKUP('Données projet'!$B$10,Paramètres!$A$1:$I$89,3,0)*VLOOKUP('Données projet'!$B$10,Paramètres!$A$1:$I$89,5,0)</f>
        <v>-4.1677594708744434E-14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344.45199703750711</v>
      </c>
      <c r="AO121" s="62">
        <f t="shared" si="90"/>
        <v>376.41441893222185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4.5</v>
      </c>
      <c r="BD121" s="13">
        <f>IF('Données projet'!$A$88&gt;35,BD120+BC121-BL120,IF(A121&lt;'Données projet'!$A$88,$BA$205^A121,IF(A121='Données projet'!$A$88,'Données projet'!$B$88,BD120+BC121-BL120)))</f>
        <v>342.99999999999977</v>
      </c>
      <c r="BE121" s="14">
        <f>BD121*VLOOKUP('Données projet'!$B$11,Paramètres!$A$1:$I$89,3,0)*VLOOKUP('Données projet'!$B$11,Paramètres!$A$1:$I$89,5,0)</f>
        <v>347.80199999999979</v>
      </c>
      <c r="BF121" s="14">
        <f t="shared" si="91"/>
        <v>81.109754402608502</v>
      </c>
      <c r="BG121" s="22">
        <f t="shared" si="61"/>
        <v>747.02130558454257</v>
      </c>
      <c r="BH121" s="62">
        <f t="shared" si="62"/>
        <v>1040.3546389178759</v>
      </c>
      <c r="BI121" s="62">
        <f ca="1">AVERAGE(OFFSET($BH$3,0,0,'Données projet'!$E$11+1,1))-AVERAGE(OFFSET($H$3,0,0,'Données projet'!$E$11+1,1))</f>
        <v>569.39473185784823</v>
      </c>
      <c r="BJ121" s="62">
        <f t="shared" si="92"/>
        <v>367.42881145517066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5.8</v>
      </c>
      <c r="BY121" s="13">
        <f>IF('Données projet'!$A$114&gt;35,BY120+BX121-CG120,IF(A121&lt;'Données projet'!$A$114,$BV$205^A121,IF(A121='Données projet'!$A$114,'Données projet'!$B$114,BY120+BX121-CG120)))</f>
        <v>442.4</v>
      </c>
      <c r="BZ121" s="14">
        <f>BY121*VLOOKUP('Données projet'!$B$12,Paramètres!$A$1:$I$89,3,0)*VLOOKUP('Données projet'!$B$12,Paramètres!$A$1:$I$89,5,0)</f>
        <v>379.57920000000001</v>
      </c>
      <c r="CA121" s="14">
        <f t="shared" si="93"/>
        <v>87.624120306204816</v>
      </c>
      <c r="CB121" s="22">
        <f t="shared" si="64"/>
        <v>813.71244953330677</v>
      </c>
      <c r="CC121" s="62">
        <f t="shared" si="65"/>
        <v>1107.0457828666401</v>
      </c>
      <c r="CD121" s="62">
        <f ca="1">AVERAGE(OFFSET($CC$3,0,0,'Données projet'!$E$12+1,1))-AVERAGE(OFFSET($H$3,0,0,'Données projet'!$E$12+1,1))</f>
        <v>554.06253050955502</v>
      </c>
      <c r="CE121" s="62">
        <f t="shared" si="94"/>
        <v>269.71949336355789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1.1368683772161603E-13</v>
      </c>
      <c r="CU121" s="18">
        <f>CT121*VLOOKUP('Données projet'!$B$13,Paramètres!$A$1:$I$89,3,0)*VLOOKUP('Données projet'!$B$13,Paramètres!$A$1:$I$89,5,0)</f>
        <v>8.8675733422860506E-14</v>
      </c>
      <c r="CV121" s="14">
        <f t="shared" si="95"/>
        <v>1.3509285393066301E-12</v>
      </c>
      <c r="CW121" s="22">
        <f t="shared" si="67"/>
        <v>2.5073107750038623E-12</v>
      </c>
      <c r="CX121" s="62">
        <f t="shared" si="68"/>
        <v>293.33333333333582</v>
      </c>
      <c r="CY121" s="62">
        <f ca="1">AVERAGE(OFFSET($CX$3,0,0,'Données projet'!$E$13+1,1))-AVERAGE(OFFSET($H$3,0,0,'Données projet'!$E$13+1,1))</f>
        <v>292.21364130214391</v>
      </c>
      <c r="CZ121" s="62">
        <f t="shared" si="96"/>
        <v>283.48738729114024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3.3333333333333313</v>
      </c>
      <c r="DO121" s="13">
        <f>IF('Données projet'!$A$166&gt;35,DO120+DN121-DW120,IF(A121&lt;'Données projet'!$A$166,$DL$205^A121,IF(A121='Données projet'!$A$166,'Données projet'!$B$166,DO120+DN121-DW120)))</f>
        <v>293.97435897435906</v>
      </c>
      <c r="DP121" s="18">
        <f>DO121*VLOOKUP('Données projet'!$B$14,Paramètres!$A$1:$I$89,3,0)*VLOOKUP('Données projet'!$B$14,Paramètres!$A$1:$I$89,5,0)</f>
        <v>279.74600000000009</v>
      </c>
      <c r="DQ121" s="14">
        <f t="shared" si="97"/>
        <v>66.913328544573034</v>
      </c>
      <c r="DR121" s="22">
        <f t="shared" si="70"/>
        <v>603.76499721513153</v>
      </c>
      <c r="DS121" s="62">
        <f t="shared" si="71"/>
        <v>897.0983305484649</v>
      </c>
      <c r="DT121" s="62">
        <f ca="1">AVERAGE(OFFSET($DS$3,0,0,'Données projet'!$E$14+1,1))-AVERAGE(OFFSET($H$3,0,0,'Données projet'!$E$14+1,1))</f>
        <v>427.47603885390191</v>
      </c>
      <c r="DU121" s="62">
        <f t="shared" si="98"/>
        <v>350.88664394632116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3.7</v>
      </c>
      <c r="EJ121" s="13">
        <f>IF('Données projet'!$A$192&gt;35,EJ120+EI121-ER120,IF(A121&lt;'Données projet'!$A$192,$EG$205^A121,IF(A121='Données projet'!$A$192,'Données projet'!$B$192,EJ120+EI121-ER120)))</f>
        <v>295.59999999999951</v>
      </c>
      <c r="EK121" s="18">
        <f>EJ121*VLOOKUP('Données projet'!$B$15,Paramètres!$A$1:$I$89,3,0)*VLOOKUP('Données projet'!$B$15,Paramètres!$A$1:$I$89,5,0)</f>
        <v>285.90431999999953</v>
      </c>
      <c r="EL121" s="14">
        <f t="shared" si="99"/>
        <v>68.213241999614453</v>
      </c>
      <c r="EM121" s="22">
        <f t="shared" si="73"/>
        <v>616.75475381599438</v>
      </c>
      <c r="EN121" s="62">
        <f t="shared" si="74"/>
        <v>910.08808714932775</v>
      </c>
      <c r="EO121" s="62">
        <f ca="1">AVERAGE(OFFSET($EN$3,0,0,'Données projet'!$E$15+1,1))-AVERAGE(OFFSET($H$3,0,0,'Données projet'!$E$15+1,1))</f>
        <v>455.50822833641354</v>
      </c>
      <c r="EP121" s="62">
        <f t="shared" si="100"/>
        <v>261.14722581688039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243</v>
      </c>
      <c r="FF121" s="18">
        <f>FE121*VLOOKUP('Données projet'!$B$16,Paramètres!$A$1:$I$89,3,0)*VLOOKUP('Données projet'!$B$16,Paramètres!$A$1:$I$89,5,0)</f>
        <v>212.28480000000002</v>
      </c>
      <c r="FG121" s="14">
        <f t="shared" si="101"/>
        <v>52.434557099704193</v>
      </c>
      <c r="FH121" s="22">
        <f t="shared" si="76"/>
        <v>461.05288028198476</v>
      </c>
      <c r="FI121" s="62">
        <f t="shared" si="77"/>
        <v>754.38621361531807</v>
      </c>
      <c r="FJ121" s="62">
        <f ca="1">AVERAGE(OFFSET($FI$3,0,0,'Données projet'!$E$16+1,1))-AVERAGE(OFFSET($H$3,0,0,'Données projet'!$E$16+1,1))</f>
        <v>369.34989412920129</v>
      </c>
      <c r="FK121" s="62">
        <f t="shared" si="102"/>
        <v>371.26234252426553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0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>
        <f>FZ121*VLOOKUP('Données projet'!$B$17,Paramètres!$A$1:$I$89,3,0)*VLOOKUP('Données projet'!$B$17,Paramètres!$A$1:$I$89,5,0)</f>
        <v>0</v>
      </c>
      <c r="GB121" s="14" t="e">
        <f t="shared" si="103"/>
        <v>#NUM!</v>
      </c>
      <c r="GC121" s="22" t="e">
        <f t="shared" si="79"/>
        <v>#NUM!</v>
      </c>
      <c r="GD121" s="62" t="e">
        <f t="shared" si="80"/>
        <v>#NUM!</v>
      </c>
      <c r="GE121" s="62">
        <f ca="1">AVERAGE(OFFSET($GD$3,0,0,'Données projet'!$E$17+1,1))-AVERAGE(OFFSET($H$3,0,0,'Données projet'!$E$17+1,1))</f>
        <v>324.4489531703187</v>
      </c>
      <c r="GF121" s="62">
        <f t="shared" si="104"/>
        <v>446.55019360848706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projet'!$B$17,Paramètres!$A$1:$I$89,3,0)*0.475*44/12</f>
        <v>0</v>
      </c>
      <c r="GM121" s="23">
        <f>EXP(-LN(2)/25)*GM120+(1-EXP(-LN(2)/25))/(LN(2)/25)*Calculateur!GH121*Calculateur!GJ121*VLOOKUP('Données projet'!$B$17,Paramètres!$A$1:$I$89,3,0)*0.475*44/12</f>
        <v>0</v>
      </c>
      <c r="GN121" s="23">
        <f>EXP(-LN(2)/2)*GN120+(1-EXP(-LN(2)/2))/(LN(2)/2)*GH121*GK121*VLOOKUP('Données projet'!$B$17,Paramètres!$A$1:$I$89,3,0)*0.475*44/12</f>
        <v>0</v>
      </c>
      <c r="GO121" s="23">
        <f t="shared" si="81"/>
        <v>0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1.7053025658242404E-13</v>
      </c>
      <c r="GV121" s="18">
        <f>GU121*VLOOKUP('Données projet'!$B$18,Paramètres!$A$1:$I$89,3,0)*VLOOKUP('Données projet'!$B$18,Paramètres!$A$1:$I$89,5,0)</f>
        <v>1.1439169611549005E-13</v>
      </c>
      <c r="GW121" s="14">
        <f t="shared" si="105"/>
        <v>1.6918016515029816E-12</v>
      </c>
      <c r="GX121" s="22">
        <f t="shared" si="82"/>
        <v>3.1457867471021712E-12</v>
      </c>
      <c r="GY121" s="62">
        <f t="shared" si="83"/>
        <v>293.33333333333644</v>
      </c>
      <c r="GZ121" s="62">
        <f ca="1">AVERAGE(OFFSET($GY$3,0,0,'Données projet'!$E$18+1,1))-AVERAGE(OFFSET($H$3,0,0,'Données projet'!$E$18+1,1))</f>
        <v>312.06797204903796</v>
      </c>
      <c r="HA121" s="62">
        <f t="shared" si="106"/>
        <v>258.20189001775151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>
        <f>EXP(-LN(2)/35)*HG120+(1-EXP(-LN(2)/35))/(LN(2)/35)*HC121*HD121*VLOOKUP('Données projet'!$B$18,Paramètres!$A$1:$I$89,3,0)*0.475*44/12</f>
        <v>0</v>
      </c>
      <c r="HH121" s="23">
        <f>EXP(-LN(2)/25)*HH120+(1-EXP(-LN(2)/25))/(LN(2)/25)*Calculateur!HC121*Calculateur!HE121*VLOOKUP('Données projet'!$B$18,Paramètres!$A$1:$I$89,3,0)*0.475*44/12</f>
        <v>0</v>
      </c>
      <c r="HI121" s="23">
        <f>EXP(-LN(2)/2)*HI120+(1-EXP(-LN(2)/2))/(LN(2)/2)*HC121*HF121*VLOOKUP('Données projet'!$B$18,Paramètres!$A$1:$I$89,3,0)*0.475*44/12</f>
        <v>0</v>
      </c>
      <c r="HJ121" s="24">
        <f t="shared" si="84"/>
        <v>0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4.5</v>
      </c>
      <c r="N122" s="14">
        <f>IF('Données projet'!$A$36&gt;35,N121+M122-V121,IF(A122&lt;'Données projet'!$A$36,$K$205^A122,IF(A122='Données projet'!$A$36,'Données projet'!$B$36,N121+M122-V121)))</f>
        <v>347.49999999999977</v>
      </c>
      <c r="O122" s="14">
        <f>N122*VLOOKUP('Données projet'!$B$9,Paramètres!$A$1:$I$89,3,0)*VLOOKUP('Données projet'!$B$9,Paramètres!$A$1:$I$89,5,0)</f>
        <v>314.41799999999978</v>
      </c>
      <c r="P122" s="14">
        <f t="shared" si="87"/>
        <v>74.190723151497338</v>
      </c>
      <c r="Q122" s="22">
        <f t="shared" si="107"/>
        <v>676.82685948885739</v>
      </c>
      <c r="R122" s="62">
        <f t="shared" si="55"/>
        <v>970.16019282219077</v>
      </c>
      <c r="S122" s="62">
        <f ca="1">AVERAGE(OFFSET($R$3,0,0,'Données projet'!$E$9+1,1))-AVERAGE(OFFSET($H$3,0,0,'Données projet'!$E$9+1,1))</f>
        <v>512.84819850818667</v>
      </c>
      <c r="T122" s="62">
        <f t="shared" si="88"/>
        <v>332.61387922152159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-5.6843418860808015E-14</v>
      </c>
      <c r="AJ122" s="14">
        <f>AI122*VLOOKUP('Données projet'!$B$10,Paramètres!$A$1:$I$89,3,0)*VLOOKUP('Données projet'!$B$10,Paramètres!$A$1:$I$89,5,0)</f>
        <v>-4.1677594708744434E-14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344.45199703750711</v>
      </c>
      <c r="AO122" s="62">
        <f t="shared" si="90"/>
        <v>376.41441893222185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4.5</v>
      </c>
      <c r="BD122" s="13">
        <f>IF('Données projet'!$A$88&gt;35,BD121+BC122-BL121,IF(A122&lt;'Données projet'!$A$88,$BA$205^A122,IF(A122='Données projet'!$A$88,'Données projet'!$B$88,BD121+BC122-BL121)))</f>
        <v>347.49999999999977</v>
      </c>
      <c r="BE122" s="14">
        <f>BD122*VLOOKUP('Données projet'!$B$11,Paramètres!$A$1:$I$89,3,0)*VLOOKUP('Données projet'!$B$11,Paramètres!$A$1:$I$89,5,0)</f>
        <v>352.36499999999978</v>
      </c>
      <c r="BF122" s="14">
        <f t="shared" si="91"/>
        <v>82.049298267873581</v>
      </c>
      <c r="BG122" s="22">
        <f t="shared" si="61"/>
        <v>756.60490281654609</v>
      </c>
      <c r="BH122" s="62">
        <f t="shared" si="62"/>
        <v>1049.9382361498795</v>
      </c>
      <c r="BI122" s="62">
        <f ca="1">AVERAGE(OFFSET($BH$3,0,0,'Données projet'!$E$11+1,1))-AVERAGE(OFFSET($H$3,0,0,'Données projet'!$E$11+1,1))</f>
        <v>569.39473185784823</v>
      </c>
      <c r="BJ122" s="62">
        <f t="shared" si="92"/>
        <v>367.42881145517066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5.8</v>
      </c>
      <c r="BY122" s="13">
        <f>IF('Données projet'!$A$114&gt;35,BY121+BX122-CG121,IF(A122&lt;'Données projet'!$A$114,$BV$205^A122,IF(A122='Données projet'!$A$114,'Données projet'!$B$114,BY121+BX122-CG121)))</f>
        <v>448.2</v>
      </c>
      <c r="BZ122" s="14">
        <f>BY122*VLOOKUP('Données projet'!$B$12,Paramètres!$A$1:$I$89,3,0)*VLOOKUP('Données projet'!$B$12,Paramètres!$A$1:$I$89,5,0)</f>
        <v>384.55560000000003</v>
      </c>
      <c r="CA122" s="14">
        <f t="shared" si="93"/>
        <v>88.6384108075151</v>
      </c>
      <c r="CB122" s="22">
        <f t="shared" si="64"/>
        <v>824.14623548975567</v>
      </c>
      <c r="CC122" s="62">
        <f t="shared" si="65"/>
        <v>1117.479568823089</v>
      </c>
      <c r="CD122" s="62">
        <f ca="1">AVERAGE(OFFSET($CC$3,0,0,'Données projet'!$E$12+1,1))-AVERAGE(OFFSET($H$3,0,0,'Données projet'!$E$12+1,1))</f>
        <v>554.06253050955502</v>
      </c>
      <c r="CE122" s="62">
        <f t="shared" si="94"/>
        <v>269.71949336355789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1.1368683772161603E-13</v>
      </c>
      <c r="CU122" s="18">
        <f>CT122*VLOOKUP('Données projet'!$B$13,Paramètres!$A$1:$I$89,3,0)*VLOOKUP('Données projet'!$B$13,Paramètres!$A$1:$I$89,5,0)</f>
        <v>8.8675733422860506E-14</v>
      </c>
      <c r="CV122" s="14">
        <f t="shared" si="95"/>
        <v>1.3509285393066301E-12</v>
      </c>
      <c r="CW122" s="22">
        <f t="shared" si="67"/>
        <v>2.5073107750038623E-12</v>
      </c>
      <c r="CX122" s="62">
        <f t="shared" si="68"/>
        <v>293.33333333333582</v>
      </c>
      <c r="CY122" s="62">
        <f ca="1">AVERAGE(OFFSET($CX$3,0,0,'Données projet'!$E$13+1,1))-AVERAGE(OFFSET($H$3,0,0,'Données projet'!$E$13+1,1))</f>
        <v>292.21364130214391</v>
      </c>
      <c r="CZ122" s="62">
        <f t="shared" si="96"/>
        <v>283.48738729114024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3.3333333333333313</v>
      </c>
      <c r="DO122" s="13">
        <f>IF('Données projet'!$A$166&gt;35,DO121+DN122-DW121,IF(A122&lt;'Données projet'!$A$166,$DL$205^A122,IF(A122='Données projet'!$A$166,'Données projet'!$B$166,DO121+DN122-DW121)))</f>
        <v>297.30769230769238</v>
      </c>
      <c r="DP122" s="18">
        <f>DO122*VLOOKUP('Données projet'!$B$14,Paramètres!$A$1:$I$89,3,0)*VLOOKUP('Données projet'!$B$14,Paramètres!$A$1:$I$89,5,0)</f>
        <v>282.91800000000012</v>
      </c>
      <c r="DQ122" s="14">
        <f t="shared" si="97"/>
        <v>67.583293586861146</v>
      </c>
      <c r="DR122" s="22">
        <f t="shared" si="70"/>
        <v>610.45641966378332</v>
      </c>
      <c r="DS122" s="62">
        <f t="shared" si="71"/>
        <v>903.78975299711669</v>
      </c>
      <c r="DT122" s="62">
        <f ca="1">AVERAGE(OFFSET($DS$3,0,0,'Données projet'!$E$14+1,1))-AVERAGE(OFFSET($H$3,0,0,'Données projet'!$E$14+1,1))</f>
        <v>427.47603885390191</v>
      </c>
      <c r="DU122" s="62">
        <f t="shared" si="98"/>
        <v>350.88664394632116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3.7</v>
      </c>
      <c r="EJ122" s="13">
        <f>IF('Données projet'!$A$192&gt;35,EJ121+EI122-ER121,IF(A122&lt;'Données projet'!$A$192,$EG$205^A122,IF(A122='Données projet'!$A$192,'Données projet'!$B$192,EJ121+EI122-ER121)))</f>
        <v>299.2999999999995</v>
      </c>
      <c r="EK122" s="18">
        <f>EJ122*VLOOKUP('Données projet'!$B$15,Paramètres!$A$1:$I$89,3,0)*VLOOKUP('Données projet'!$B$15,Paramètres!$A$1:$I$89,5,0)</f>
        <v>289.48295999999954</v>
      </c>
      <c r="EL122" s="14">
        <f t="shared" si="99"/>
        <v>68.967129713117401</v>
      </c>
      <c r="EM122" s="22">
        <f t="shared" si="73"/>
        <v>624.300572917012</v>
      </c>
      <c r="EN122" s="62">
        <f t="shared" si="74"/>
        <v>917.63390625034526</v>
      </c>
      <c r="EO122" s="62">
        <f ca="1">AVERAGE(OFFSET($EN$3,0,0,'Données projet'!$E$15+1,1))-AVERAGE(OFFSET($H$3,0,0,'Données projet'!$E$15+1,1))</f>
        <v>455.50822833641354</v>
      </c>
      <c r="EP122" s="62">
        <f t="shared" si="100"/>
        <v>261.14722581688039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243</v>
      </c>
      <c r="FF122" s="18">
        <f>FE122*VLOOKUP('Données projet'!$B$16,Paramètres!$A$1:$I$89,3,0)*VLOOKUP('Données projet'!$B$16,Paramètres!$A$1:$I$89,5,0)</f>
        <v>212.28480000000002</v>
      </c>
      <c r="FG122" s="14">
        <f t="shared" si="101"/>
        <v>52.434557099704193</v>
      </c>
      <c r="FH122" s="22">
        <f t="shared" si="76"/>
        <v>461.05288028198476</v>
      </c>
      <c r="FI122" s="62">
        <f t="shared" si="77"/>
        <v>754.38621361531807</v>
      </c>
      <c r="FJ122" s="62">
        <f ca="1">AVERAGE(OFFSET($FI$3,0,0,'Données projet'!$E$16+1,1))-AVERAGE(OFFSET($H$3,0,0,'Données projet'!$E$16+1,1))</f>
        <v>369.34989412920129</v>
      </c>
      <c r="FK122" s="62">
        <f t="shared" si="102"/>
        <v>371.26234252426553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0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>
        <f>FZ122*VLOOKUP('Données projet'!$B$17,Paramètres!$A$1:$I$89,3,0)*VLOOKUP('Données projet'!$B$17,Paramètres!$A$1:$I$89,5,0)</f>
        <v>0</v>
      </c>
      <c r="GB122" s="14" t="e">
        <f t="shared" si="103"/>
        <v>#NUM!</v>
      </c>
      <c r="GC122" s="22" t="e">
        <f t="shared" si="79"/>
        <v>#NUM!</v>
      </c>
      <c r="GD122" s="62" t="e">
        <f t="shared" si="80"/>
        <v>#NUM!</v>
      </c>
      <c r="GE122" s="62">
        <f ca="1">AVERAGE(OFFSET($GD$3,0,0,'Données projet'!$E$17+1,1))-AVERAGE(OFFSET($H$3,0,0,'Données projet'!$E$17+1,1))</f>
        <v>324.4489531703187</v>
      </c>
      <c r="GF122" s="62">
        <f t="shared" si="104"/>
        <v>446.55019360848706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projet'!$B$17,Paramètres!$A$1:$I$89,3,0)*0.475*44/12</f>
        <v>0</v>
      </c>
      <c r="GM122" s="23">
        <f>EXP(-LN(2)/25)*GM121+(1-EXP(-LN(2)/25))/(LN(2)/25)*Calculateur!GH122*Calculateur!GJ122*VLOOKUP('Données projet'!$B$17,Paramètres!$A$1:$I$89,3,0)*0.475*44/12</f>
        <v>0</v>
      </c>
      <c r="GN122" s="23">
        <f>EXP(-LN(2)/2)*GN121+(1-EXP(-LN(2)/2))/(LN(2)/2)*GH122*GK122*VLOOKUP('Données projet'!$B$17,Paramètres!$A$1:$I$89,3,0)*0.475*44/12</f>
        <v>0</v>
      </c>
      <c r="GO122" s="23">
        <f t="shared" si="81"/>
        <v>0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1.7053025658242404E-13</v>
      </c>
      <c r="GV122" s="18">
        <f>GU122*VLOOKUP('Données projet'!$B$18,Paramètres!$A$1:$I$89,3,0)*VLOOKUP('Données projet'!$B$18,Paramètres!$A$1:$I$89,5,0)</f>
        <v>1.1439169611549005E-13</v>
      </c>
      <c r="GW122" s="14">
        <f t="shared" si="105"/>
        <v>1.6918016515029816E-12</v>
      </c>
      <c r="GX122" s="22">
        <f t="shared" si="82"/>
        <v>3.1457867471021712E-12</v>
      </c>
      <c r="GY122" s="62">
        <f t="shared" si="83"/>
        <v>293.33333333333644</v>
      </c>
      <c r="GZ122" s="62">
        <f ca="1">AVERAGE(OFFSET($GY$3,0,0,'Données projet'!$E$18+1,1))-AVERAGE(OFFSET($H$3,0,0,'Données projet'!$E$18+1,1))</f>
        <v>312.06797204903796</v>
      </c>
      <c r="HA122" s="62">
        <f t="shared" si="106"/>
        <v>258.20189001775151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>
        <f>EXP(-LN(2)/35)*HG121+(1-EXP(-LN(2)/35))/(LN(2)/35)*HC122*HD122*VLOOKUP('Données projet'!$B$18,Paramètres!$A$1:$I$89,3,0)*0.475*44/12</f>
        <v>0</v>
      </c>
      <c r="HH122" s="23">
        <f>EXP(-LN(2)/25)*HH121+(1-EXP(-LN(2)/25))/(LN(2)/25)*Calculateur!HC122*Calculateur!HE122*VLOOKUP('Données projet'!$B$18,Paramètres!$A$1:$I$89,3,0)*0.475*44/12</f>
        <v>0</v>
      </c>
      <c r="HI122" s="23">
        <f>EXP(-LN(2)/2)*HI121+(1-EXP(-LN(2)/2))/(LN(2)/2)*HC122*HF122*VLOOKUP('Données projet'!$B$18,Paramètres!$A$1:$I$89,3,0)*0.475*44/12</f>
        <v>0</v>
      </c>
      <c r="HJ122" s="24">
        <f t="shared" si="84"/>
        <v>0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352</v>
      </c>
      <c r="L123" s="13">
        <f>VLOOKUP(A123,'Données projet'!$A$35:$I$55,9,0)</f>
        <v>4.5</v>
      </c>
      <c r="M123" s="13">
        <f t="array" ref="M123">INDEX(L:L,MIN(IF(ISNUMBER(L123:L319),ROW(L123:L319),"")))</f>
        <v>4.5</v>
      </c>
      <c r="N123" s="14">
        <f>IF('Données projet'!$A$36&gt;35,N122+M123-V122,IF(A123&lt;'Données projet'!$A$36,$K$205^A123,IF(A123='Données projet'!$A$36,'Données projet'!$B$36,N122+M123-V122)))</f>
        <v>351.99999999999977</v>
      </c>
      <c r="O123" s="14">
        <f>N123*VLOOKUP('Données projet'!$B$9,Paramètres!$A$1:$I$89,3,0)*VLOOKUP('Données projet'!$B$9,Paramètres!$A$1:$I$89,5,0)</f>
        <v>318.48959999999977</v>
      </c>
      <c r="P123" s="14">
        <f t="shared" si="87"/>
        <v>75.038999086150227</v>
      </c>
      <c r="Q123" s="22">
        <f t="shared" si="107"/>
        <v>685.39564340837785</v>
      </c>
      <c r="R123" s="62">
        <f t="shared" si="55"/>
        <v>978.72897674171122</v>
      </c>
      <c r="S123" s="62">
        <f ca="1">AVERAGE(OFFSET($R$3,0,0,'Données projet'!$E$9+1,1))-AVERAGE(OFFSET($H$3,0,0,'Données projet'!$E$9+1,1))</f>
        <v>512.84819850818667</v>
      </c>
      <c r="T123" s="62">
        <f t="shared" si="88"/>
        <v>332.61387922152159</v>
      </c>
      <c r="U123" s="16">
        <f>IF(ISNA(VLOOKUP(A123,'Données projet'!$A$35:$I$55,3,0)),0,VLOOKUP(A123,'Données projet'!$A$35:$I$55,3,0))</f>
        <v>11</v>
      </c>
      <c r="V123" s="16">
        <f>IF(ISNA(VLOOKUP(A123,'Données projet'!$A$35:$I$55,4,0)),0,VLOOKUP(A123,'Données projet'!$A$35:$I$55,4,0))</f>
        <v>47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-5.6843418860808015E-14</v>
      </c>
      <c r="AJ123" s="14">
        <f>AI123*VLOOKUP('Données projet'!$B$10,Paramètres!$A$1:$I$89,3,0)*VLOOKUP('Données projet'!$B$10,Paramètres!$A$1:$I$89,5,0)</f>
        <v>-4.1677594708744434E-14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344.45199703750711</v>
      </c>
      <c r="AO123" s="62">
        <f t="shared" si="90"/>
        <v>376.41441893222185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352</v>
      </c>
      <c r="BB123" s="13">
        <f>VLOOKUP(A123,'Données projet'!$A$87:$I$107,9,0)</f>
        <v>4.5</v>
      </c>
      <c r="BC123" s="13">
        <f t="array" ref="BC123">INDEX(BB:BB,MIN(IF(ISNUMBER(BB123:BB319),ROW(BB123:BB319),"")))</f>
        <v>4.5</v>
      </c>
      <c r="BD123" s="13">
        <f>IF('Données projet'!$A$88&gt;35,BD122+BC123-BL122,IF(A123&lt;'Données projet'!$A$88,$BA$205^A123,IF(A123='Données projet'!$A$88,'Données projet'!$B$88,BD122+BC123-BL122)))</f>
        <v>351.99999999999977</v>
      </c>
      <c r="BE123" s="14">
        <f>BD123*VLOOKUP('Données projet'!$B$11,Paramètres!$A$1:$I$89,3,0)*VLOOKUP('Données projet'!$B$11,Paramètres!$A$1:$I$89,5,0)</f>
        <v>356.92799999999983</v>
      </c>
      <c r="BF123" s="14">
        <f t="shared" si="91"/>
        <v>82.987426947838912</v>
      </c>
      <c r="BG123" s="22">
        <f t="shared" si="61"/>
        <v>766.18603526748575</v>
      </c>
      <c r="BH123" s="62">
        <f t="shared" si="62"/>
        <v>1059.519368600819</v>
      </c>
      <c r="BI123" s="62">
        <f ca="1">AVERAGE(OFFSET($BH$3,0,0,'Données projet'!$E$11+1,1))-AVERAGE(OFFSET($H$3,0,0,'Données projet'!$E$11+1,1))</f>
        <v>569.39473185784823</v>
      </c>
      <c r="BJ123" s="62">
        <f t="shared" si="92"/>
        <v>367.42881145517066</v>
      </c>
      <c r="BK123" s="16">
        <f>IF(ISNA(VLOOKUP(A123,'Données projet'!$A$87:$I$107,3,0)),0,VLOOKUP(A123,'Données projet'!$A$87:$I$107,3,0))</f>
        <v>11</v>
      </c>
      <c r="BL123" s="16">
        <f>IF(ISNA(VLOOKUP(A123,'Données projet'!$A$87:$I$107,4,0)),0,VLOOKUP(A123,'Données projet'!$A$87:$I$107,4,0))</f>
        <v>47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>
        <f>VLOOKUP(A123,'Données projet'!$A$113:$I$133,2,0)</f>
        <v>454</v>
      </c>
      <c r="BW123" s="13">
        <f>VLOOKUP(A123,'Données projet'!$A$113:$I$133,9,0)</f>
        <v>5.8</v>
      </c>
      <c r="BX123" s="13">
        <f t="array" ref="BX123">INDEX(BW:BW,MIN(IF(ISNUMBER(BW123:BW319),ROW(BW123:BW319),"")))</f>
        <v>5.8</v>
      </c>
      <c r="BY123" s="13">
        <f>IF('Données projet'!$A$114&gt;35,BY122+BX123-CG122,IF(A123&lt;'Données projet'!$A$114,$BV$205^A123,IF(A123='Données projet'!$A$114,'Données projet'!$B$114,BY122+BX123-CG122)))</f>
        <v>454</v>
      </c>
      <c r="BZ123" s="14">
        <f>BY123*VLOOKUP('Données projet'!$B$12,Paramètres!$A$1:$I$89,3,0)*VLOOKUP('Données projet'!$B$12,Paramètres!$A$1:$I$89,5,0)</f>
        <v>389.53200000000004</v>
      </c>
      <c r="CA123" s="14">
        <f t="shared" si="93"/>
        <v>89.651174596359354</v>
      </c>
      <c r="CB123" s="22">
        <f t="shared" si="64"/>
        <v>834.57736242199246</v>
      </c>
      <c r="CC123" s="62">
        <f t="shared" si="65"/>
        <v>1127.9106957553258</v>
      </c>
      <c r="CD123" s="62">
        <f ca="1">AVERAGE(OFFSET($CC$3,0,0,'Données projet'!$E$12+1,1))-AVERAGE(OFFSET($H$3,0,0,'Données projet'!$E$12+1,1))</f>
        <v>554.06253050955502</v>
      </c>
      <c r="CE123" s="62">
        <f t="shared" si="94"/>
        <v>269.71949336355789</v>
      </c>
      <c r="CF123" s="16">
        <f>IF(ISNA(VLOOKUP(A123,'Données projet'!$A$113:$I$133,3,0)),0,VLOOKUP(A123,'Données projet'!$A$113:$I$133,3,0))</f>
        <v>10</v>
      </c>
      <c r="CG123" s="16">
        <f>IF(ISNA(VLOOKUP(A123,'Données projet'!$A$113:$I$133,4,0)),0,VLOOKUP(A123,'Données projet'!$A$113:$I$133,4,0))</f>
        <v>43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1.1368683772161603E-13</v>
      </c>
      <c r="CU123" s="18">
        <f>CT123*VLOOKUP('Données projet'!$B$13,Paramètres!$A$1:$I$89,3,0)*VLOOKUP('Données projet'!$B$13,Paramètres!$A$1:$I$89,5,0)</f>
        <v>8.8675733422860506E-14</v>
      </c>
      <c r="CV123" s="14">
        <f t="shared" si="95"/>
        <v>1.3509285393066301E-12</v>
      </c>
      <c r="CW123" s="22">
        <f t="shared" si="67"/>
        <v>2.5073107750038623E-12</v>
      </c>
      <c r="CX123" s="62">
        <f t="shared" si="68"/>
        <v>293.33333333333582</v>
      </c>
      <c r="CY123" s="62">
        <f ca="1">AVERAGE(OFFSET($CX$3,0,0,'Données projet'!$E$13+1,1))-AVERAGE(OFFSET($H$3,0,0,'Données projet'!$E$13+1,1))</f>
        <v>292.21364130214391</v>
      </c>
      <c r="CZ123" s="62">
        <f t="shared" si="96"/>
        <v>283.48738729114024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>
        <f>VLOOKUP(A123,'Données projet'!$A$165:$I$185,2,0)</f>
        <v>300.64102564102564</v>
      </c>
      <c r="DM123" s="13">
        <f>VLOOKUP(A123,'Données projet'!$A$165:$I$185,9,0)</f>
        <v>3.3333333333333313</v>
      </c>
      <c r="DN123" s="13">
        <f t="array" ref="DN123">INDEX(DM:DM,MIN(IF(ISNUMBER(DM123:DM319),ROW(DM123:DM319),"")))</f>
        <v>3.3333333333333313</v>
      </c>
      <c r="DO123" s="13">
        <f>IF('Données projet'!$A$166&gt;35,DO122+DN123-DW122,IF(A123&lt;'Données projet'!$A$166,$DL$205^A123,IF(A123='Données projet'!$A$166,'Données projet'!$B$166,DO122+DN123-DW122)))</f>
        <v>300.64102564102569</v>
      </c>
      <c r="DP123" s="18">
        <f>DO123*VLOOKUP('Données projet'!$B$14,Paramètres!$A$1:$I$89,3,0)*VLOOKUP('Données projet'!$B$14,Paramètres!$A$1:$I$89,5,0)</f>
        <v>286.09000000000003</v>
      </c>
      <c r="DQ123" s="14">
        <f t="shared" si="97"/>
        <v>68.252384845349852</v>
      </c>
      <c r="DR123" s="22">
        <f t="shared" si="70"/>
        <v>617.14632027231767</v>
      </c>
      <c r="DS123" s="62">
        <f t="shared" si="71"/>
        <v>910.47965360565104</v>
      </c>
      <c r="DT123" s="62">
        <f ca="1">AVERAGE(OFFSET($DS$3,0,0,'Données projet'!$E$14+1,1))-AVERAGE(OFFSET($H$3,0,0,'Données projet'!$E$14+1,1))</f>
        <v>427.47603885390191</v>
      </c>
      <c r="DU123" s="62">
        <f t="shared" si="98"/>
        <v>350.88664394632116</v>
      </c>
      <c r="DV123" s="16">
        <f>IF(ISNA(VLOOKUP(A123,'Données projet'!$A$165:$I$185,3,0)),0,VLOOKUP(A123,'Données projet'!$A$165:$I$185,3,0))</f>
        <v>11</v>
      </c>
      <c r="DW123" s="16">
        <f>IF(ISNA(VLOOKUP(A123,'Données projet'!$A$165:$I$185,4,0)),0,VLOOKUP(A123,'Données projet'!$A$165:$I$185,4,0))</f>
        <v>300.64102564102564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>
        <f>VLOOKUP(A123,'Données projet'!$A$191:$I$211,2,0)</f>
        <v>303</v>
      </c>
      <c r="EH123" s="13">
        <f>VLOOKUP(A123,'Données projet'!$A$191:$I$211,9,0)</f>
        <v>3.7</v>
      </c>
      <c r="EI123" s="13">
        <f t="array" ref="EI123">INDEX(EH:EH,MIN(IF(ISNUMBER(EH123:EH319),ROW(EH123:EH319),"")))</f>
        <v>3.7</v>
      </c>
      <c r="EJ123" s="13">
        <f>IF('Données projet'!$A$192&gt;35,EJ122+EI123-ER122,IF(A123&lt;'Données projet'!$A$192,$EG$205^A123,IF(A123='Données projet'!$A$192,'Données projet'!$B$192,EJ122+EI123-ER122)))</f>
        <v>302.99999999999949</v>
      </c>
      <c r="EK123" s="18">
        <f>EJ123*VLOOKUP('Données projet'!$B$15,Paramètres!$A$1:$I$89,3,0)*VLOOKUP('Données projet'!$B$15,Paramètres!$A$1:$I$89,5,0)</f>
        <v>293.06159999999949</v>
      </c>
      <c r="EL123" s="14">
        <f t="shared" si="99"/>
        <v>69.719933365116432</v>
      </c>
      <c r="EM123" s="22">
        <f t="shared" si="73"/>
        <v>631.84450394424357</v>
      </c>
      <c r="EN123" s="62">
        <f t="shared" si="74"/>
        <v>925.17783727757683</v>
      </c>
      <c r="EO123" s="62">
        <f ca="1">AVERAGE(OFFSET($EN$3,0,0,'Données projet'!$E$15+1,1))-AVERAGE(OFFSET($H$3,0,0,'Données projet'!$E$15+1,1))</f>
        <v>455.50822833641354</v>
      </c>
      <c r="EP123" s="62">
        <f t="shared" si="100"/>
        <v>261.14722581688039</v>
      </c>
      <c r="EQ123" s="16">
        <f>IF(ISNA(VLOOKUP(A123,'Données projet'!$A$191:$I$211,3,0)),0,VLOOKUP(A123,'Données projet'!$A$191:$I$211,3,0))</f>
        <v>10</v>
      </c>
      <c r="ER123" s="16">
        <f>IF(ISNA(VLOOKUP(A123,'Données projet'!$A$191:$I$211,4,0)),0,VLOOKUP(A123,'Données projet'!$A$191:$I$211,4,0))</f>
        <v>35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243</v>
      </c>
      <c r="FF123" s="18">
        <f>FE123*VLOOKUP('Données projet'!$B$16,Paramètres!$A$1:$I$89,3,0)*VLOOKUP('Données projet'!$B$16,Paramètres!$A$1:$I$89,5,0)</f>
        <v>212.28480000000002</v>
      </c>
      <c r="FG123" s="14">
        <f t="shared" si="101"/>
        <v>52.434557099704193</v>
      </c>
      <c r="FH123" s="22">
        <f t="shared" si="76"/>
        <v>461.05288028198476</v>
      </c>
      <c r="FI123" s="62">
        <f t="shared" si="77"/>
        <v>754.38621361531807</v>
      </c>
      <c r="FJ123" s="62">
        <f ca="1">AVERAGE(OFFSET($FI$3,0,0,'Données projet'!$E$16+1,1))-AVERAGE(OFFSET($H$3,0,0,'Données projet'!$E$16+1,1))</f>
        <v>369.34989412920129</v>
      </c>
      <c r="FK123" s="62">
        <f t="shared" si="102"/>
        <v>371.26234252426553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0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>
        <f>FZ123*VLOOKUP('Données projet'!$B$17,Paramètres!$A$1:$I$89,3,0)*VLOOKUP('Données projet'!$B$17,Paramètres!$A$1:$I$89,5,0)</f>
        <v>0</v>
      </c>
      <c r="GB123" s="14" t="e">
        <f t="shared" si="103"/>
        <v>#NUM!</v>
      </c>
      <c r="GC123" s="22" t="e">
        <f t="shared" si="79"/>
        <v>#NUM!</v>
      </c>
      <c r="GD123" s="62" t="e">
        <f t="shared" si="80"/>
        <v>#NUM!</v>
      </c>
      <c r="GE123" s="62">
        <f ca="1">AVERAGE(OFFSET($GD$3,0,0,'Données projet'!$E$17+1,1))-AVERAGE(OFFSET($H$3,0,0,'Données projet'!$E$17+1,1))</f>
        <v>324.4489531703187</v>
      </c>
      <c r="GF123" s="62">
        <f t="shared" si="104"/>
        <v>446.55019360848706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projet'!$B$17,Paramètres!$A$1:$I$89,3,0)*0.475*44/12</f>
        <v>0</v>
      </c>
      <c r="GM123" s="23">
        <f>EXP(-LN(2)/25)*GM122+(1-EXP(-LN(2)/25))/(LN(2)/25)*Calculateur!GH123*Calculateur!GJ123*VLOOKUP('Données projet'!$B$17,Paramètres!$A$1:$I$89,3,0)*0.475*44/12</f>
        <v>0</v>
      </c>
      <c r="GN123" s="23">
        <f>EXP(-LN(2)/2)*GN122+(1-EXP(-LN(2)/2))/(LN(2)/2)*GH123*GK123*VLOOKUP('Données projet'!$B$17,Paramètres!$A$1:$I$89,3,0)*0.475*44/12</f>
        <v>0</v>
      </c>
      <c r="GO123" s="23">
        <f t="shared" si="81"/>
        <v>0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1.7053025658242404E-13</v>
      </c>
      <c r="GV123" s="18">
        <f>GU123*VLOOKUP('Données projet'!$B$18,Paramètres!$A$1:$I$89,3,0)*VLOOKUP('Données projet'!$B$18,Paramètres!$A$1:$I$89,5,0)</f>
        <v>1.1439169611549005E-13</v>
      </c>
      <c r="GW123" s="14">
        <f t="shared" si="105"/>
        <v>1.6918016515029816E-12</v>
      </c>
      <c r="GX123" s="22">
        <f t="shared" si="82"/>
        <v>3.1457867471021712E-12</v>
      </c>
      <c r="GY123" s="62">
        <f t="shared" si="83"/>
        <v>293.33333333333644</v>
      </c>
      <c r="GZ123" s="62">
        <f ca="1">AVERAGE(OFFSET($GY$3,0,0,'Données projet'!$E$18+1,1))-AVERAGE(OFFSET($H$3,0,0,'Données projet'!$E$18+1,1))</f>
        <v>312.06797204903796</v>
      </c>
      <c r="HA123" s="62">
        <f t="shared" si="106"/>
        <v>258.20189001775151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>
        <f>EXP(-LN(2)/35)*HG122+(1-EXP(-LN(2)/35))/(LN(2)/35)*HC123*HD123*VLOOKUP('Données projet'!$B$18,Paramètres!$A$1:$I$89,3,0)*0.475*44/12</f>
        <v>0</v>
      </c>
      <c r="HH123" s="23">
        <f>EXP(-LN(2)/25)*HH122+(1-EXP(-LN(2)/25))/(LN(2)/25)*Calculateur!HC123*Calculateur!HE123*VLOOKUP('Données projet'!$B$18,Paramètres!$A$1:$I$89,3,0)*0.475*44/12</f>
        <v>0</v>
      </c>
      <c r="HI123" s="23">
        <f>EXP(-LN(2)/2)*HI122+(1-EXP(-LN(2)/2))/(LN(2)/2)*HC123*HF123*VLOOKUP('Données projet'!$B$18,Paramètres!$A$1:$I$89,3,0)*0.475*44/12</f>
        <v>0</v>
      </c>
      <c r="HJ123" s="24">
        <f t="shared" si="84"/>
        <v>0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4.0666666666666664</v>
      </c>
      <c r="N124" s="14">
        <f>IF('Données projet'!$A$36&gt;35,N123+M124-V123,IF(A124&lt;'Données projet'!$A$36,$K$205^A124,IF(A124='Données projet'!$A$36,'Données projet'!$B$36,N123+M124-V123)))</f>
        <v>309.06666666666644</v>
      </c>
      <c r="O124" s="14">
        <f>N124*VLOOKUP('Données projet'!$B$9,Paramètres!$A$1:$I$89,3,0)*VLOOKUP('Données projet'!$B$9,Paramètres!$A$1:$I$89,5,0)</f>
        <v>279.6435199999998</v>
      </c>
      <c r="P124" s="14">
        <f t="shared" si="87"/>
        <v>66.891668824822503</v>
      </c>
      <c r="Q124" s="22">
        <f t="shared" si="107"/>
        <v>603.54878720323211</v>
      </c>
      <c r="R124" s="62">
        <f t="shared" si="55"/>
        <v>896.88212053656548</v>
      </c>
      <c r="S124" s="62">
        <f ca="1">AVERAGE(OFFSET($R$3,0,0,'Données projet'!$E$9+1,1))-AVERAGE(OFFSET($H$3,0,0,'Données projet'!$E$9+1,1))</f>
        <v>512.84819850818667</v>
      </c>
      <c r="T124" s="62">
        <f t="shared" si="88"/>
        <v>332.61387922152159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-5.6843418860808015E-14</v>
      </c>
      <c r="AJ124" s="14">
        <f>AI124*VLOOKUP('Données projet'!$B$10,Paramètres!$A$1:$I$89,3,0)*VLOOKUP('Données projet'!$B$10,Paramètres!$A$1:$I$89,5,0)</f>
        <v>-4.1677594708744434E-14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344.45199703750711</v>
      </c>
      <c r="AO124" s="62">
        <f t="shared" si="90"/>
        <v>376.41441893222185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4.0666666666666664</v>
      </c>
      <c r="BD124" s="13">
        <f>IF('Données projet'!$A$88&gt;35,BD123+BC124-BL123,IF(A124&lt;'Données projet'!$A$88,$BA$205^A124,IF(A124='Données projet'!$A$88,'Données projet'!$B$88,BD123+BC124-BL123)))</f>
        <v>309.06666666666644</v>
      </c>
      <c r="BE124" s="14">
        <f>BD124*VLOOKUP('Données projet'!$B$11,Paramètres!$A$1:$I$89,3,0)*VLOOKUP('Données projet'!$B$11,Paramètres!$A$1:$I$89,5,0)</f>
        <v>313.39359999999982</v>
      </c>
      <c r="BF124" s="14">
        <f t="shared" si="91"/>
        <v>73.977099210050071</v>
      </c>
      <c r="BG124" s="22">
        <f t="shared" si="61"/>
        <v>674.67063445750352</v>
      </c>
      <c r="BH124" s="62">
        <f t="shared" si="62"/>
        <v>968.0039677908369</v>
      </c>
      <c r="BI124" s="62">
        <f ca="1">AVERAGE(OFFSET($BH$3,0,0,'Données projet'!$E$11+1,1))-AVERAGE(OFFSET($H$3,0,0,'Données projet'!$E$11+1,1))</f>
        <v>569.39473185784823</v>
      </c>
      <c r="BJ124" s="62">
        <f t="shared" si="92"/>
        <v>367.42881145517066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5</v>
      </c>
      <c r="BY124" s="13">
        <f>IF('Données projet'!$A$114&gt;35,BY123+BX124-CG123,IF(A124&lt;'Données projet'!$A$114,$BV$205^A124,IF(A124='Données projet'!$A$114,'Données projet'!$B$114,BY123+BX124-CG123)))</f>
        <v>416</v>
      </c>
      <c r="BZ124" s="14">
        <f>BY124*VLOOKUP('Données projet'!$B$12,Paramètres!$A$1:$I$89,3,0)*VLOOKUP('Données projet'!$B$12,Paramètres!$A$1:$I$89,5,0)</f>
        <v>356.92800000000005</v>
      </c>
      <c r="CA124" s="14">
        <f t="shared" si="93"/>
        <v>82.987426947838998</v>
      </c>
      <c r="CB124" s="22">
        <f t="shared" si="64"/>
        <v>766.18603526748632</v>
      </c>
      <c r="CC124" s="62">
        <f t="shared" si="65"/>
        <v>1059.5193686008197</v>
      </c>
      <c r="CD124" s="62">
        <f ca="1">AVERAGE(OFFSET($CC$3,0,0,'Données projet'!$E$12+1,1))-AVERAGE(OFFSET($H$3,0,0,'Données projet'!$E$12+1,1))</f>
        <v>554.06253050955502</v>
      </c>
      <c r="CE124" s="62">
        <f t="shared" si="94"/>
        <v>269.71949336355789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1.1368683772161603E-13</v>
      </c>
      <c r="CU124" s="18">
        <f>CT124*VLOOKUP('Données projet'!$B$13,Paramètres!$A$1:$I$89,3,0)*VLOOKUP('Données projet'!$B$13,Paramètres!$A$1:$I$89,5,0)</f>
        <v>8.8675733422860506E-14</v>
      </c>
      <c r="CV124" s="14">
        <f t="shared" si="95"/>
        <v>1.3509285393066301E-12</v>
      </c>
      <c r="CW124" s="22">
        <f t="shared" si="67"/>
        <v>2.5073107750038623E-12</v>
      </c>
      <c r="CX124" s="62">
        <f t="shared" si="68"/>
        <v>293.33333333333582</v>
      </c>
      <c r="CY124" s="62">
        <f ca="1">AVERAGE(OFFSET($CX$3,0,0,'Données projet'!$E$13+1,1))-AVERAGE(OFFSET($H$3,0,0,'Données projet'!$E$13+1,1))</f>
        <v>292.21364130214391</v>
      </c>
      <c r="CZ124" s="62">
        <f t="shared" si="96"/>
        <v>283.48738729114024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5.6843418860808015E-14</v>
      </c>
      <c r="DP124" s="18">
        <f>DO124*VLOOKUP('Données projet'!$B$14,Paramètres!$A$1:$I$89,3,0)*VLOOKUP('Données projet'!$B$14,Paramètres!$A$1:$I$89,5,0)</f>
        <v>5.4092197387944907E-14</v>
      </c>
      <c r="DQ124" s="14">
        <f t="shared" si="97"/>
        <v>8.7287050538073676E-13</v>
      </c>
      <c r="DR124" s="22">
        <f t="shared" si="70"/>
        <v>1.6144600406554537E-12</v>
      </c>
      <c r="DS124" s="62">
        <f t="shared" si="71"/>
        <v>293.33333333333491</v>
      </c>
      <c r="DT124" s="62">
        <f ca="1">AVERAGE(OFFSET($DS$3,0,0,'Données projet'!$E$14+1,1))-AVERAGE(OFFSET($H$3,0,0,'Données projet'!$E$14+1,1))</f>
        <v>427.47603885390191</v>
      </c>
      <c r="DU124" s="62">
        <f t="shared" si="98"/>
        <v>350.88664394632116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3.2</v>
      </c>
      <c r="EJ124" s="13">
        <f>IF('Données projet'!$A$192&gt;35,EJ123+EI124-ER123,IF(A124&lt;'Données projet'!$A$192,$EG$205^A124,IF(A124='Données projet'!$A$192,'Données projet'!$B$192,EJ123+EI124-ER123)))</f>
        <v>271.19999999999948</v>
      </c>
      <c r="EK124" s="18">
        <f>EJ124*VLOOKUP('Données projet'!$B$15,Paramètres!$A$1:$I$89,3,0)*VLOOKUP('Données projet'!$B$15,Paramètres!$A$1:$I$89,5,0)</f>
        <v>262.30463999999949</v>
      </c>
      <c r="EL124" s="14">
        <f t="shared" si="99"/>
        <v>63.213381472055985</v>
      </c>
      <c r="EM124" s="22">
        <f t="shared" si="73"/>
        <v>566.94388739716328</v>
      </c>
      <c r="EN124" s="62">
        <f t="shared" si="74"/>
        <v>860.27722073049654</v>
      </c>
      <c r="EO124" s="62">
        <f ca="1">AVERAGE(OFFSET($EN$3,0,0,'Données projet'!$E$15+1,1))-AVERAGE(OFFSET($H$3,0,0,'Données projet'!$E$15+1,1))</f>
        <v>455.50822833641354</v>
      </c>
      <c r="EP124" s="62">
        <f t="shared" si="100"/>
        <v>261.14722581688039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243</v>
      </c>
      <c r="FF124" s="18">
        <f>FE124*VLOOKUP('Données projet'!$B$16,Paramètres!$A$1:$I$89,3,0)*VLOOKUP('Données projet'!$B$16,Paramètres!$A$1:$I$89,5,0)</f>
        <v>212.28480000000002</v>
      </c>
      <c r="FG124" s="14">
        <f t="shared" si="101"/>
        <v>52.434557099704193</v>
      </c>
      <c r="FH124" s="22">
        <f t="shared" si="76"/>
        <v>461.05288028198476</v>
      </c>
      <c r="FI124" s="62">
        <f t="shared" si="77"/>
        <v>754.38621361531807</v>
      </c>
      <c r="FJ124" s="62">
        <f ca="1">AVERAGE(OFFSET($FI$3,0,0,'Données projet'!$E$16+1,1))-AVERAGE(OFFSET($H$3,0,0,'Données projet'!$E$16+1,1))</f>
        <v>369.34989412920129</v>
      </c>
      <c r="FK124" s="62">
        <f t="shared" si="102"/>
        <v>371.26234252426553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0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>
        <f>FZ124*VLOOKUP('Données projet'!$B$17,Paramètres!$A$1:$I$89,3,0)*VLOOKUP('Données projet'!$B$17,Paramètres!$A$1:$I$89,5,0)</f>
        <v>0</v>
      </c>
      <c r="GB124" s="14" t="e">
        <f t="shared" si="103"/>
        <v>#NUM!</v>
      </c>
      <c r="GC124" s="22" t="e">
        <f t="shared" si="79"/>
        <v>#NUM!</v>
      </c>
      <c r="GD124" s="62" t="e">
        <f t="shared" si="80"/>
        <v>#NUM!</v>
      </c>
      <c r="GE124" s="62">
        <f ca="1">AVERAGE(OFFSET($GD$3,0,0,'Données projet'!$E$17+1,1))-AVERAGE(OFFSET($H$3,0,0,'Données projet'!$E$17+1,1))</f>
        <v>324.4489531703187</v>
      </c>
      <c r="GF124" s="62">
        <f t="shared" si="104"/>
        <v>446.55019360848706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projet'!$B$17,Paramètres!$A$1:$I$89,3,0)*0.475*44/12</f>
        <v>0</v>
      </c>
      <c r="GM124" s="23">
        <f>EXP(-LN(2)/25)*GM123+(1-EXP(-LN(2)/25))/(LN(2)/25)*Calculateur!GH124*Calculateur!GJ124*VLOOKUP('Données projet'!$B$17,Paramètres!$A$1:$I$89,3,0)*0.475*44/12</f>
        <v>0</v>
      </c>
      <c r="GN124" s="23">
        <f>EXP(-LN(2)/2)*GN123+(1-EXP(-LN(2)/2))/(LN(2)/2)*GH124*GK124*VLOOKUP('Données projet'!$B$17,Paramètres!$A$1:$I$89,3,0)*0.475*44/12</f>
        <v>0</v>
      </c>
      <c r="GO124" s="23">
        <f t="shared" si="81"/>
        <v>0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1.7053025658242404E-13</v>
      </c>
      <c r="GV124" s="18">
        <f>GU124*VLOOKUP('Données projet'!$B$18,Paramètres!$A$1:$I$89,3,0)*VLOOKUP('Données projet'!$B$18,Paramètres!$A$1:$I$89,5,0)</f>
        <v>1.1439169611549005E-13</v>
      </c>
      <c r="GW124" s="14">
        <f t="shared" si="105"/>
        <v>1.6918016515029816E-12</v>
      </c>
      <c r="GX124" s="22">
        <f t="shared" si="82"/>
        <v>3.1457867471021712E-12</v>
      </c>
      <c r="GY124" s="62">
        <f t="shared" si="83"/>
        <v>293.33333333333644</v>
      </c>
      <c r="GZ124" s="62">
        <f ca="1">AVERAGE(OFFSET($GY$3,0,0,'Données projet'!$E$18+1,1))-AVERAGE(OFFSET($H$3,0,0,'Données projet'!$E$18+1,1))</f>
        <v>312.06797204903796</v>
      </c>
      <c r="HA124" s="62">
        <f t="shared" si="106"/>
        <v>258.20189001775151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>
        <f>EXP(-LN(2)/35)*HG123+(1-EXP(-LN(2)/35))/(LN(2)/35)*HC124*HD124*VLOOKUP('Données projet'!$B$18,Paramètres!$A$1:$I$89,3,0)*0.475*44/12</f>
        <v>0</v>
      </c>
      <c r="HH124" s="23">
        <f>EXP(-LN(2)/25)*HH123+(1-EXP(-LN(2)/25))/(LN(2)/25)*Calculateur!HC124*Calculateur!HE124*VLOOKUP('Données projet'!$B$18,Paramètres!$A$1:$I$89,3,0)*0.475*44/12</f>
        <v>0</v>
      </c>
      <c r="HI124" s="23">
        <f>EXP(-LN(2)/2)*HI123+(1-EXP(-LN(2)/2))/(LN(2)/2)*HC124*HF124*VLOOKUP('Données projet'!$B$18,Paramètres!$A$1:$I$89,3,0)*0.475*44/12</f>
        <v>0</v>
      </c>
      <c r="HJ124" s="24">
        <f t="shared" si="84"/>
        <v>0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4.0666666666666664</v>
      </c>
      <c r="N125" s="14">
        <f>IF('Données projet'!$A$36&gt;35,N124+M125-V124,IF(A125&lt;'Données projet'!$A$36,$K$205^A125,IF(A125='Données projet'!$A$36,'Données projet'!$B$36,N124+M125-V124)))</f>
        <v>313.1333333333331</v>
      </c>
      <c r="O125" s="14">
        <f>N125*VLOOKUP('Données projet'!$B$9,Paramètres!$A$1:$I$89,3,0)*VLOOKUP('Données projet'!$B$9,Paramètres!$A$1:$I$89,5,0)</f>
        <v>283.32303999999976</v>
      </c>
      <c r="P125" s="14">
        <f t="shared" si="87"/>
        <v>67.66877982898842</v>
      </c>
      <c r="Q125" s="22">
        <f t="shared" si="107"/>
        <v>611.31075286882106</v>
      </c>
      <c r="R125" s="62">
        <f t="shared" si="55"/>
        <v>904.64408620215431</v>
      </c>
      <c r="S125" s="62">
        <f ca="1">AVERAGE(OFFSET($R$3,0,0,'Données projet'!$E$9+1,1))-AVERAGE(OFFSET($H$3,0,0,'Données projet'!$E$9+1,1))</f>
        <v>512.84819850818667</v>
      </c>
      <c r="T125" s="62">
        <f t="shared" si="88"/>
        <v>332.61387922152159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-5.6843418860808015E-14</v>
      </c>
      <c r="AJ125" s="14">
        <f>AI125*VLOOKUP('Données projet'!$B$10,Paramètres!$A$1:$I$89,3,0)*VLOOKUP('Données projet'!$B$10,Paramètres!$A$1:$I$89,5,0)</f>
        <v>-4.1677594708744434E-14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344.45199703750711</v>
      </c>
      <c r="AO125" s="62">
        <f t="shared" si="90"/>
        <v>376.41441893222185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4.0666666666666664</v>
      </c>
      <c r="BD125" s="13">
        <f>IF('Données projet'!$A$88&gt;35,BD124+BC125-BL124,IF(A125&lt;'Données projet'!$A$88,$BA$205^A125,IF(A125='Données projet'!$A$88,'Données projet'!$B$88,BD124+BC125-BL124)))</f>
        <v>313.1333333333331</v>
      </c>
      <c r="BE125" s="14">
        <f>BD125*VLOOKUP('Données projet'!$B$11,Paramètres!$A$1:$I$89,3,0)*VLOOKUP('Données projet'!$B$11,Paramètres!$A$1:$I$89,5,0)</f>
        <v>317.51719999999978</v>
      </c>
      <c r="BF125" s="14">
        <f t="shared" si="91"/>
        <v>74.836524888350311</v>
      </c>
      <c r="BG125" s="22">
        <f t="shared" si="61"/>
        <v>683.34940418054293</v>
      </c>
      <c r="BH125" s="62">
        <f t="shared" si="62"/>
        <v>976.68273751387619</v>
      </c>
      <c r="BI125" s="62">
        <f ca="1">AVERAGE(OFFSET($BH$3,0,0,'Données projet'!$E$11+1,1))-AVERAGE(OFFSET($H$3,0,0,'Données projet'!$E$11+1,1))</f>
        <v>569.39473185784823</v>
      </c>
      <c r="BJ125" s="62">
        <f t="shared" si="92"/>
        <v>367.42881145517066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5</v>
      </c>
      <c r="BY125" s="13">
        <f>IF('Données projet'!$A$114&gt;35,BY124+BX125-CG124,IF(A125&lt;'Données projet'!$A$114,$BV$205^A125,IF(A125='Données projet'!$A$114,'Données projet'!$B$114,BY124+BX125-CG124)))</f>
        <v>421</v>
      </c>
      <c r="BZ125" s="14">
        <f>BY125*VLOOKUP('Données projet'!$B$12,Paramètres!$A$1:$I$89,3,0)*VLOOKUP('Données projet'!$B$12,Paramètres!$A$1:$I$89,5,0)</f>
        <v>361.21800000000002</v>
      </c>
      <c r="CA125" s="14">
        <f t="shared" si="93"/>
        <v>83.868155605284571</v>
      </c>
      <c r="CB125" s="22">
        <f t="shared" si="64"/>
        <v>775.19172101253741</v>
      </c>
      <c r="CC125" s="62">
        <f t="shared" si="65"/>
        <v>1068.5250543458708</v>
      </c>
      <c r="CD125" s="62">
        <f ca="1">AVERAGE(OFFSET($CC$3,0,0,'Données projet'!$E$12+1,1))-AVERAGE(OFFSET($H$3,0,0,'Données projet'!$E$12+1,1))</f>
        <v>554.06253050955502</v>
      </c>
      <c r="CE125" s="62">
        <f t="shared" si="94"/>
        <v>269.71949336355789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1.1368683772161603E-13</v>
      </c>
      <c r="CU125" s="18">
        <f>CT125*VLOOKUP('Données projet'!$B$13,Paramètres!$A$1:$I$89,3,0)*VLOOKUP('Données projet'!$B$13,Paramètres!$A$1:$I$89,5,0)</f>
        <v>8.8675733422860506E-14</v>
      </c>
      <c r="CV125" s="14">
        <f t="shared" si="95"/>
        <v>1.3509285393066301E-12</v>
      </c>
      <c r="CW125" s="22">
        <f t="shared" si="67"/>
        <v>2.5073107750038623E-12</v>
      </c>
      <c r="CX125" s="62">
        <f t="shared" si="68"/>
        <v>293.33333333333582</v>
      </c>
      <c r="CY125" s="62">
        <f ca="1">AVERAGE(OFFSET($CX$3,0,0,'Données projet'!$E$13+1,1))-AVERAGE(OFFSET($H$3,0,0,'Données projet'!$E$13+1,1))</f>
        <v>292.21364130214391</v>
      </c>
      <c r="CZ125" s="62">
        <f t="shared" si="96"/>
        <v>283.48738729114024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5.6843418860808015E-14</v>
      </c>
      <c r="DP125" s="18">
        <f>DO125*VLOOKUP('Données projet'!$B$14,Paramètres!$A$1:$I$89,3,0)*VLOOKUP('Données projet'!$B$14,Paramètres!$A$1:$I$89,5,0)</f>
        <v>5.4092197387944907E-14</v>
      </c>
      <c r="DQ125" s="14">
        <f t="shared" si="97"/>
        <v>8.7287050538073676E-13</v>
      </c>
      <c r="DR125" s="22">
        <f t="shared" si="70"/>
        <v>1.6144600406554537E-12</v>
      </c>
      <c r="DS125" s="62">
        <f t="shared" si="71"/>
        <v>293.33333333333491</v>
      </c>
      <c r="DT125" s="62">
        <f ca="1">AVERAGE(OFFSET($DS$3,0,0,'Données projet'!$E$14+1,1))-AVERAGE(OFFSET($H$3,0,0,'Données projet'!$E$14+1,1))</f>
        <v>427.47603885390191</v>
      </c>
      <c r="DU125" s="62">
        <f t="shared" si="98"/>
        <v>350.88664394632116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3.2</v>
      </c>
      <c r="EJ125" s="13">
        <f>IF('Données projet'!$A$192&gt;35,EJ124+EI125-ER124,IF(A125&lt;'Données projet'!$A$192,$EG$205^A125,IF(A125='Données projet'!$A$192,'Données projet'!$B$192,EJ124+EI125-ER124)))</f>
        <v>274.39999999999947</v>
      </c>
      <c r="EK125" s="18">
        <f>EJ125*VLOOKUP('Données projet'!$B$15,Paramètres!$A$1:$I$89,3,0)*VLOOKUP('Données projet'!$B$15,Paramètres!$A$1:$I$89,5,0)</f>
        <v>265.39967999999948</v>
      </c>
      <c r="EL125" s="14">
        <f t="shared" si="99"/>
        <v>63.87199095821434</v>
      </c>
      <c r="EM125" s="22">
        <f t="shared" si="73"/>
        <v>573.48149358555565</v>
      </c>
      <c r="EN125" s="62">
        <f t="shared" si="74"/>
        <v>866.81482691888891</v>
      </c>
      <c r="EO125" s="62">
        <f ca="1">AVERAGE(OFFSET($EN$3,0,0,'Données projet'!$E$15+1,1))-AVERAGE(OFFSET($H$3,0,0,'Données projet'!$E$15+1,1))</f>
        <v>455.50822833641354</v>
      </c>
      <c r="EP125" s="62">
        <f t="shared" si="100"/>
        <v>261.14722581688039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243</v>
      </c>
      <c r="FF125" s="18">
        <f>FE125*VLOOKUP('Données projet'!$B$16,Paramètres!$A$1:$I$89,3,0)*VLOOKUP('Données projet'!$B$16,Paramètres!$A$1:$I$89,5,0)</f>
        <v>212.28480000000002</v>
      </c>
      <c r="FG125" s="14">
        <f t="shared" si="101"/>
        <v>52.434557099704193</v>
      </c>
      <c r="FH125" s="22">
        <f t="shared" si="76"/>
        <v>461.05288028198476</v>
      </c>
      <c r="FI125" s="62">
        <f t="shared" si="77"/>
        <v>754.38621361531807</v>
      </c>
      <c r="FJ125" s="62">
        <f ca="1">AVERAGE(OFFSET($FI$3,0,0,'Données projet'!$E$16+1,1))-AVERAGE(OFFSET($H$3,0,0,'Données projet'!$E$16+1,1))</f>
        <v>369.34989412920129</v>
      </c>
      <c r="FK125" s="62">
        <f t="shared" si="102"/>
        <v>371.26234252426553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0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>
        <f>FZ125*VLOOKUP('Données projet'!$B$17,Paramètres!$A$1:$I$89,3,0)*VLOOKUP('Données projet'!$B$17,Paramètres!$A$1:$I$89,5,0)</f>
        <v>0</v>
      </c>
      <c r="GB125" s="14" t="e">
        <f t="shared" si="103"/>
        <v>#NUM!</v>
      </c>
      <c r="GC125" s="22" t="e">
        <f t="shared" si="79"/>
        <v>#NUM!</v>
      </c>
      <c r="GD125" s="62" t="e">
        <f t="shared" si="80"/>
        <v>#NUM!</v>
      </c>
      <c r="GE125" s="62">
        <f ca="1">AVERAGE(OFFSET($GD$3,0,0,'Données projet'!$E$17+1,1))-AVERAGE(OFFSET($H$3,0,0,'Données projet'!$E$17+1,1))</f>
        <v>324.4489531703187</v>
      </c>
      <c r="GF125" s="62">
        <f t="shared" si="104"/>
        <v>446.55019360848706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projet'!$B$17,Paramètres!$A$1:$I$89,3,0)*0.475*44/12</f>
        <v>0</v>
      </c>
      <c r="GM125" s="23">
        <f>EXP(-LN(2)/25)*GM124+(1-EXP(-LN(2)/25))/(LN(2)/25)*Calculateur!GH125*Calculateur!GJ125*VLOOKUP('Données projet'!$B$17,Paramètres!$A$1:$I$89,3,0)*0.475*44/12</f>
        <v>0</v>
      </c>
      <c r="GN125" s="23">
        <f>EXP(-LN(2)/2)*GN124+(1-EXP(-LN(2)/2))/(LN(2)/2)*GH125*GK125*VLOOKUP('Données projet'!$B$17,Paramètres!$A$1:$I$89,3,0)*0.475*44/12</f>
        <v>0</v>
      </c>
      <c r="GO125" s="23">
        <f t="shared" si="81"/>
        <v>0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1.7053025658242404E-13</v>
      </c>
      <c r="GV125" s="18">
        <f>GU125*VLOOKUP('Données projet'!$B$18,Paramètres!$A$1:$I$89,3,0)*VLOOKUP('Données projet'!$B$18,Paramètres!$A$1:$I$89,5,0)</f>
        <v>1.1439169611549005E-13</v>
      </c>
      <c r="GW125" s="14">
        <f t="shared" si="105"/>
        <v>1.6918016515029816E-12</v>
      </c>
      <c r="GX125" s="22">
        <f t="shared" si="82"/>
        <v>3.1457867471021712E-12</v>
      </c>
      <c r="GY125" s="62">
        <f t="shared" si="83"/>
        <v>293.33333333333644</v>
      </c>
      <c r="GZ125" s="62">
        <f ca="1">AVERAGE(OFFSET($GY$3,0,0,'Données projet'!$E$18+1,1))-AVERAGE(OFFSET($H$3,0,0,'Données projet'!$E$18+1,1))</f>
        <v>312.06797204903796</v>
      </c>
      <c r="HA125" s="62">
        <f t="shared" si="106"/>
        <v>258.20189001775151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>
        <f>EXP(-LN(2)/35)*HG124+(1-EXP(-LN(2)/35))/(LN(2)/35)*HC125*HD125*VLOOKUP('Données projet'!$B$18,Paramètres!$A$1:$I$89,3,0)*0.475*44/12</f>
        <v>0</v>
      </c>
      <c r="HH125" s="23">
        <f>EXP(-LN(2)/25)*HH124+(1-EXP(-LN(2)/25))/(LN(2)/25)*Calculateur!HC125*Calculateur!HE125*VLOOKUP('Données projet'!$B$18,Paramètres!$A$1:$I$89,3,0)*0.475*44/12</f>
        <v>0</v>
      </c>
      <c r="HI125" s="23">
        <f>EXP(-LN(2)/2)*HI124+(1-EXP(-LN(2)/2))/(LN(2)/2)*HC125*HF125*VLOOKUP('Données projet'!$B$18,Paramètres!$A$1:$I$89,3,0)*0.475*44/12</f>
        <v>0</v>
      </c>
      <c r="HJ125" s="24">
        <f t="shared" si="84"/>
        <v>0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4.0666666666666664</v>
      </c>
      <c r="N126" s="14">
        <f>IF('Données projet'!$A$36&gt;35,N125+M126-V125,IF(A126&lt;'Données projet'!$A$36,$K$205^A126,IF(A126='Données projet'!$A$36,'Données projet'!$B$36,N125+M126-V125)))</f>
        <v>317.19999999999976</v>
      </c>
      <c r="O126" s="14">
        <f>N126*VLOOKUP('Données projet'!$B$9,Paramètres!$A$1:$I$89,3,0)*VLOOKUP('Données projet'!$B$9,Paramètres!$A$1:$I$89,5,0)</f>
        <v>287.00255999999979</v>
      </c>
      <c r="P126" s="14">
        <f t="shared" si="87"/>
        <v>68.444716936118553</v>
      </c>
      <c r="Q126" s="22">
        <f t="shared" si="107"/>
        <v>619.07067399707273</v>
      </c>
      <c r="R126" s="62">
        <f t="shared" si="55"/>
        <v>912.4040073304061</v>
      </c>
      <c r="S126" s="62">
        <f ca="1">AVERAGE(OFFSET($R$3,0,0,'Données projet'!$E$9+1,1))-AVERAGE(OFFSET($H$3,0,0,'Données projet'!$E$9+1,1))</f>
        <v>512.84819850818667</v>
      </c>
      <c r="T126" s="62">
        <f t="shared" si="88"/>
        <v>332.61387922152159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-5.6843418860808015E-14</v>
      </c>
      <c r="AJ126" s="14">
        <f>AI126*VLOOKUP('Données projet'!$B$10,Paramètres!$A$1:$I$89,3,0)*VLOOKUP('Données projet'!$B$10,Paramètres!$A$1:$I$89,5,0)</f>
        <v>-4.1677594708744434E-14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344.45199703750711</v>
      </c>
      <c r="AO126" s="62">
        <f t="shared" si="90"/>
        <v>376.41441893222185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4.0666666666666664</v>
      </c>
      <c r="BD126" s="13">
        <f>IF('Données projet'!$A$88&gt;35,BD125+BC126-BL125,IF(A126&lt;'Données projet'!$A$88,$BA$205^A126,IF(A126='Données projet'!$A$88,'Données projet'!$B$88,BD125+BC126-BL125)))</f>
        <v>317.19999999999976</v>
      </c>
      <c r="BE126" s="14">
        <f>BD126*VLOOKUP('Données projet'!$B$11,Paramètres!$A$1:$I$89,3,0)*VLOOKUP('Données projet'!$B$11,Paramètres!$A$1:$I$89,5,0)</f>
        <v>321.64079999999979</v>
      </c>
      <c r="BF126" s="14">
        <f t="shared" si="91"/>
        <v>75.694652325793157</v>
      </c>
      <c r="BG126" s="22">
        <f t="shared" si="61"/>
        <v>692.02591280075603</v>
      </c>
      <c r="BH126" s="62">
        <f t="shared" si="62"/>
        <v>985.35924613408929</v>
      </c>
      <c r="BI126" s="62">
        <f ca="1">AVERAGE(OFFSET($BH$3,0,0,'Données projet'!$E$11+1,1))-AVERAGE(OFFSET($H$3,0,0,'Données projet'!$E$11+1,1))</f>
        <v>569.39473185784823</v>
      </c>
      <c r="BJ126" s="62">
        <f t="shared" si="92"/>
        <v>367.42881145517066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5</v>
      </c>
      <c r="BY126" s="13">
        <f>IF('Données projet'!$A$114&gt;35,BY125+BX126-CG125,IF(A126&lt;'Données projet'!$A$114,$BV$205^A126,IF(A126='Données projet'!$A$114,'Données projet'!$B$114,BY125+BX126-CG125)))</f>
        <v>426</v>
      </c>
      <c r="BZ126" s="14">
        <f>BY126*VLOOKUP('Données projet'!$B$12,Paramètres!$A$1:$I$89,3,0)*VLOOKUP('Données projet'!$B$12,Paramètres!$A$1:$I$89,5,0)</f>
        <v>365.50800000000004</v>
      </c>
      <c r="CA126" s="14">
        <f t="shared" si="93"/>
        <v>84.747667534292106</v>
      </c>
      <c r="CB126" s="22">
        <f t="shared" si="64"/>
        <v>784.19528762222535</v>
      </c>
      <c r="CC126" s="62">
        <f t="shared" si="65"/>
        <v>1077.5286209555586</v>
      </c>
      <c r="CD126" s="62">
        <f ca="1">AVERAGE(OFFSET($CC$3,0,0,'Données projet'!$E$12+1,1))-AVERAGE(OFFSET($H$3,0,0,'Données projet'!$E$12+1,1))</f>
        <v>554.06253050955502</v>
      </c>
      <c r="CE126" s="62">
        <f t="shared" si="94"/>
        <v>269.71949336355789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1.1368683772161603E-13</v>
      </c>
      <c r="CU126" s="18">
        <f>CT126*VLOOKUP('Données projet'!$B$13,Paramètres!$A$1:$I$89,3,0)*VLOOKUP('Données projet'!$B$13,Paramètres!$A$1:$I$89,5,0)</f>
        <v>8.8675733422860506E-14</v>
      </c>
      <c r="CV126" s="14">
        <f t="shared" si="95"/>
        <v>1.3509285393066301E-12</v>
      </c>
      <c r="CW126" s="22">
        <f t="shared" si="67"/>
        <v>2.5073107750038623E-12</v>
      </c>
      <c r="CX126" s="62">
        <f t="shared" si="68"/>
        <v>293.33333333333582</v>
      </c>
      <c r="CY126" s="62">
        <f ca="1">AVERAGE(OFFSET($CX$3,0,0,'Données projet'!$E$13+1,1))-AVERAGE(OFFSET($H$3,0,0,'Données projet'!$E$13+1,1))</f>
        <v>292.21364130214391</v>
      </c>
      <c r="CZ126" s="62">
        <f t="shared" si="96"/>
        <v>283.48738729114024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5.6843418860808015E-14</v>
      </c>
      <c r="DP126" s="18">
        <f>DO126*VLOOKUP('Données projet'!$B$14,Paramètres!$A$1:$I$89,3,0)*VLOOKUP('Données projet'!$B$14,Paramètres!$A$1:$I$89,5,0)</f>
        <v>5.4092197387944907E-14</v>
      </c>
      <c r="DQ126" s="14">
        <f t="shared" si="97"/>
        <v>8.7287050538073676E-13</v>
      </c>
      <c r="DR126" s="22">
        <f t="shared" si="70"/>
        <v>1.6144600406554537E-12</v>
      </c>
      <c r="DS126" s="62">
        <f t="shared" si="71"/>
        <v>293.33333333333491</v>
      </c>
      <c r="DT126" s="62">
        <f ca="1">AVERAGE(OFFSET($DS$3,0,0,'Données projet'!$E$14+1,1))-AVERAGE(OFFSET($H$3,0,0,'Données projet'!$E$14+1,1))</f>
        <v>427.47603885390191</v>
      </c>
      <c r="DU126" s="62">
        <f t="shared" si="98"/>
        <v>350.88664394632116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3.2</v>
      </c>
      <c r="EJ126" s="13">
        <f>IF('Données projet'!$A$192&gt;35,EJ125+EI126-ER125,IF(A126&lt;'Données projet'!$A$192,$EG$205^A126,IF(A126='Données projet'!$A$192,'Données projet'!$B$192,EJ125+EI126-ER125)))</f>
        <v>277.59999999999945</v>
      </c>
      <c r="EK126" s="18">
        <f>EJ126*VLOOKUP('Données projet'!$B$15,Paramètres!$A$1:$I$89,3,0)*VLOOKUP('Données projet'!$B$15,Paramètres!$A$1:$I$89,5,0)</f>
        <v>268.49471999999946</v>
      </c>
      <c r="EL126" s="14">
        <f t="shared" si="99"/>
        <v>64.529707010294615</v>
      </c>
      <c r="EM126" s="22">
        <f t="shared" si="73"/>
        <v>580.01754370959543</v>
      </c>
      <c r="EN126" s="62">
        <f t="shared" si="74"/>
        <v>873.35087704292869</v>
      </c>
      <c r="EO126" s="62">
        <f ca="1">AVERAGE(OFFSET($EN$3,0,0,'Données projet'!$E$15+1,1))-AVERAGE(OFFSET($H$3,0,0,'Données projet'!$E$15+1,1))</f>
        <v>455.50822833641354</v>
      </c>
      <c r="EP126" s="62">
        <f t="shared" si="100"/>
        <v>261.14722581688039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243</v>
      </c>
      <c r="FF126" s="18">
        <f>FE126*VLOOKUP('Données projet'!$B$16,Paramètres!$A$1:$I$89,3,0)*VLOOKUP('Données projet'!$B$16,Paramètres!$A$1:$I$89,5,0)</f>
        <v>212.28480000000002</v>
      </c>
      <c r="FG126" s="14">
        <f t="shared" si="101"/>
        <v>52.434557099704193</v>
      </c>
      <c r="FH126" s="22">
        <f t="shared" si="76"/>
        <v>461.05288028198476</v>
      </c>
      <c r="FI126" s="62">
        <f t="shared" si="77"/>
        <v>754.38621361531807</v>
      </c>
      <c r="FJ126" s="62">
        <f ca="1">AVERAGE(OFFSET($FI$3,0,0,'Données projet'!$E$16+1,1))-AVERAGE(OFFSET($H$3,0,0,'Données projet'!$E$16+1,1))</f>
        <v>369.34989412920129</v>
      </c>
      <c r="FK126" s="62">
        <f t="shared" si="102"/>
        <v>371.26234252426553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0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>
        <f>FZ126*VLOOKUP('Données projet'!$B$17,Paramètres!$A$1:$I$89,3,0)*VLOOKUP('Données projet'!$B$17,Paramètres!$A$1:$I$89,5,0)</f>
        <v>0</v>
      </c>
      <c r="GB126" s="14" t="e">
        <f t="shared" si="103"/>
        <v>#NUM!</v>
      </c>
      <c r="GC126" s="22" t="e">
        <f t="shared" si="79"/>
        <v>#NUM!</v>
      </c>
      <c r="GD126" s="62" t="e">
        <f t="shared" si="80"/>
        <v>#NUM!</v>
      </c>
      <c r="GE126" s="62">
        <f ca="1">AVERAGE(OFFSET($GD$3,0,0,'Données projet'!$E$17+1,1))-AVERAGE(OFFSET($H$3,0,0,'Données projet'!$E$17+1,1))</f>
        <v>324.4489531703187</v>
      </c>
      <c r="GF126" s="62">
        <f t="shared" si="104"/>
        <v>446.55019360848706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projet'!$B$17,Paramètres!$A$1:$I$89,3,0)*0.475*44/12</f>
        <v>0</v>
      </c>
      <c r="GM126" s="23">
        <f>EXP(-LN(2)/25)*GM125+(1-EXP(-LN(2)/25))/(LN(2)/25)*Calculateur!GH126*Calculateur!GJ126*VLOOKUP('Données projet'!$B$17,Paramètres!$A$1:$I$89,3,0)*0.475*44/12</f>
        <v>0</v>
      </c>
      <c r="GN126" s="23">
        <f>EXP(-LN(2)/2)*GN125+(1-EXP(-LN(2)/2))/(LN(2)/2)*GH126*GK126*VLOOKUP('Données projet'!$B$17,Paramètres!$A$1:$I$89,3,0)*0.475*44/12</f>
        <v>0</v>
      </c>
      <c r="GO126" s="23">
        <f t="shared" si="81"/>
        <v>0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1.7053025658242404E-13</v>
      </c>
      <c r="GV126" s="18">
        <f>GU126*VLOOKUP('Données projet'!$B$18,Paramètres!$A$1:$I$89,3,0)*VLOOKUP('Données projet'!$B$18,Paramètres!$A$1:$I$89,5,0)</f>
        <v>1.1439169611549005E-13</v>
      </c>
      <c r="GW126" s="14">
        <f t="shared" si="105"/>
        <v>1.6918016515029816E-12</v>
      </c>
      <c r="GX126" s="22">
        <f t="shared" si="82"/>
        <v>3.1457867471021712E-12</v>
      </c>
      <c r="GY126" s="62">
        <f t="shared" si="83"/>
        <v>293.33333333333644</v>
      </c>
      <c r="GZ126" s="62">
        <f ca="1">AVERAGE(OFFSET($GY$3,0,0,'Données projet'!$E$18+1,1))-AVERAGE(OFFSET($H$3,0,0,'Données projet'!$E$18+1,1))</f>
        <v>312.06797204903796</v>
      </c>
      <c r="HA126" s="62">
        <f t="shared" si="106"/>
        <v>258.20189001775151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>
        <f>EXP(-LN(2)/35)*HG125+(1-EXP(-LN(2)/35))/(LN(2)/35)*HC126*HD126*VLOOKUP('Données projet'!$B$18,Paramètres!$A$1:$I$89,3,0)*0.475*44/12</f>
        <v>0</v>
      </c>
      <c r="HH126" s="23">
        <f>EXP(-LN(2)/25)*HH125+(1-EXP(-LN(2)/25))/(LN(2)/25)*Calculateur!HC126*Calculateur!HE126*VLOOKUP('Données projet'!$B$18,Paramètres!$A$1:$I$89,3,0)*0.475*44/12</f>
        <v>0</v>
      </c>
      <c r="HI126" s="23">
        <f>EXP(-LN(2)/2)*HI125+(1-EXP(-LN(2)/2))/(LN(2)/2)*HC126*HF126*VLOOKUP('Données projet'!$B$18,Paramètres!$A$1:$I$89,3,0)*0.475*44/12</f>
        <v>0</v>
      </c>
      <c r="HJ126" s="24">
        <f t="shared" si="84"/>
        <v>0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4.0666666666666664</v>
      </c>
      <c r="N127" s="14">
        <f>IF('Données projet'!$A$36&gt;35,N126+M127-V126,IF(A127&lt;'Données projet'!$A$36,$K$205^A127,IF(A127='Données projet'!$A$36,'Données projet'!$B$36,N126+M127-V126)))</f>
        <v>321.26666666666642</v>
      </c>
      <c r="O127" s="14">
        <f>N127*VLOOKUP('Données projet'!$B$9,Paramètres!$A$1:$I$89,3,0)*VLOOKUP('Données projet'!$B$9,Paramètres!$A$1:$I$89,5,0)</f>
        <v>290.68207999999976</v>
      </c>
      <c r="P127" s="14">
        <f t="shared" si="87"/>
        <v>69.219496936385212</v>
      </c>
      <c r="Q127" s="22">
        <f t="shared" si="107"/>
        <v>626.82857983087058</v>
      </c>
      <c r="R127" s="62">
        <f t="shared" si="55"/>
        <v>920.16191316420395</v>
      </c>
      <c r="S127" s="62">
        <f ca="1">AVERAGE(OFFSET($R$3,0,0,'Données projet'!$E$9+1,1))-AVERAGE(OFFSET($H$3,0,0,'Données projet'!$E$9+1,1))</f>
        <v>512.84819850818667</v>
      </c>
      <c r="T127" s="62">
        <f t="shared" si="88"/>
        <v>332.61387922152159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-5.6843418860808015E-14</v>
      </c>
      <c r="AJ127" s="14">
        <f>AI127*VLOOKUP('Données projet'!$B$10,Paramètres!$A$1:$I$89,3,0)*VLOOKUP('Données projet'!$B$10,Paramètres!$A$1:$I$89,5,0)</f>
        <v>-4.1677594708744434E-14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344.45199703750711</v>
      </c>
      <c r="AO127" s="62">
        <f t="shared" si="90"/>
        <v>376.41441893222185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4.0666666666666664</v>
      </c>
      <c r="BD127" s="13">
        <f>IF('Données projet'!$A$88&gt;35,BD126+BC127-BL126,IF(A127&lt;'Données projet'!$A$88,$BA$205^A127,IF(A127='Données projet'!$A$88,'Données projet'!$B$88,BD126+BC127-BL126)))</f>
        <v>321.26666666666642</v>
      </c>
      <c r="BE127" s="14">
        <f>BD127*VLOOKUP('Données projet'!$B$11,Paramètres!$A$1:$I$89,3,0)*VLOOKUP('Données projet'!$B$11,Paramètres!$A$1:$I$89,5,0)</f>
        <v>325.7643999999998</v>
      </c>
      <c r="BF127" s="14">
        <f t="shared" si="91"/>
        <v>76.551500091032636</v>
      </c>
      <c r="BG127" s="22">
        <f t="shared" si="61"/>
        <v>700.70019265854808</v>
      </c>
      <c r="BH127" s="62">
        <f t="shared" si="62"/>
        <v>994.03352599188133</v>
      </c>
      <c r="BI127" s="62">
        <f ca="1">AVERAGE(OFFSET($BH$3,0,0,'Données projet'!$E$11+1,1))-AVERAGE(OFFSET($H$3,0,0,'Données projet'!$E$11+1,1))</f>
        <v>569.39473185784823</v>
      </c>
      <c r="BJ127" s="62">
        <f t="shared" si="92"/>
        <v>367.42881145517066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5</v>
      </c>
      <c r="BY127" s="13">
        <f>IF('Données projet'!$A$114&gt;35,BY126+BX127-CG126,IF(A127&lt;'Données projet'!$A$114,$BV$205^A127,IF(A127='Données projet'!$A$114,'Données projet'!$B$114,BY126+BX127-CG126)))</f>
        <v>431</v>
      </c>
      <c r="BZ127" s="14">
        <f>BY127*VLOOKUP('Données projet'!$B$12,Paramètres!$A$1:$I$89,3,0)*VLOOKUP('Données projet'!$B$12,Paramètres!$A$1:$I$89,5,0)</f>
        <v>369.79800000000006</v>
      </c>
      <c r="CA127" s="14">
        <f t="shared" si="93"/>
        <v>85.625978667852522</v>
      </c>
      <c r="CB127" s="22">
        <f t="shared" si="64"/>
        <v>793.19676284650984</v>
      </c>
      <c r="CC127" s="62">
        <f t="shared" si="65"/>
        <v>1086.5300961798432</v>
      </c>
      <c r="CD127" s="62">
        <f ca="1">AVERAGE(OFFSET($CC$3,0,0,'Données projet'!$E$12+1,1))-AVERAGE(OFFSET($H$3,0,0,'Données projet'!$E$12+1,1))</f>
        <v>554.06253050955502</v>
      </c>
      <c r="CE127" s="62">
        <f t="shared" si="94"/>
        <v>269.71949336355789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1.1368683772161603E-13</v>
      </c>
      <c r="CU127" s="18">
        <f>CT127*VLOOKUP('Données projet'!$B$13,Paramètres!$A$1:$I$89,3,0)*VLOOKUP('Données projet'!$B$13,Paramètres!$A$1:$I$89,5,0)</f>
        <v>8.8675733422860506E-14</v>
      </c>
      <c r="CV127" s="14">
        <f t="shared" si="95"/>
        <v>1.3509285393066301E-12</v>
      </c>
      <c r="CW127" s="22">
        <f t="shared" si="67"/>
        <v>2.5073107750038623E-12</v>
      </c>
      <c r="CX127" s="62">
        <f t="shared" si="68"/>
        <v>293.33333333333582</v>
      </c>
      <c r="CY127" s="62">
        <f ca="1">AVERAGE(OFFSET($CX$3,0,0,'Données projet'!$E$13+1,1))-AVERAGE(OFFSET($H$3,0,0,'Données projet'!$E$13+1,1))</f>
        <v>292.21364130214391</v>
      </c>
      <c r="CZ127" s="62">
        <f t="shared" si="96"/>
        <v>283.48738729114024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5.6843418860808015E-14</v>
      </c>
      <c r="DP127" s="18">
        <f>DO127*VLOOKUP('Données projet'!$B$14,Paramètres!$A$1:$I$89,3,0)*VLOOKUP('Données projet'!$B$14,Paramètres!$A$1:$I$89,5,0)</f>
        <v>5.4092197387944907E-14</v>
      </c>
      <c r="DQ127" s="14">
        <f t="shared" si="97"/>
        <v>8.7287050538073676E-13</v>
      </c>
      <c r="DR127" s="22">
        <f t="shared" si="70"/>
        <v>1.6144600406554537E-12</v>
      </c>
      <c r="DS127" s="62">
        <f t="shared" si="71"/>
        <v>293.33333333333491</v>
      </c>
      <c r="DT127" s="62">
        <f ca="1">AVERAGE(OFFSET($DS$3,0,0,'Données projet'!$E$14+1,1))-AVERAGE(OFFSET($H$3,0,0,'Données projet'!$E$14+1,1))</f>
        <v>427.47603885390191</v>
      </c>
      <c r="DU127" s="62">
        <f t="shared" si="98"/>
        <v>350.88664394632116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3.2</v>
      </c>
      <c r="EJ127" s="13">
        <f>IF('Données projet'!$A$192&gt;35,EJ126+EI127-ER126,IF(A127&lt;'Données projet'!$A$192,$EG$205^A127,IF(A127='Données projet'!$A$192,'Données projet'!$B$192,EJ126+EI127-ER126)))</f>
        <v>280.79999999999944</v>
      </c>
      <c r="EK127" s="18">
        <f>EJ127*VLOOKUP('Données projet'!$B$15,Paramètres!$A$1:$I$89,3,0)*VLOOKUP('Données projet'!$B$15,Paramètres!$A$1:$I$89,5,0)</f>
        <v>271.5897599999995</v>
      </c>
      <c r="EL127" s="14">
        <f t="shared" si="99"/>
        <v>65.186541118848012</v>
      </c>
      <c r="EM127" s="22">
        <f t="shared" si="73"/>
        <v>586.55205778199274</v>
      </c>
      <c r="EN127" s="62">
        <f t="shared" si="74"/>
        <v>879.885391115326</v>
      </c>
      <c r="EO127" s="62">
        <f ca="1">AVERAGE(OFFSET($EN$3,0,0,'Données projet'!$E$15+1,1))-AVERAGE(OFFSET($H$3,0,0,'Données projet'!$E$15+1,1))</f>
        <v>455.50822833641354</v>
      </c>
      <c r="EP127" s="62">
        <f t="shared" si="100"/>
        <v>261.14722581688039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243</v>
      </c>
      <c r="FF127" s="18">
        <f>FE127*VLOOKUP('Données projet'!$B$16,Paramètres!$A$1:$I$89,3,0)*VLOOKUP('Données projet'!$B$16,Paramètres!$A$1:$I$89,5,0)</f>
        <v>212.28480000000002</v>
      </c>
      <c r="FG127" s="14">
        <f t="shared" si="101"/>
        <v>52.434557099704193</v>
      </c>
      <c r="FH127" s="22">
        <f t="shared" si="76"/>
        <v>461.05288028198476</v>
      </c>
      <c r="FI127" s="62">
        <f t="shared" si="77"/>
        <v>754.38621361531807</v>
      </c>
      <c r="FJ127" s="62">
        <f ca="1">AVERAGE(OFFSET($FI$3,0,0,'Données projet'!$E$16+1,1))-AVERAGE(OFFSET($H$3,0,0,'Données projet'!$E$16+1,1))</f>
        <v>369.34989412920129</v>
      </c>
      <c r="FK127" s="62">
        <f t="shared" si="102"/>
        <v>371.26234252426553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0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>
        <f>FZ127*VLOOKUP('Données projet'!$B$17,Paramètres!$A$1:$I$89,3,0)*VLOOKUP('Données projet'!$B$17,Paramètres!$A$1:$I$89,5,0)</f>
        <v>0</v>
      </c>
      <c r="GB127" s="14" t="e">
        <f t="shared" si="103"/>
        <v>#NUM!</v>
      </c>
      <c r="GC127" s="22" t="e">
        <f t="shared" si="79"/>
        <v>#NUM!</v>
      </c>
      <c r="GD127" s="62" t="e">
        <f t="shared" si="80"/>
        <v>#NUM!</v>
      </c>
      <c r="GE127" s="62">
        <f ca="1">AVERAGE(OFFSET($GD$3,0,0,'Données projet'!$E$17+1,1))-AVERAGE(OFFSET($H$3,0,0,'Données projet'!$E$17+1,1))</f>
        <v>324.4489531703187</v>
      </c>
      <c r="GF127" s="62">
        <f t="shared" si="104"/>
        <v>446.55019360848706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projet'!$B$17,Paramètres!$A$1:$I$89,3,0)*0.475*44/12</f>
        <v>0</v>
      </c>
      <c r="GM127" s="23">
        <f>EXP(-LN(2)/25)*GM126+(1-EXP(-LN(2)/25))/(LN(2)/25)*Calculateur!GH127*Calculateur!GJ127*VLOOKUP('Données projet'!$B$17,Paramètres!$A$1:$I$89,3,0)*0.475*44/12</f>
        <v>0</v>
      </c>
      <c r="GN127" s="23">
        <f>EXP(-LN(2)/2)*GN126+(1-EXP(-LN(2)/2))/(LN(2)/2)*GH127*GK127*VLOOKUP('Données projet'!$B$17,Paramètres!$A$1:$I$89,3,0)*0.475*44/12</f>
        <v>0</v>
      </c>
      <c r="GO127" s="23">
        <f t="shared" si="81"/>
        <v>0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1.7053025658242404E-13</v>
      </c>
      <c r="GV127" s="18">
        <f>GU127*VLOOKUP('Données projet'!$B$18,Paramètres!$A$1:$I$89,3,0)*VLOOKUP('Données projet'!$B$18,Paramètres!$A$1:$I$89,5,0)</f>
        <v>1.1439169611549005E-13</v>
      </c>
      <c r="GW127" s="14">
        <f t="shared" si="105"/>
        <v>1.6918016515029816E-12</v>
      </c>
      <c r="GX127" s="22">
        <f t="shared" si="82"/>
        <v>3.1457867471021712E-12</v>
      </c>
      <c r="GY127" s="62">
        <f t="shared" si="83"/>
        <v>293.33333333333644</v>
      </c>
      <c r="GZ127" s="62">
        <f ca="1">AVERAGE(OFFSET($GY$3,0,0,'Données projet'!$E$18+1,1))-AVERAGE(OFFSET($H$3,0,0,'Données projet'!$E$18+1,1))</f>
        <v>312.06797204903796</v>
      </c>
      <c r="HA127" s="62">
        <f t="shared" si="106"/>
        <v>258.20189001775151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>
        <f>EXP(-LN(2)/35)*HG126+(1-EXP(-LN(2)/35))/(LN(2)/35)*HC127*HD127*VLOOKUP('Données projet'!$B$18,Paramètres!$A$1:$I$89,3,0)*0.475*44/12</f>
        <v>0</v>
      </c>
      <c r="HH127" s="23">
        <f>EXP(-LN(2)/25)*HH126+(1-EXP(-LN(2)/25))/(LN(2)/25)*Calculateur!HC127*Calculateur!HE127*VLOOKUP('Données projet'!$B$18,Paramètres!$A$1:$I$89,3,0)*0.475*44/12</f>
        <v>0</v>
      </c>
      <c r="HI127" s="23">
        <f>EXP(-LN(2)/2)*HI126+(1-EXP(-LN(2)/2))/(LN(2)/2)*HC127*HF127*VLOOKUP('Données projet'!$B$18,Paramètres!$A$1:$I$89,3,0)*0.475*44/12</f>
        <v>0</v>
      </c>
      <c r="HJ127" s="24">
        <f t="shared" si="84"/>
        <v>0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4.0666666666666664</v>
      </c>
      <c r="N128" s="14">
        <f>IF('Données projet'!$A$36&gt;35,N127+M128-V127,IF(A128&lt;'Données projet'!$A$36,$K$205^A128,IF(A128='Données projet'!$A$36,'Données projet'!$B$36,N127+M128-V127)))</f>
        <v>325.33333333333309</v>
      </c>
      <c r="O128" s="14">
        <f>N128*VLOOKUP('Données projet'!$B$9,Paramètres!$A$1:$I$89,3,0)*VLOOKUP('Données projet'!$B$9,Paramètres!$A$1:$I$89,5,0)</f>
        <v>294.36159999999978</v>
      </c>
      <c r="P128" s="14">
        <f t="shared" si="87"/>
        <v>69.993136170449532</v>
      </c>
      <c r="Q128" s="22">
        <f t="shared" si="107"/>
        <v>634.58449883019921</v>
      </c>
      <c r="R128" s="62">
        <f t="shared" si="55"/>
        <v>927.91783216353247</v>
      </c>
      <c r="S128" s="62">
        <f ca="1">AVERAGE(OFFSET($R$3,0,0,'Données projet'!$E$9+1,1))-AVERAGE(OFFSET($H$3,0,0,'Données projet'!$E$9+1,1))</f>
        <v>512.84819850818667</v>
      </c>
      <c r="T128" s="62">
        <f t="shared" si="88"/>
        <v>332.61387922152159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-5.6843418860808015E-14</v>
      </c>
      <c r="AJ128" s="14">
        <f>AI128*VLOOKUP('Données projet'!$B$10,Paramètres!$A$1:$I$89,3,0)*VLOOKUP('Données projet'!$B$10,Paramètres!$A$1:$I$89,5,0)</f>
        <v>-4.1677594708744434E-14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344.45199703750711</v>
      </c>
      <c r="AO128" s="62">
        <f t="shared" si="90"/>
        <v>376.41441893222185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4.0666666666666664</v>
      </c>
      <c r="BD128" s="13">
        <f>IF('Données projet'!$A$88&gt;35,BD127+BC128-BL127,IF(A128&lt;'Données projet'!$A$88,$BA$205^A128,IF(A128='Données projet'!$A$88,'Données projet'!$B$88,BD127+BC128-BL127)))</f>
        <v>325.33333333333309</v>
      </c>
      <c r="BE128" s="14">
        <f>BD128*VLOOKUP('Données projet'!$B$11,Paramètres!$A$1:$I$89,3,0)*VLOOKUP('Données projet'!$B$11,Paramètres!$A$1:$I$89,5,0)</f>
        <v>329.88799999999981</v>
      </c>
      <c r="BF128" s="14">
        <f t="shared" si="91"/>
        <v>77.407086255597363</v>
      </c>
      <c r="BG128" s="22">
        <f t="shared" si="61"/>
        <v>709.37227522849844</v>
      </c>
      <c r="BH128" s="62">
        <f t="shared" si="62"/>
        <v>1002.7056085618317</v>
      </c>
      <c r="BI128" s="62">
        <f ca="1">AVERAGE(OFFSET($BH$3,0,0,'Données projet'!$E$11+1,1))-AVERAGE(OFFSET($H$3,0,0,'Données projet'!$E$11+1,1))</f>
        <v>569.39473185784823</v>
      </c>
      <c r="BJ128" s="62">
        <f t="shared" si="92"/>
        <v>367.42881145517066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5</v>
      </c>
      <c r="BY128" s="13">
        <f>IF('Données projet'!$A$114&gt;35,BY127+BX128-CG127,IF(A128&lt;'Données projet'!$A$114,$BV$205^A128,IF(A128='Données projet'!$A$114,'Données projet'!$B$114,BY127+BX128-CG127)))</f>
        <v>436</v>
      </c>
      <c r="BZ128" s="14">
        <f>BY128*VLOOKUP('Données projet'!$B$12,Paramètres!$A$1:$I$89,3,0)*VLOOKUP('Données projet'!$B$12,Paramètres!$A$1:$I$89,5,0)</f>
        <v>374.08800000000002</v>
      </c>
      <c r="CA128" s="14">
        <f t="shared" si="93"/>
        <v>86.503104548004657</v>
      </c>
      <c r="CB128" s="22">
        <f t="shared" si="64"/>
        <v>802.19617375444147</v>
      </c>
      <c r="CC128" s="62">
        <f t="shared" si="65"/>
        <v>1095.5295070877748</v>
      </c>
      <c r="CD128" s="62">
        <f ca="1">AVERAGE(OFFSET($CC$3,0,0,'Données projet'!$E$12+1,1))-AVERAGE(OFFSET($H$3,0,0,'Données projet'!$E$12+1,1))</f>
        <v>554.06253050955502</v>
      </c>
      <c r="CE128" s="62">
        <f t="shared" si="94"/>
        <v>269.71949336355789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1.1368683772161603E-13</v>
      </c>
      <c r="CU128" s="18">
        <f>CT128*VLOOKUP('Données projet'!$B$13,Paramètres!$A$1:$I$89,3,0)*VLOOKUP('Données projet'!$B$13,Paramètres!$A$1:$I$89,5,0)</f>
        <v>8.8675733422860506E-14</v>
      </c>
      <c r="CV128" s="14">
        <f t="shared" si="95"/>
        <v>1.3509285393066301E-12</v>
      </c>
      <c r="CW128" s="22">
        <f t="shared" si="67"/>
        <v>2.5073107750038623E-12</v>
      </c>
      <c r="CX128" s="62">
        <f t="shared" si="68"/>
        <v>293.33333333333582</v>
      </c>
      <c r="CY128" s="62">
        <f ca="1">AVERAGE(OFFSET($CX$3,0,0,'Données projet'!$E$13+1,1))-AVERAGE(OFFSET($H$3,0,0,'Données projet'!$E$13+1,1))</f>
        <v>292.21364130214391</v>
      </c>
      <c r="CZ128" s="62">
        <f t="shared" si="96"/>
        <v>283.48738729114024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5.6843418860808015E-14</v>
      </c>
      <c r="DP128" s="18">
        <f>DO128*VLOOKUP('Données projet'!$B$14,Paramètres!$A$1:$I$89,3,0)*VLOOKUP('Données projet'!$B$14,Paramètres!$A$1:$I$89,5,0)</f>
        <v>5.4092197387944907E-14</v>
      </c>
      <c r="DQ128" s="14">
        <f t="shared" si="97"/>
        <v>8.7287050538073676E-13</v>
      </c>
      <c r="DR128" s="22">
        <f t="shared" si="70"/>
        <v>1.6144600406554537E-12</v>
      </c>
      <c r="DS128" s="62">
        <f t="shared" si="71"/>
        <v>293.33333333333491</v>
      </c>
      <c r="DT128" s="62">
        <f ca="1">AVERAGE(OFFSET($DS$3,0,0,'Données projet'!$E$14+1,1))-AVERAGE(OFFSET($H$3,0,0,'Données projet'!$E$14+1,1))</f>
        <v>427.47603885390191</v>
      </c>
      <c r="DU128" s="62">
        <f t="shared" si="98"/>
        <v>350.88664394632116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3.2</v>
      </c>
      <c r="EJ128" s="13">
        <f>IF('Données projet'!$A$192&gt;35,EJ127+EI128-ER127,IF(A128&lt;'Données projet'!$A$192,$EG$205^A128,IF(A128='Données projet'!$A$192,'Données projet'!$B$192,EJ127+EI128-ER127)))</f>
        <v>283.99999999999943</v>
      </c>
      <c r="EK128" s="18">
        <f>EJ128*VLOOKUP('Données projet'!$B$15,Paramètres!$A$1:$I$89,3,0)*VLOOKUP('Données projet'!$B$15,Paramètres!$A$1:$I$89,5,0)</f>
        <v>274.68479999999943</v>
      </c>
      <c r="EL128" s="14">
        <f t="shared" si="99"/>
        <v>65.842504497456545</v>
      </c>
      <c r="EM128" s="22">
        <f t="shared" si="73"/>
        <v>593.08505533306914</v>
      </c>
      <c r="EN128" s="62">
        <f t="shared" si="74"/>
        <v>886.41838866640251</v>
      </c>
      <c r="EO128" s="62">
        <f ca="1">AVERAGE(OFFSET($EN$3,0,0,'Données projet'!$E$15+1,1))-AVERAGE(OFFSET($H$3,0,0,'Données projet'!$E$15+1,1))</f>
        <v>455.50822833641354</v>
      </c>
      <c r="EP128" s="62">
        <f t="shared" si="100"/>
        <v>261.14722581688039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243</v>
      </c>
      <c r="FF128" s="18">
        <f>FE128*VLOOKUP('Données projet'!$B$16,Paramètres!$A$1:$I$89,3,0)*VLOOKUP('Données projet'!$B$16,Paramètres!$A$1:$I$89,5,0)</f>
        <v>212.28480000000002</v>
      </c>
      <c r="FG128" s="14">
        <f t="shared" si="101"/>
        <v>52.434557099704193</v>
      </c>
      <c r="FH128" s="22">
        <f t="shared" si="76"/>
        <v>461.05288028198476</v>
      </c>
      <c r="FI128" s="62">
        <f t="shared" si="77"/>
        <v>754.38621361531807</v>
      </c>
      <c r="FJ128" s="62">
        <f ca="1">AVERAGE(OFFSET($FI$3,0,0,'Données projet'!$E$16+1,1))-AVERAGE(OFFSET($H$3,0,0,'Données projet'!$E$16+1,1))</f>
        <v>369.34989412920129</v>
      </c>
      <c r="FK128" s="62">
        <f t="shared" si="102"/>
        <v>371.26234252426553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0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>
        <f>FZ128*VLOOKUP('Données projet'!$B$17,Paramètres!$A$1:$I$89,3,0)*VLOOKUP('Données projet'!$B$17,Paramètres!$A$1:$I$89,5,0)</f>
        <v>0</v>
      </c>
      <c r="GB128" s="14" t="e">
        <f t="shared" si="103"/>
        <v>#NUM!</v>
      </c>
      <c r="GC128" s="22" t="e">
        <f t="shared" si="79"/>
        <v>#NUM!</v>
      </c>
      <c r="GD128" s="62" t="e">
        <f t="shared" si="80"/>
        <v>#NUM!</v>
      </c>
      <c r="GE128" s="62">
        <f ca="1">AVERAGE(OFFSET($GD$3,0,0,'Données projet'!$E$17+1,1))-AVERAGE(OFFSET($H$3,0,0,'Données projet'!$E$17+1,1))</f>
        <v>324.4489531703187</v>
      </c>
      <c r="GF128" s="62">
        <f t="shared" si="104"/>
        <v>446.55019360848706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projet'!$B$17,Paramètres!$A$1:$I$89,3,0)*0.475*44/12</f>
        <v>0</v>
      </c>
      <c r="GM128" s="23">
        <f>EXP(-LN(2)/25)*GM127+(1-EXP(-LN(2)/25))/(LN(2)/25)*Calculateur!GH128*Calculateur!GJ128*VLOOKUP('Données projet'!$B$17,Paramètres!$A$1:$I$89,3,0)*0.475*44/12</f>
        <v>0</v>
      </c>
      <c r="GN128" s="23">
        <f>EXP(-LN(2)/2)*GN127+(1-EXP(-LN(2)/2))/(LN(2)/2)*GH128*GK128*VLOOKUP('Données projet'!$B$17,Paramètres!$A$1:$I$89,3,0)*0.475*44/12</f>
        <v>0</v>
      </c>
      <c r="GO128" s="23">
        <f t="shared" si="81"/>
        <v>0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1.7053025658242404E-13</v>
      </c>
      <c r="GV128" s="18">
        <f>GU128*VLOOKUP('Données projet'!$B$18,Paramètres!$A$1:$I$89,3,0)*VLOOKUP('Données projet'!$B$18,Paramètres!$A$1:$I$89,5,0)</f>
        <v>1.1439169611549005E-13</v>
      </c>
      <c r="GW128" s="14">
        <f t="shared" si="105"/>
        <v>1.6918016515029816E-12</v>
      </c>
      <c r="GX128" s="22">
        <f t="shared" si="82"/>
        <v>3.1457867471021712E-12</v>
      </c>
      <c r="GY128" s="62">
        <f t="shared" si="83"/>
        <v>293.33333333333644</v>
      </c>
      <c r="GZ128" s="62">
        <f ca="1">AVERAGE(OFFSET($GY$3,0,0,'Données projet'!$E$18+1,1))-AVERAGE(OFFSET($H$3,0,0,'Données projet'!$E$18+1,1))</f>
        <v>312.06797204903796</v>
      </c>
      <c r="HA128" s="62">
        <f t="shared" si="106"/>
        <v>258.20189001775151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>
        <f>EXP(-LN(2)/35)*HG127+(1-EXP(-LN(2)/35))/(LN(2)/35)*HC128*HD128*VLOOKUP('Données projet'!$B$18,Paramètres!$A$1:$I$89,3,0)*0.475*44/12</f>
        <v>0</v>
      </c>
      <c r="HH128" s="23">
        <f>EXP(-LN(2)/25)*HH127+(1-EXP(-LN(2)/25))/(LN(2)/25)*Calculateur!HC128*Calculateur!HE128*VLOOKUP('Données projet'!$B$18,Paramètres!$A$1:$I$89,3,0)*0.475*44/12</f>
        <v>0</v>
      </c>
      <c r="HI128" s="23">
        <f>EXP(-LN(2)/2)*HI127+(1-EXP(-LN(2)/2))/(LN(2)/2)*HC128*HF128*VLOOKUP('Données projet'!$B$18,Paramètres!$A$1:$I$89,3,0)*0.475*44/12</f>
        <v>0</v>
      </c>
      <c r="HJ128" s="24">
        <f t="shared" si="84"/>
        <v>0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4.0666666666666664</v>
      </c>
      <c r="N129" s="14">
        <f>IF('Données projet'!$A$36&gt;35,N128+M129-V128,IF(A129&lt;'Données projet'!$A$36,$K$205^A129,IF(A129='Données projet'!$A$36,'Données projet'!$B$36,N128+M129-V128)))</f>
        <v>329.39999999999975</v>
      </c>
      <c r="O129" s="14">
        <f>N129*VLOOKUP('Données projet'!$B$9,Paramètres!$A$1:$I$89,3,0)*VLOOKUP('Données projet'!$B$9,Paramètres!$A$1:$I$89,5,0)</f>
        <v>298.04111999999975</v>
      </c>
      <c r="P129" s="14">
        <f t="shared" si="87"/>
        <v>70.765650546961453</v>
      </c>
      <c r="Q129" s="22">
        <f t="shared" si="107"/>
        <v>642.33845870262405</v>
      </c>
      <c r="R129" s="62">
        <f t="shared" si="55"/>
        <v>935.67179203595742</v>
      </c>
      <c r="S129" s="62">
        <f ca="1">AVERAGE(OFFSET($R$3,0,0,'Données projet'!$E$9+1,1))-AVERAGE(OFFSET($H$3,0,0,'Données projet'!$E$9+1,1))</f>
        <v>512.84819850818667</v>
      </c>
      <c r="T129" s="62">
        <f t="shared" si="88"/>
        <v>332.61387922152159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-5.6843418860808015E-14</v>
      </c>
      <c r="AJ129" s="14">
        <f>AI129*VLOOKUP('Données projet'!$B$10,Paramètres!$A$1:$I$89,3,0)*VLOOKUP('Données projet'!$B$10,Paramètres!$A$1:$I$89,5,0)</f>
        <v>-4.1677594708744434E-14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344.45199703750711</v>
      </c>
      <c r="AO129" s="62">
        <f t="shared" si="90"/>
        <v>376.41441893222185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4.0666666666666664</v>
      </c>
      <c r="BD129" s="13">
        <f>IF('Données projet'!$A$88&gt;35,BD128+BC129-BL128,IF(A129&lt;'Données projet'!$A$88,$BA$205^A129,IF(A129='Données projet'!$A$88,'Données projet'!$B$88,BD128+BC129-BL128)))</f>
        <v>329.39999999999975</v>
      </c>
      <c r="BE129" s="14">
        <f>BD129*VLOOKUP('Données projet'!$B$11,Paramètres!$A$1:$I$89,3,0)*VLOOKUP('Données projet'!$B$11,Paramètres!$A$1:$I$89,5,0)</f>
        <v>334.01159999999976</v>
      </c>
      <c r="BF129" s="14">
        <f t="shared" si="91"/>
        <v>78.261428413244431</v>
      </c>
      <c r="BG129" s="22">
        <f t="shared" si="61"/>
        <v>718.04219115306705</v>
      </c>
      <c r="BH129" s="62">
        <f t="shared" si="62"/>
        <v>1011.3755244864003</v>
      </c>
      <c r="BI129" s="62">
        <f ca="1">AVERAGE(OFFSET($BH$3,0,0,'Données projet'!$E$11+1,1))-AVERAGE(OFFSET($H$3,0,0,'Données projet'!$E$11+1,1))</f>
        <v>569.39473185784823</v>
      </c>
      <c r="BJ129" s="62">
        <f t="shared" si="92"/>
        <v>367.42881145517066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5</v>
      </c>
      <c r="BY129" s="13">
        <f>IF('Données projet'!$A$114&gt;35,BY128+BX129-CG128,IF(A129&lt;'Données projet'!$A$114,$BV$205^A129,IF(A129='Données projet'!$A$114,'Données projet'!$B$114,BY128+BX129-CG128)))</f>
        <v>441</v>
      </c>
      <c r="BZ129" s="14">
        <f>BY129*VLOOKUP('Données projet'!$B$12,Paramètres!$A$1:$I$89,3,0)*VLOOKUP('Données projet'!$B$12,Paramètres!$A$1:$I$89,5,0)</f>
        <v>378.37800000000004</v>
      </c>
      <c r="CA129" s="14">
        <f t="shared" si="93"/>
        <v>87.379060339798997</v>
      </c>
      <c r="CB129" s="22">
        <f t="shared" si="64"/>
        <v>811.19354675848342</v>
      </c>
      <c r="CC129" s="62">
        <f t="shared" si="65"/>
        <v>1104.5268800918168</v>
      </c>
      <c r="CD129" s="62">
        <f ca="1">AVERAGE(OFFSET($CC$3,0,0,'Données projet'!$E$12+1,1))-AVERAGE(OFFSET($H$3,0,0,'Données projet'!$E$12+1,1))</f>
        <v>554.06253050955502</v>
      </c>
      <c r="CE129" s="62">
        <f t="shared" si="94"/>
        <v>269.71949336355789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1.1368683772161603E-13</v>
      </c>
      <c r="CU129" s="18">
        <f>CT129*VLOOKUP('Données projet'!$B$13,Paramètres!$A$1:$I$89,3,0)*VLOOKUP('Données projet'!$B$13,Paramètres!$A$1:$I$89,5,0)</f>
        <v>8.8675733422860506E-14</v>
      </c>
      <c r="CV129" s="14">
        <f t="shared" si="95"/>
        <v>1.3509285393066301E-12</v>
      </c>
      <c r="CW129" s="22">
        <f t="shared" si="67"/>
        <v>2.5073107750038623E-12</v>
      </c>
      <c r="CX129" s="62">
        <f t="shared" si="68"/>
        <v>293.33333333333582</v>
      </c>
      <c r="CY129" s="62">
        <f ca="1">AVERAGE(OFFSET($CX$3,0,0,'Données projet'!$E$13+1,1))-AVERAGE(OFFSET($H$3,0,0,'Données projet'!$E$13+1,1))</f>
        <v>292.21364130214391</v>
      </c>
      <c r="CZ129" s="62">
        <f t="shared" si="96"/>
        <v>283.48738729114024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5.6843418860808015E-14</v>
      </c>
      <c r="DP129" s="18">
        <f>DO129*VLOOKUP('Données projet'!$B$14,Paramètres!$A$1:$I$89,3,0)*VLOOKUP('Données projet'!$B$14,Paramètres!$A$1:$I$89,5,0)</f>
        <v>5.4092197387944907E-14</v>
      </c>
      <c r="DQ129" s="14">
        <f t="shared" si="97"/>
        <v>8.7287050538073676E-13</v>
      </c>
      <c r="DR129" s="22">
        <f t="shared" si="70"/>
        <v>1.6144600406554537E-12</v>
      </c>
      <c r="DS129" s="62">
        <f t="shared" si="71"/>
        <v>293.33333333333491</v>
      </c>
      <c r="DT129" s="62">
        <f ca="1">AVERAGE(OFFSET($DS$3,0,0,'Données projet'!$E$14+1,1))-AVERAGE(OFFSET($H$3,0,0,'Données projet'!$E$14+1,1))</f>
        <v>427.47603885390191</v>
      </c>
      <c r="DU129" s="62">
        <f t="shared" si="98"/>
        <v>350.88664394632116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3.2</v>
      </c>
      <c r="EJ129" s="13">
        <f>IF('Données projet'!$A$192&gt;35,EJ128+EI129-ER128,IF(A129&lt;'Données projet'!$A$192,$EG$205^A129,IF(A129='Données projet'!$A$192,'Données projet'!$B$192,EJ128+EI129-ER128)))</f>
        <v>287.19999999999942</v>
      </c>
      <c r="EK129" s="18">
        <f>EJ129*VLOOKUP('Données projet'!$B$15,Paramètres!$A$1:$I$89,3,0)*VLOOKUP('Données projet'!$B$15,Paramètres!$A$1:$I$89,5,0)</f>
        <v>277.77983999999947</v>
      </c>
      <c r="EL129" s="14">
        <f t="shared" si="99"/>
        <v>66.497608092453063</v>
      </c>
      <c r="EM129" s="22">
        <f t="shared" si="73"/>
        <v>599.61655542768813</v>
      </c>
      <c r="EN129" s="62">
        <f t="shared" si="74"/>
        <v>892.94988876102138</v>
      </c>
      <c r="EO129" s="62">
        <f ca="1">AVERAGE(OFFSET($EN$3,0,0,'Données projet'!$E$15+1,1))-AVERAGE(OFFSET($H$3,0,0,'Données projet'!$E$15+1,1))</f>
        <v>455.50822833641354</v>
      </c>
      <c r="EP129" s="62">
        <f t="shared" si="100"/>
        <v>261.14722581688039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243</v>
      </c>
      <c r="FF129" s="18">
        <f>FE129*VLOOKUP('Données projet'!$B$16,Paramètres!$A$1:$I$89,3,0)*VLOOKUP('Données projet'!$B$16,Paramètres!$A$1:$I$89,5,0)</f>
        <v>212.28480000000002</v>
      </c>
      <c r="FG129" s="14">
        <f t="shared" si="101"/>
        <v>52.434557099704193</v>
      </c>
      <c r="FH129" s="22">
        <f t="shared" si="76"/>
        <v>461.05288028198476</v>
      </c>
      <c r="FI129" s="62">
        <f t="shared" si="77"/>
        <v>754.38621361531807</v>
      </c>
      <c r="FJ129" s="62">
        <f ca="1">AVERAGE(OFFSET($FI$3,0,0,'Données projet'!$E$16+1,1))-AVERAGE(OFFSET($H$3,0,0,'Données projet'!$E$16+1,1))</f>
        <v>369.34989412920129</v>
      </c>
      <c r="FK129" s="62">
        <f t="shared" si="102"/>
        <v>371.26234252426553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0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>
        <f>FZ129*VLOOKUP('Données projet'!$B$17,Paramètres!$A$1:$I$89,3,0)*VLOOKUP('Données projet'!$B$17,Paramètres!$A$1:$I$89,5,0)</f>
        <v>0</v>
      </c>
      <c r="GB129" s="14" t="e">
        <f t="shared" si="103"/>
        <v>#NUM!</v>
      </c>
      <c r="GC129" s="22" t="e">
        <f t="shared" si="79"/>
        <v>#NUM!</v>
      </c>
      <c r="GD129" s="62" t="e">
        <f t="shared" si="80"/>
        <v>#NUM!</v>
      </c>
      <c r="GE129" s="62">
        <f ca="1">AVERAGE(OFFSET($GD$3,0,0,'Données projet'!$E$17+1,1))-AVERAGE(OFFSET($H$3,0,0,'Données projet'!$E$17+1,1))</f>
        <v>324.4489531703187</v>
      </c>
      <c r="GF129" s="62">
        <f t="shared" si="104"/>
        <v>446.55019360848706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projet'!$B$17,Paramètres!$A$1:$I$89,3,0)*0.475*44/12</f>
        <v>0</v>
      </c>
      <c r="GM129" s="23">
        <f>EXP(-LN(2)/25)*GM128+(1-EXP(-LN(2)/25))/(LN(2)/25)*Calculateur!GH129*Calculateur!GJ129*VLOOKUP('Données projet'!$B$17,Paramètres!$A$1:$I$89,3,0)*0.475*44/12</f>
        <v>0</v>
      </c>
      <c r="GN129" s="23">
        <f>EXP(-LN(2)/2)*GN128+(1-EXP(-LN(2)/2))/(LN(2)/2)*GH129*GK129*VLOOKUP('Données projet'!$B$17,Paramètres!$A$1:$I$89,3,0)*0.475*44/12</f>
        <v>0</v>
      </c>
      <c r="GO129" s="23">
        <f t="shared" si="81"/>
        <v>0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1.7053025658242404E-13</v>
      </c>
      <c r="GV129" s="18">
        <f>GU129*VLOOKUP('Données projet'!$B$18,Paramètres!$A$1:$I$89,3,0)*VLOOKUP('Données projet'!$B$18,Paramètres!$A$1:$I$89,5,0)</f>
        <v>1.1439169611549005E-13</v>
      </c>
      <c r="GW129" s="14">
        <f t="shared" si="105"/>
        <v>1.6918016515029816E-12</v>
      </c>
      <c r="GX129" s="22">
        <f t="shared" si="82"/>
        <v>3.1457867471021712E-12</v>
      </c>
      <c r="GY129" s="62">
        <f t="shared" si="83"/>
        <v>293.33333333333644</v>
      </c>
      <c r="GZ129" s="62">
        <f ca="1">AVERAGE(OFFSET($GY$3,0,0,'Données projet'!$E$18+1,1))-AVERAGE(OFFSET($H$3,0,0,'Données projet'!$E$18+1,1))</f>
        <v>312.06797204903796</v>
      </c>
      <c r="HA129" s="62">
        <f t="shared" si="106"/>
        <v>258.20189001775151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>
        <f>EXP(-LN(2)/35)*HG128+(1-EXP(-LN(2)/35))/(LN(2)/35)*HC129*HD129*VLOOKUP('Données projet'!$B$18,Paramètres!$A$1:$I$89,3,0)*0.475*44/12</f>
        <v>0</v>
      </c>
      <c r="HH129" s="23">
        <f>EXP(-LN(2)/25)*HH128+(1-EXP(-LN(2)/25))/(LN(2)/25)*Calculateur!HC129*Calculateur!HE129*VLOOKUP('Données projet'!$B$18,Paramètres!$A$1:$I$89,3,0)*0.475*44/12</f>
        <v>0</v>
      </c>
      <c r="HI129" s="23">
        <f>EXP(-LN(2)/2)*HI128+(1-EXP(-LN(2)/2))/(LN(2)/2)*HC129*HF129*VLOOKUP('Données projet'!$B$18,Paramètres!$A$1:$I$89,3,0)*0.475*44/12</f>
        <v>0</v>
      </c>
      <c r="HJ129" s="24">
        <f t="shared" si="84"/>
        <v>0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4.0666666666666664</v>
      </c>
      <c r="N130" s="14">
        <f>IF('Données projet'!$A$36&gt;35,N129+M130-V129,IF(A130&lt;'Données projet'!$A$36,$K$205^A130,IF(A130='Données projet'!$A$36,'Données projet'!$B$36,N129+M130-V129)))</f>
        <v>333.46666666666641</v>
      </c>
      <c r="O130" s="14">
        <f>N130*VLOOKUP('Données projet'!$B$9,Paramètres!$A$1:$I$89,3,0)*VLOOKUP('Données projet'!$B$9,Paramètres!$A$1:$I$89,5,0)</f>
        <v>301.72063999999978</v>
      </c>
      <c r="P130" s="14">
        <f t="shared" si="87"/>
        <v>71.537055559170369</v>
      </c>
      <c r="Q130" s="22">
        <f t="shared" si="107"/>
        <v>650.09048643222127</v>
      </c>
      <c r="R130" s="62">
        <f t="shared" si="55"/>
        <v>943.42381976555453</v>
      </c>
      <c r="S130" s="62">
        <f ca="1">AVERAGE(OFFSET($R$3,0,0,'Données projet'!$E$9+1,1))-AVERAGE(OFFSET($H$3,0,0,'Données projet'!$E$9+1,1))</f>
        <v>512.84819850818667</v>
      </c>
      <c r="T130" s="62">
        <f t="shared" si="88"/>
        <v>332.61387922152159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-5.6843418860808015E-14</v>
      </c>
      <c r="AJ130" s="14">
        <f>AI130*VLOOKUP('Données projet'!$B$10,Paramètres!$A$1:$I$89,3,0)*VLOOKUP('Données projet'!$B$10,Paramètres!$A$1:$I$89,5,0)</f>
        <v>-4.1677594708744434E-14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344.45199703750711</v>
      </c>
      <c r="AO130" s="62">
        <f t="shared" si="90"/>
        <v>376.41441893222185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4.0666666666666664</v>
      </c>
      <c r="BD130" s="13">
        <f>IF('Données projet'!$A$88&gt;35,BD129+BC130-BL129,IF(A130&lt;'Données projet'!$A$88,$BA$205^A130,IF(A130='Données projet'!$A$88,'Données projet'!$B$88,BD129+BC130-BL129)))</f>
        <v>333.46666666666641</v>
      </c>
      <c r="BE130" s="14">
        <f>BD130*VLOOKUP('Données projet'!$B$11,Paramètres!$A$1:$I$89,3,0)*VLOOKUP('Données projet'!$B$11,Paramètres!$A$1:$I$89,5,0)</f>
        <v>338.13519999999977</v>
      </c>
      <c r="BF130" s="14">
        <f t="shared" si="91"/>
        <v>79.114543698329655</v>
      </c>
      <c r="BG130" s="22">
        <f t="shared" si="61"/>
        <v>726.70997027459032</v>
      </c>
      <c r="BH130" s="62">
        <f t="shared" si="62"/>
        <v>1020.0433036079237</v>
      </c>
      <c r="BI130" s="62">
        <f ca="1">AVERAGE(OFFSET($BH$3,0,0,'Données projet'!$E$11+1,1))-AVERAGE(OFFSET($H$3,0,0,'Données projet'!$E$11+1,1))</f>
        <v>569.39473185784823</v>
      </c>
      <c r="BJ130" s="62">
        <f t="shared" si="92"/>
        <v>367.42881145517066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5</v>
      </c>
      <c r="BY130" s="13">
        <f>IF('Données projet'!$A$114&gt;35,BY129+BX130-CG129,IF(A130&lt;'Données projet'!$A$114,$BV$205^A130,IF(A130='Données projet'!$A$114,'Données projet'!$B$114,BY129+BX130-CG129)))</f>
        <v>446</v>
      </c>
      <c r="BZ130" s="14">
        <f>BY130*VLOOKUP('Données projet'!$B$12,Paramètres!$A$1:$I$89,3,0)*VLOOKUP('Données projet'!$B$12,Paramètres!$A$1:$I$89,5,0)</f>
        <v>382.66800000000001</v>
      </c>
      <c r="CA130" s="14">
        <f t="shared" si="93"/>
        <v>88.253860844610443</v>
      </c>
      <c r="CB130" s="22">
        <f t="shared" si="64"/>
        <v>820.1889076376965</v>
      </c>
      <c r="CC130" s="62">
        <f t="shared" si="65"/>
        <v>1113.5222409710298</v>
      </c>
      <c r="CD130" s="62">
        <f ca="1">AVERAGE(OFFSET($CC$3,0,0,'Données projet'!$E$12+1,1))-AVERAGE(OFFSET($H$3,0,0,'Données projet'!$E$12+1,1))</f>
        <v>554.06253050955502</v>
      </c>
      <c r="CE130" s="62">
        <f t="shared" si="94"/>
        <v>269.71949336355789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1.1368683772161603E-13</v>
      </c>
      <c r="CU130" s="18">
        <f>CT130*VLOOKUP('Données projet'!$B$13,Paramètres!$A$1:$I$89,3,0)*VLOOKUP('Données projet'!$B$13,Paramètres!$A$1:$I$89,5,0)</f>
        <v>8.8675733422860506E-14</v>
      </c>
      <c r="CV130" s="14">
        <f t="shared" si="95"/>
        <v>1.3509285393066301E-12</v>
      </c>
      <c r="CW130" s="22">
        <f t="shared" si="67"/>
        <v>2.5073107750038623E-12</v>
      </c>
      <c r="CX130" s="62">
        <f t="shared" si="68"/>
        <v>293.33333333333582</v>
      </c>
      <c r="CY130" s="62">
        <f ca="1">AVERAGE(OFFSET($CX$3,0,0,'Données projet'!$E$13+1,1))-AVERAGE(OFFSET($H$3,0,0,'Données projet'!$E$13+1,1))</f>
        <v>292.21364130214391</v>
      </c>
      <c r="CZ130" s="62">
        <f t="shared" si="96"/>
        <v>283.48738729114024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5.6843418860808015E-14</v>
      </c>
      <c r="DP130" s="18">
        <f>DO130*VLOOKUP('Données projet'!$B$14,Paramètres!$A$1:$I$89,3,0)*VLOOKUP('Données projet'!$B$14,Paramètres!$A$1:$I$89,5,0)</f>
        <v>5.4092197387944907E-14</v>
      </c>
      <c r="DQ130" s="14">
        <f t="shared" si="97"/>
        <v>8.7287050538073676E-13</v>
      </c>
      <c r="DR130" s="22">
        <f t="shared" si="70"/>
        <v>1.6144600406554537E-12</v>
      </c>
      <c r="DS130" s="62">
        <f t="shared" si="71"/>
        <v>293.33333333333491</v>
      </c>
      <c r="DT130" s="62">
        <f ca="1">AVERAGE(OFFSET($DS$3,0,0,'Données projet'!$E$14+1,1))-AVERAGE(OFFSET($H$3,0,0,'Données projet'!$E$14+1,1))</f>
        <v>427.47603885390191</v>
      </c>
      <c r="DU130" s="62">
        <f t="shared" si="98"/>
        <v>350.88664394632116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3.2</v>
      </c>
      <c r="EJ130" s="13">
        <f>IF('Données projet'!$A$192&gt;35,EJ129+EI130-ER129,IF(A130&lt;'Données projet'!$A$192,$EG$205^A130,IF(A130='Données projet'!$A$192,'Données projet'!$B$192,EJ129+EI130-ER129)))</f>
        <v>290.39999999999941</v>
      </c>
      <c r="EK130" s="18">
        <f>EJ130*VLOOKUP('Données projet'!$B$15,Paramètres!$A$1:$I$89,3,0)*VLOOKUP('Données projet'!$B$15,Paramètres!$A$1:$I$89,5,0)</f>
        <v>280.87487999999945</v>
      </c>
      <c r="EL130" s="14">
        <f t="shared" si="99"/>
        <v>67.151862592195727</v>
      </c>
      <c r="EM130" s="22">
        <f t="shared" si="73"/>
        <v>606.1465766814066</v>
      </c>
      <c r="EN130" s="62">
        <f t="shared" si="74"/>
        <v>899.47991001473997</v>
      </c>
      <c r="EO130" s="62">
        <f ca="1">AVERAGE(OFFSET($EN$3,0,0,'Données projet'!$E$15+1,1))-AVERAGE(OFFSET($H$3,0,0,'Données projet'!$E$15+1,1))</f>
        <v>455.50822833641354</v>
      </c>
      <c r="EP130" s="62">
        <f t="shared" si="100"/>
        <v>261.14722581688039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243</v>
      </c>
      <c r="FF130" s="18">
        <f>FE130*VLOOKUP('Données projet'!$B$16,Paramètres!$A$1:$I$89,3,0)*VLOOKUP('Données projet'!$B$16,Paramètres!$A$1:$I$89,5,0)</f>
        <v>212.28480000000002</v>
      </c>
      <c r="FG130" s="14">
        <f t="shared" si="101"/>
        <v>52.434557099704193</v>
      </c>
      <c r="FH130" s="22">
        <f t="shared" si="76"/>
        <v>461.05288028198476</v>
      </c>
      <c r="FI130" s="62">
        <f t="shared" si="77"/>
        <v>754.38621361531807</v>
      </c>
      <c r="FJ130" s="62">
        <f ca="1">AVERAGE(OFFSET($FI$3,0,0,'Données projet'!$E$16+1,1))-AVERAGE(OFFSET($H$3,0,0,'Données projet'!$E$16+1,1))</f>
        <v>369.34989412920129</v>
      </c>
      <c r="FK130" s="62">
        <f t="shared" si="102"/>
        <v>371.26234252426553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0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>
        <f>FZ130*VLOOKUP('Données projet'!$B$17,Paramètres!$A$1:$I$89,3,0)*VLOOKUP('Données projet'!$B$17,Paramètres!$A$1:$I$89,5,0)</f>
        <v>0</v>
      </c>
      <c r="GB130" s="14" t="e">
        <f t="shared" si="103"/>
        <v>#NUM!</v>
      </c>
      <c r="GC130" s="22" t="e">
        <f t="shared" si="79"/>
        <v>#NUM!</v>
      </c>
      <c r="GD130" s="62" t="e">
        <f t="shared" si="80"/>
        <v>#NUM!</v>
      </c>
      <c r="GE130" s="62">
        <f ca="1">AVERAGE(OFFSET($GD$3,0,0,'Données projet'!$E$17+1,1))-AVERAGE(OFFSET($H$3,0,0,'Données projet'!$E$17+1,1))</f>
        <v>324.4489531703187</v>
      </c>
      <c r="GF130" s="62">
        <f t="shared" si="104"/>
        <v>446.55019360848706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projet'!$B$17,Paramètres!$A$1:$I$89,3,0)*0.475*44/12</f>
        <v>0</v>
      </c>
      <c r="GM130" s="23">
        <f>EXP(-LN(2)/25)*GM129+(1-EXP(-LN(2)/25))/(LN(2)/25)*Calculateur!GH130*Calculateur!GJ130*VLOOKUP('Données projet'!$B$17,Paramètres!$A$1:$I$89,3,0)*0.475*44/12</f>
        <v>0</v>
      </c>
      <c r="GN130" s="23">
        <f>EXP(-LN(2)/2)*GN129+(1-EXP(-LN(2)/2))/(LN(2)/2)*GH130*GK130*VLOOKUP('Données projet'!$B$17,Paramètres!$A$1:$I$89,3,0)*0.475*44/12</f>
        <v>0</v>
      </c>
      <c r="GO130" s="23">
        <f t="shared" si="81"/>
        <v>0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1.7053025658242404E-13</v>
      </c>
      <c r="GV130" s="18">
        <f>GU130*VLOOKUP('Données projet'!$B$18,Paramètres!$A$1:$I$89,3,0)*VLOOKUP('Données projet'!$B$18,Paramètres!$A$1:$I$89,5,0)</f>
        <v>1.1439169611549005E-13</v>
      </c>
      <c r="GW130" s="14">
        <f t="shared" si="105"/>
        <v>1.6918016515029816E-12</v>
      </c>
      <c r="GX130" s="22">
        <f t="shared" si="82"/>
        <v>3.1457867471021712E-12</v>
      </c>
      <c r="GY130" s="62">
        <f t="shared" si="83"/>
        <v>293.33333333333644</v>
      </c>
      <c r="GZ130" s="62">
        <f ca="1">AVERAGE(OFFSET($GY$3,0,0,'Données projet'!$E$18+1,1))-AVERAGE(OFFSET($H$3,0,0,'Données projet'!$E$18+1,1))</f>
        <v>312.06797204903796</v>
      </c>
      <c r="HA130" s="62">
        <f t="shared" si="106"/>
        <v>258.20189001775151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>
        <f>EXP(-LN(2)/35)*HG129+(1-EXP(-LN(2)/35))/(LN(2)/35)*HC130*HD130*VLOOKUP('Données projet'!$B$18,Paramètres!$A$1:$I$89,3,0)*0.475*44/12</f>
        <v>0</v>
      </c>
      <c r="HH130" s="23">
        <f>EXP(-LN(2)/25)*HH129+(1-EXP(-LN(2)/25))/(LN(2)/25)*Calculateur!HC130*Calculateur!HE130*VLOOKUP('Données projet'!$B$18,Paramètres!$A$1:$I$89,3,0)*0.475*44/12</f>
        <v>0</v>
      </c>
      <c r="HI130" s="23">
        <f>EXP(-LN(2)/2)*HI129+(1-EXP(-LN(2)/2))/(LN(2)/2)*HC130*HF130*VLOOKUP('Données projet'!$B$18,Paramètres!$A$1:$I$89,3,0)*0.475*44/12</f>
        <v>0</v>
      </c>
      <c r="HJ130" s="24">
        <f t="shared" si="84"/>
        <v>0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4.0666666666666664</v>
      </c>
      <c r="N131" s="14">
        <f>IF('Données projet'!$A$36&gt;35,N130+M131-V130,IF(A131&lt;'Données projet'!$A$36,$K$205^A131,IF(A131='Données projet'!$A$36,'Données projet'!$B$36,N130+M131-V130)))</f>
        <v>337.53333333333308</v>
      </c>
      <c r="O131" s="14">
        <f>N131*VLOOKUP('Données projet'!$B$9,Paramètres!$A$1:$I$89,3,0)*VLOOKUP('Données projet'!$B$9,Paramètres!$A$1:$I$89,5,0)</f>
        <v>305.40015999999974</v>
      </c>
      <c r="P131" s="14">
        <f t="shared" si="87"/>
        <v>72.307366300702995</v>
      </c>
      <c r="Q131" s="22">
        <f t="shared" ref="Q131:Q153" si="108">(O131+P131)*0.475*44/12</f>
        <v>657.84060830705721</v>
      </c>
      <c r="R131" s="62">
        <f t="shared" ref="R131:R194" si="109">Q131+(I131+J131)*44/12</f>
        <v>951.17394164039047</v>
      </c>
      <c r="S131" s="62">
        <f ca="1">AVERAGE(OFFSET($R$3,0,0,'Données projet'!$E$9+1,1))-AVERAGE(OFFSET($H$3,0,0,'Données projet'!$E$9+1,1))</f>
        <v>512.84819850818667</v>
      </c>
      <c r="T131" s="62">
        <f t="shared" si="88"/>
        <v>332.61387922152159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-5.6843418860808015E-14</v>
      </c>
      <c r="AJ131" s="14">
        <f>AI131*VLOOKUP('Données projet'!$B$10,Paramètres!$A$1:$I$89,3,0)*VLOOKUP('Données projet'!$B$10,Paramètres!$A$1:$I$89,5,0)</f>
        <v>-4.1677594708744434E-14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344.45199703750711</v>
      </c>
      <c r="AO131" s="62">
        <f t="shared" si="90"/>
        <v>376.41441893222185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4.0666666666666664</v>
      </c>
      <c r="BD131" s="13">
        <f>IF('Données projet'!$A$88&gt;35,BD130+BC131-BL130,IF(A131&lt;'Données projet'!$A$88,$BA$205^A131,IF(A131='Données projet'!$A$88,'Données projet'!$B$88,BD130+BC131-BL130)))</f>
        <v>337.53333333333308</v>
      </c>
      <c r="BE131" s="14">
        <f>BD131*VLOOKUP('Données projet'!$B$11,Paramètres!$A$1:$I$89,3,0)*VLOOKUP('Données projet'!$B$11,Paramètres!$A$1:$I$89,5,0)</f>
        <v>342.25879999999978</v>
      </c>
      <c r="BF131" s="14">
        <f t="shared" si="91"/>
        <v>79.966448803256256</v>
      </c>
      <c r="BG131" s="22">
        <f t="shared" si="61"/>
        <v>735.37564166567097</v>
      </c>
      <c r="BH131" s="62">
        <f t="shared" si="62"/>
        <v>1028.7089749990043</v>
      </c>
      <c r="BI131" s="62">
        <f ca="1">AVERAGE(OFFSET($BH$3,0,0,'Données projet'!$E$11+1,1))-AVERAGE(OFFSET($H$3,0,0,'Données projet'!$E$11+1,1))</f>
        <v>569.39473185784823</v>
      </c>
      <c r="BJ131" s="62">
        <f t="shared" si="92"/>
        <v>367.42881145517066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5</v>
      </c>
      <c r="BY131" s="13">
        <f>IF('Données projet'!$A$114&gt;35,BY130+BX131-CG130,IF(A131&lt;'Données projet'!$A$114,$BV$205^A131,IF(A131='Données projet'!$A$114,'Données projet'!$B$114,BY130+BX131-CG130)))</f>
        <v>451</v>
      </c>
      <c r="BZ131" s="14">
        <f>BY131*VLOOKUP('Données projet'!$B$12,Paramètres!$A$1:$I$89,3,0)*VLOOKUP('Données projet'!$B$12,Paramètres!$A$1:$I$89,5,0)</f>
        <v>386.95800000000003</v>
      </c>
      <c r="CA131" s="14">
        <f t="shared" si="93"/>
        <v>89.12752051283708</v>
      </c>
      <c r="CB131" s="22">
        <f t="shared" si="64"/>
        <v>829.18228155985798</v>
      </c>
      <c r="CC131" s="62">
        <f t="shared" si="65"/>
        <v>1122.5156148931912</v>
      </c>
      <c r="CD131" s="62">
        <f ca="1">AVERAGE(OFFSET($CC$3,0,0,'Données projet'!$E$12+1,1))-AVERAGE(OFFSET($H$3,0,0,'Données projet'!$E$12+1,1))</f>
        <v>554.06253050955502</v>
      </c>
      <c r="CE131" s="62">
        <f t="shared" si="94"/>
        <v>269.71949336355789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1.1368683772161603E-13</v>
      </c>
      <c r="CU131" s="18">
        <f>CT131*VLOOKUP('Données projet'!$B$13,Paramètres!$A$1:$I$89,3,0)*VLOOKUP('Données projet'!$B$13,Paramètres!$A$1:$I$89,5,0)</f>
        <v>8.8675733422860506E-14</v>
      </c>
      <c r="CV131" s="14">
        <f t="shared" si="95"/>
        <v>1.3509285393066301E-12</v>
      </c>
      <c r="CW131" s="22">
        <f t="shared" si="67"/>
        <v>2.5073107750038623E-12</v>
      </c>
      <c r="CX131" s="62">
        <f t="shared" si="68"/>
        <v>293.33333333333582</v>
      </c>
      <c r="CY131" s="62">
        <f ca="1">AVERAGE(OFFSET($CX$3,0,0,'Données projet'!$E$13+1,1))-AVERAGE(OFFSET($H$3,0,0,'Données projet'!$E$13+1,1))</f>
        <v>292.21364130214391</v>
      </c>
      <c r="CZ131" s="62">
        <f t="shared" si="96"/>
        <v>283.48738729114024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5.6843418860808015E-14</v>
      </c>
      <c r="DP131" s="18">
        <f>DO131*VLOOKUP('Données projet'!$B$14,Paramètres!$A$1:$I$89,3,0)*VLOOKUP('Données projet'!$B$14,Paramètres!$A$1:$I$89,5,0)</f>
        <v>5.4092197387944907E-14</v>
      </c>
      <c r="DQ131" s="14">
        <f t="shared" si="97"/>
        <v>8.7287050538073676E-13</v>
      </c>
      <c r="DR131" s="22">
        <f t="shared" si="70"/>
        <v>1.6144600406554537E-12</v>
      </c>
      <c r="DS131" s="62">
        <f t="shared" si="71"/>
        <v>293.33333333333491</v>
      </c>
      <c r="DT131" s="62">
        <f ca="1">AVERAGE(OFFSET($DS$3,0,0,'Données projet'!$E$14+1,1))-AVERAGE(OFFSET($H$3,0,0,'Données projet'!$E$14+1,1))</f>
        <v>427.47603885390191</v>
      </c>
      <c r="DU131" s="62">
        <f t="shared" si="98"/>
        <v>350.88664394632116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3.2</v>
      </c>
      <c r="EJ131" s="13">
        <f>IF('Données projet'!$A$192&gt;35,EJ130+EI131-ER130,IF(A131&lt;'Données projet'!$A$192,$EG$205^A131,IF(A131='Données projet'!$A$192,'Données projet'!$B$192,EJ130+EI131-ER130)))</f>
        <v>293.5999999999994</v>
      </c>
      <c r="EK131" s="18">
        <f>EJ131*VLOOKUP('Données projet'!$B$15,Paramètres!$A$1:$I$89,3,0)*VLOOKUP('Données projet'!$B$15,Paramètres!$A$1:$I$89,5,0)</f>
        <v>283.96991999999943</v>
      </c>
      <c r="EL131" s="14">
        <f t="shared" si="99"/>
        <v>67.805278435922148</v>
      </c>
      <c r="EM131" s="22">
        <f t="shared" si="73"/>
        <v>612.67513727589676</v>
      </c>
      <c r="EN131" s="62">
        <f t="shared" si="74"/>
        <v>906.00847060923002</v>
      </c>
      <c r="EO131" s="62">
        <f ca="1">AVERAGE(OFFSET($EN$3,0,0,'Données projet'!$E$15+1,1))-AVERAGE(OFFSET($H$3,0,0,'Données projet'!$E$15+1,1))</f>
        <v>455.50822833641354</v>
      </c>
      <c r="EP131" s="62">
        <f t="shared" si="100"/>
        <v>261.14722581688039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243</v>
      </c>
      <c r="FF131" s="18">
        <f>FE131*VLOOKUP('Données projet'!$B$16,Paramètres!$A$1:$I$89,3,0)*VLOOKUP('Données projet'!$B$16,Paramètres!$A$1:$I$89,5,0)</f>
        <v>212.28480000000002</v>
      </c>
      <c r="FG131" s="14">
        <f t="shared" si="101"/>
        <v>52.434557099704193</v>
      </c>
      <c r="FH131" s="22">
        <f t="shared" si="76"/>
        <v>461.05288028198476</v>
      </c>
      <c r="FI131" s="62">
        <f t="shared" si="77"/>
        <v>754.38621361531807</v>
      </c>
      <c r="FJ131" s="62">
        <f ca="1">AVERAGE(OFFSET($FI$3,0,0,'Données projet'!$E$16+1,1))-AVERAGE(OFFSET($H$3,0,0,'Données projet'!$E$16+1,1))</f>
        <v>369.34989412920129</v>
      </c>
      <c r="FK131" s="62">
        <f t="shared" si="102"/>
        <v>371.26234252426553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0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>
        <f>FZ131*VLOOKUP('Données projet'!$B$17,Paramètres!$A$1:$I$89,3,0)*VLOOKUP('Données projet'!$B$17,Paramètres!$A$1:$I$89,5,0)</f>
        <v>0</v>
      </c>
      <c r="GB131" s="14" t="e">
        <f t="shared" si="103"/>
        <v>#NUM!</v>
      </c>
      <c r="GC131" s="22" t="e">
        <f t="shared" si="79"/>
        <v>#NUM!</v>
      </c>
      <c r="GD131" s="62" t="e">
        <f t="shared" si="80"/>
        <v>#NUM!</v>
      </c>
      <c r="GE131" s="62">
        <f ca="1">AVERAGE(OFFSET($GD$3,0,0,'Données projet'!$E$17+1,1))-AVERAGE(OFFSET($H$3,0,0,'Données projet'!$E$17+1,1))</f>
        <v>324.4489531703187</v>
      </c>
      <c r="GF131" s="62">
        <f t="shared" si="104"/>
        <v>446.55019360848706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projet'!$B$17,Paramètres!$A$1:$I$89,3,0)*0.475*44/12</f>
        <v>0</v>
      </c>
      <c r="GM131" s="23">
        <f>EXP(-LN(2)/25)*GM130+(1-EXP(-LN(2)/25))/(LN(2)/25)*Calculateur!GH131*Calculateur!GJ131*VLOOKUP('Données projet'!$B$17,Paramètres!$A$1:$I$89,3,0)*0.475*44/12</f>
        <v>0</v>
      </c>
      <c r="GN131" s="23">
        <f>EXP(-LN(2)/2)*GN130+(1-EXP(-LN(2)/2))/(LN(2)/2)*GH131*GK131*VLOOKUP('Données projet'!$B$17,Paramètres!$A$1:$I$89,3,0)*0.475*44/12</f>
        <v>0</v>
      </c>
      <c r="GO131" s="23">
        <f t="shared" si="81"/>
        <v>0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1.7053025658242404E-13</v>
      </c>
      <c r="GV131" s="18">
        <f>GU131*VLOOKUP('Données projet'!$B$18,Paramètres!$A$1:$I$89,3,0)*VLOOKUP('Données projet'!$B$18,Paramètres!$A$1:$I$89,5,0)</f>
        <v>1.1439169611549005E-13</v>
      </c>
      <c r="GW131" s="14">
        <f t="shared" si="105"/>
        <v>1.6918016515029816E-12</v>
      </c>
      <c r="GX131" s="22">
        <f t="shared" si="82"/>
        <v>3.1457867471021712E-12</v>
      </c>
      <c r="GY131" s="62">
        <f t="shared" si="83"/>
        <v>293.33333333333644</v>
      </c>
      <c r="GZ131" s="62">
        <f ca="1">AVERAGE(OFFSET($GY$3,0,0,'Données projet'!$E$18+1,1))-AVERAGE(OFFSET($H$3,0,0,'Données projet'!$E$18+1,1))</f>
        <v>312.06797204903796</v>
      </c>
      <c r="HA131" s="62">
        <f t="shared" si="106"/>
        <v>258.20189001775151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>
        <f>EXP(-LN(2)/35)*HG130+(1-EXP(-LN(2)/35))/(LN(2)/35)*HC131*HD131*VLOOKUP('Données projet'!$B$18,Paramètres!$A$1:$I$89,3,0)*0.475*44/12</f>
        <v>0</v>
      </c>
      <c r="HH131" s="23">
        <f>EXP(-LN(2)/25)*HH130+(1-EXP(-LN(2)/25))/(LN(2)/25)*Calculateur!HC131*Calculateur!HE131*VLOOKUP('Données projet'!$B$18,Paramètres!$A$1:$I$89,3,0)*0.475*44/12</f>
        <v>0</v>
      </c>
      <c r="HI131" s="23">
        <f>EXP(-LN(2)/2)*HI130+(1-EXP(-LN(2)/2))/(LN(2)/2)*HC131*HF131*VLOOKUP('Données projet'!$B$18,Paramètres!$A$1:$I$89,3,0)*0.475*44/12</f>
        <v>0</v>
      </c>
      <c r="HJ131" s="24">
        <f t="shared" si="84"/>
        <v>0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4.0666666666666664</v>
      </c>
      <c r="N132" s="14">
        <f>IF('Données projet'!$A$36&gt;35,N131+M132-V131,IF(A132&lt;'Données projet'!$A$36,$K$205^A132,IF(A132='Données projet'!$A$36,'Données projet'!$B$36,N131+M132-V131)))</f>
        <v>341.59999999999974</v>
      </c>
      <c r="O132" s="14">
        <f>N132*VLOOKUP('Données projet'!$B$9,Paramètres!$A$1:$I$89,3,0)*VLOOKUP('Données projet'!$B$9,Paramètres!$A$1:$I$89,5,0)</f>
        <v>309.07967999999977</v>
      </c>
      <c r="P132" s="14">
        <f t="shared" si="87"/>
        <v>73.076597480558817</v>
      </c>
      <c r="Q132" s="22">
        <f t="shared" si="108"/>
        <v>665.58884994530615</v>
      </c>
      <c r="R132" s="62">
        <f t="shared" si="109"/>
        <v>958.92218327863952</v>
      </c>
      <c r="S132" s="62">
        <f ca="1">AVERAGE(OFFSET($R$3,0,0,'Données projet'!$E$9+1,1))-AVERAGE(OFFSET($H$3,0,0,'Données projet'!$E$9+1,1))</f>
        <v>512.84819850818667</v>
      </c>
      <c r="T132" s="62">
        <f t="shared" si="88"/>
        <v>332.61387922152159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-5.6843418860808015E-14</v>
      </c>
      <c r="AJ132" s="14">
        <f>AI132*VLOOKUP('Données projet'!$B$10,Paramètres!$A$1:$I$89,3,0)*VLOOKUP('Données projet'!$B$10,Paramètres!$A$1:$I$89,5,0)</f>
        <v>-4.1677594708744434E-14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344.45199703750711</v>
      </c>
      <c r="AO132" s="62">
        <f t="shared" si="90"/>
        <v>376.41441893222185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4.0666666666666664</v>
      </c>
      <c r="BD132" s="13">
        <f>IF('Données projet'!$A$88&gt;35,BD131+BC132-BL131,IF(A132&lt;'Données projet'!$A$88,$BA$205^A132,IF(A132='Données projet'!$A$88,'Données projet'!$B$88,BD131+BC132-BL131)))</f>
        <v>341.59999999999974</v>
      </c>
      <c r="BE132" s="14">
        <f>BD132*VLOOKUP('Données projet'!$B$11,Paramètres!$A$1:$I$89,3,0)*VLOOKUP('Données projet'!$B$11,Paramètres!$A$1:$I$89,5,0)</f>
        <v>346.38239999999979</v>
      </c>
      <c r="BF132" s="14">
        <f t="shared" si="91"/>
        <v>80.8171599950592</v>
      </c>
      <c r="BG132" s="22">
        <f t="shared" ref="BG132:BG153" si="115">(BE132+BF132)*0.475*44/12</f>
        <v>744.03923365806088</v>
      </c>
      <c r="BH132" s="62">
        <f t="shared" ref="BH132:BH195" si="116">BG132+(AY132+AZ132)*44/12</f>
        <v>1037.3725669913943</v>
      </c>
      <c r="BI132" s="62">
        <f ca="1">AVERAGE(OFFSET($BH$3,0,0,'Données projet'!$E$11+1,1))-AVERAGE(OFFSET($H$3,0,0,'Données projet'!$E$11+1,1))</f>
        <v>569.39473185784823</v>
      </c>
      <c r="BJ132" s="62">
        <f t="shared" si="92"/>
        <v>367.42881145517066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5</v>
      </c>
      <c r="BY132" s="13">
        <f>IF('Données projet'!$A$114&gt;35,BY131+BX132-CG131,IF(A132&lt;'Données projet'!$A$114,$BV$205^A132,IF(A132='Données projet'!$A$114,'Données projet'!$B$114,BY131+BX132-CG131)))</f>
        <v>456</v>
      </c>
      <c r="BZ132" s="14">
        <f>BY132*VLOOKUP('Données projet'!$B$12,Paramètres!$A$1:$I$89,3,0)*VLOOKUP('Données projet'!$B$12,Paramètres!$A$1:$I$89,5,0)</f>
        <v>391.24800000000005</v>
      </c>
      <c r="CA132" s="14">
        <f t="shared" si="93"/>
        <v>90.00005345601933</v>
      </c>
      <c r="CB132" s="22">
        <f t="shared" ref="CB132:CB153" si="118">(BZ132+CA132)*0.475*44/12</f>
        <v>838.17369310256697</v>
      </c>
      <c r="CC132" s="62">
        <f t="shared" ref="CC132:CC195" si="119">CB132+(BT132+BU132)*44/12</f>
        <v>1131.5070264359003</v>
      </c>
      <c r="CD132" s="62">
        <f ca="1">AVERAGE(OFFSET($CC$3,0,0,'Données projet'!$E$12+1,1))-AVERAGE(OFFSET($H$3,0,0,'Données projet'!$E$12+1,1))</f>
        <v>554.06253050955502</v>
      </c>
      <c r="CE132" s="62">
        <f t="shared" si="94"/>
        <v>269.71949336355789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1.1368683772161603E-13</v>
      </c>
      <c r="CU132" s="18">
        <f>CT132*VLOOKUP('Données projet'!$B$13,Paramètres!$A$1:$I$89,3,0)*VLOOKUP('Données projet'!$B$13,Paramètres!$A$1:$I$89,5,0)</f>
        <v>8.8675733422860506E-14</v>
      </c>
      <c r="CV132" s="14">
        <f t="shared" si="95"/>
        <v>1.3509285393066301E-12</v>
      </c>
      <c r="CW132" s="22">
        <f t="shared" ref="CW132:CW153" si="121">(CU132+CV132)*0.475*44/12</f>
        <v>2.5073107750038623E-12</v>
      </c>
      <c r="CX132" s="62">
        <f t="shared" ref="CX132:CX195" si="122">CW132+(CO132+CP132)*44/12</f>
        <v>293.33333333333582</v>
      </c>
      <c r="CY132" s="62">
        <f ca="1">AVERAGE(OFFSET($CX$3,0,0,'Données projet'!$E$13+1,1))-AVERAGE(OFFSET($H$3,0,0,'Données projet'!$E$13+1,1))</f>
        <v>292.21364130214391</v>
      </c>
      <c r="CZ132" s="62">
        <f t="shared" si="96"/>
        <v>283.48738729114024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5.6843418860808015E-14</v>
      </c>
      <c r="DP132" s="18">
        <f>DO132*VLOOKUP('Données projet'!$B$14,Paramètres!$A$1:$I$89,3,0)*VLOOKUP('Données projet'!$B$14,Paramètres!$A$1:$I$89,5,0)</f>
        <v>5.4092197387944907E-14</v>
      </c>
      <c r="DQ132" s="14">
        <f t="shared" si="97"/>
        <v>8.7287050538073676E-13</v>
      </c>
      <c r="DR132" s="22">
        <f t="shared" ref="DR132:DR153" si="124">(DP132+DQ132)*0.475*44/12</f>
        <v>1.6144600406554537E-12</v>
      </c>
      <c r="DS132" s="62">
        <f t="shared" ref="DS132:DS195" si="125">DR132+(DJ132+DK132)*44/12</f>
        <v>293.33333333333491</v>
      </c>
      <c r="DT132" s="62">
        <f ca="1">AVERAGE(OFFSET($DS$3,0,0,'Données projet'!$E$14+1,1))-AVERAGE(OFFSET($H$3,0,0,'Données projet'!$E$14+1,1))</f>
        <v>427.47603885390191</v>
      </c>
      <c r="DU132" s="62">
        <f t="shared" si="98"/>
        <v>350.88664394632116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3.2</v>
      </c>
      <c r="EJ132" s="13">
        <f>IF('Données projet'!$A$192&gt;35,EJ131+EI132-ER131,IF(A132&lt;'Données projet'!$A$192,$EG$205^A132,IF(A132='Données projet'!$A$192,'Données projet'!$B$192,EJ131+EI132-ER131)))</f>
        <v>296.79999999999939</v>
      </c>
      <c r="EK132" s="18">
        <f>EJ132*VLOOKUP('Données projet'!$B$15,Paramètres!$A$1:$I$89,3,0)*VLOOKUP('Données projet'!$B$15,Paramètres!$A$1:$I$89,5,0)</f>
        <v>287.06495999999942</v>
      </c>
      <c r="EL132" s="14">
        <f t="shared" si="99"/>
        <v>68.457865822206202</v>
      </c>
      <c r="EM132" s="22">
        <f t="shared" ref="EM132:EM153" si="127">(EK132+EL132)*0.475*44/12</f>
        <v>619.20225497367471</v>
      </c>
      <c r="EN132" s="62">
        <f t="shared" ref="EN132:EN195" si="128">EM132+(EE132+EF132)*44/12</f>
        <v>912.53558830700808</v>
      </c>
      <c r="EO132" s="62">
        <f ca="1">AVERAGE(OFFSET($EN$3,0,0,'Données projet'!$E$15+1,1))-AVERAGE(OFFSET($H$3,0,0,'Données projet'!$E$15+1,1))</f>
        <v>455.50822833641354</v>
      </c>
      <c r="EP132" s="62">
        <f t="shared" si="100"/>
        <v>261.14722581688039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243</v>
      </c>
      <c r="FF132" s="18">
        <f>FE132*VLOOKUP('Données projet'!$B$16,Paramètres!$A$1:$I$89,3,0)*VLOOKUP('Données projet'!$B$16,Paramètres!$A$1:$I$89,5,0)</f>
        <v>212.28480000000002</v>
      </c>
      <c r="FG132" s="14">
        <f t="shared" si="101"/>
        <v>52.434557099704193</v>
      </c>
      <c r="FH132" s="22">
        <f t="shared" ref="FH132:FH153" si="130">(FF132+FG132)*0.475*44/12</f>
        <v>461.05288028198476</v>
      </c>
      <c r="FI132" s="62">
        <f t="shared" ref="FI132:FI195" si="131">FH132+(EZ132+FA132)*44/12</f>
        <v>754.38621361531807</v>
      </c>
      <c r="FJ132" s="62">
        <f ca="1">AVERAGE(OFFSET($FI$3,0,0,'Données projet'!$E$16+1,1))-AVERAGE(OFFSET($H$3,0,0,'Données projet'!$E$16+1,1))</f>
        <v>369.34989412920129</v>
      </c>
      <c r="FK132" s="62">
        <f t="shared" si="102"/>
        <v>371.26234252426553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0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>
        <f>FZ132*VLOOKUP('Données projet'!$B$17,Paramètres!$A$1:$I$89,3,0)*VLOOKUP('Données projet'!$B$17,Paramètres!$A$1:$I$89,5,0)</f>
        <v>0</v>
      </c>
      <c r="GB132" s="14" t="e">
        <f t="shared" si="103"/>
        <v>#NUM!</v>
      </c>
      <c r="GC132" s="22" t="e">
        <f t="shared" ref="GC132:GC153" si="133">(GA132+GB132)*0.475*44/12</f>
        <v>#NUM!</v>
      </c>
      <c r="GD132" s="62" t="e">
        <f t="shared" ref="GD132:GD195" si="134">GC132+(FU132+FV132)*44/12</f>
        <v>#NUM!</v>
      </c>
      <c r="GE132" s="62">
        <f ca="1">AVERAGE(OFFSET($GD$3,0,0,'Données projet'!$E$17+1,1))-AVERAGE(OFFSET($H$3,0,0,'Données projet'!$E$17+1,1))</f>
        <v>324.4489531703187</v>
      </c>
      <c r="GF132" s="62">
        <f t="shared" si="104"/>
        <v>446.55019360848706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projet'!$B$17,Paramètres!$A$1:$I$89,3,0)*0.475*44/12</f>
        <v>0</v>
      </c>
      <c r="GM132" s="23">
        <f>EXP(-LN(2)/25)*GM131+(1-EXP(-LN(2)/25))/(LN(2)/25)*Calculateur!GH132*Calculateur!GJ132*VLOOKUP('Données projet'!$B$17,Paramètres!$A$1:$I$89,3,0)*0.475*44/12</f>
        <v>0</v>
      </c>
      <c r="GN132" s="23">
        <f>EXP(-LN(2)/2)*GN131+(1-EXP(-LN(2)/2))/(LN(2)/2)*GH132*GK132*VLOOKUP('Données projet'!$B$17,Paramètres!$A$1:$I$89,3,0)*0.475*44/12</f>
        <v>0</v>
      </c>
      <c r="GO132" s="23">
        <f t="shared" ref="GO132:GO153" si="135">SUM(GL132:GN132)</f>
        <v>0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1.7053025658242404E-13</v>
      </c>
      <c r="GV132" s="18">
        <f>GU132*VLOOKUP('Données projet'!$B$18,Paramètres!$A$1:$I$89,3,0)*VLOOKUP('Données projet'!$B$18,Paramètres!$A$1:$I$89,5,0)</f>
        <v>1.1439169611549005E-13</v>
      </c>
      <c r="GW132" s="14">
        <f t="shared" si="105"/>
        <v>1.6918016515029816E-12</v>
      </c>
      <c r="GX132" s="22">
        <f t="shared" ref="GX132:GX153" si="136">(GV132+GW132)*0.475*44/12</f>
        <v>3.1457867471021712E-12</v>
      </c>
      <c r="GY132" s="62">
        <f t="shared" ref="GY132:GY195" si="137">GX132+(GP132+GQ132)*44/12</f>
        <v>293.33333333333644</v>
      </c>
      <c r="GZ132" s="62">
        <f ca="1">AVERAGE(OFFSET($GY$3,0,0,'Données projet'!$E$18+1,1))-AVERAGE(OFFSET($H$3,0,0,'Données projet'!$E$18+1,1))</f>
        <v>312.06797204903796</v>
      </c>
      <c r="HA132" s="62">
        <f t="shared" si="106"/>
        <v>258.20189001775151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>
        <f>EXP(-LN(2)/35)*HG131+(1-EXP(-LN(2)/35))/(LN(2)/35)*HC132*HD132*VLOOKUP('Données projet'!$B$18,Paramètres!$A$1:$I$89,3,0)*0.475*44/12</f>
        <v>0</v>
      </c>
      <c r="HH132" s="23">
        <f>EXP(-LN(2)/25)*HH131+(1-EXP(-LN(2)/25))/(LN(2)/25)*Calculateur!HC132*Calculateur!HE132*VLOOKUP('Données projet'!$B$18,Paramètres!$A$1:$I$89,3,0)*0.475*44/12</f>
        <v>0</v>
      </c>
      <c r="HI132" s="23">
        <f>EXP(-LN(2)/2)*HI131+(1-EXP(-LN(2)/2))/(LN(2)/2)*HC132*HF132*VLOOKUP('Données projet'!$B$18,Paramètres!$A$1:$I$89,3,0)*0.475*44/12</f>
        <v>0</v>
      </c>
      <c r="HJ132" s="24">
        <f t="shared" ref="HJ132:HJ153" si="138">SUM(HG132:HI132)</f>
        <v>0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4.0666666666666664</v>
      </c>
      <c r="N133" s="14">
        <f>IF('Données projet'!$A$36&gt;35,N132+M133-V132,IF(A133&lt;'Données projet'!$A$36,$K$205^A133,IF(A133='Données projet'!$A$36,'Données projet'!$B$36,N132+M133-V132)))</f>
        <v>345.6666666666664</v>
      </c>
      <c r="O133" s="14">
        <f>N133*VLOOKUP('Données projet'!$B$9,Paramètres!$A$1:$I$89,3,0)*VLOOKUP('Données projet'!$B$9,Paramètres!$A$1:$I$89,5,0)</f>
        <v>312.75919999999974</v>
      </c>
      <c r="P133" s="14">
        <f t="shared" ref="P133:P196" si="141">EXP(-1.0587+0.8836*LN(O133)+0.284)</f>
        <v>73.844763437371</v>
      </c>
      <c r="Q133" s="22">
        <f t="shared" si="108"/>
        <v>673.33523632008735</v>
      </c>
      <c r="R133" s="62">
        <f t="shared" si="109"/>
        <v>966.66856965342072</v>
      </c>
      <c r="S133" s="62">
        <f ca="1">AVERAGE(OFFSET($R$3,0,0,'Données projet'!$E$9+1,1))-AVERAGE(OFFSET($H$3,0,0,'Données projet'!$E$9+1,1))</f>
        <v>512.84819850818667</v>
      </c>
      <c r="T133" s="62">
        <f t="shared" ref="T133:T196" si="142">$T$3</f>
        <v>332.61387922152159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-5.6843418860808015E-14</v>
      </c>
      <c r="AJ133" s="14">
        <f>AI133*VLOOKUP('Données projet'!$B$10,Paramètres!$A$1:$I$89,3,0)*VLOOKUP('Données projet'!$B$10,Paramètres!$A$1:$I$89,5,0)</f>
        <v>-4.1677594708744434E-14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344.45199703750711</v>
      </c>
      <c r="AO133" s="62">
        <f t="shared" ref="AO133:AO196" si="144">$AO$3</f>
        <v>376.41441893222185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4.0666666666666664</v>
      </c>
      <c r="BD133" s="13">
        <f>IF('Données projet'!$A$88&gt;35,BD132+BC133-BL132,IF(A133&lt;'Données projet'!$A$88,$BA$205^A133,IF(A133='Données projet'!$A$88,'Données projet'!$B$88,BD132+BC133-BL132)))</f>
        <v>345.6666666666664</v>
      </c>
      <c r="BE133" s="14">
        <f>BD133*VLOOKUP('Données projet'!$B$11,Paramètres!$A$1:$I$89,3,0)*VLOOKUP('Données projet'!$B$11,Paramètres!$A$1:$I$89,5,0)</f>
        <v>350.50599999999974</v>
      </c>
      <c r="BF133" s="14">
        <f t="shared" ref="BF133:BF153" si="145">EXP(-1.0587+0.8836*LN(BE133)+0.284)</f>
        <v>81.666693131176686</v>
      </c>
      <c r="BG133" s="22">
        <f t="shared" si="115"/>
        <v>752.70077387013225</v>
      </c>
      <c r="BH133" s="62">
        <f t="shared" si="116"/>
        <v>1046.0341072034655</v>
      </c>
      <c r="BI133" s="62">
        <f ca="1">AVERAGE(OFFSET($BH$3,0,0,'Données projet'!$E$11+1,1))-AVERAGE(OFFSET($H$3,0,0,'Données projet'!$E$11+1,1))</f>
        <v>569.39473185784823</v>
      </c>
      <c r="BJ133" s="62">
        <f t="shared" ref="BJ133:BJ196" si="146">$BJ$3</f>
        <v>367.42881145517066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>
        <f>VLOOKUP(A133,'Données projet'!$A$113:$I$133,2,0)</f>
        <v>461</v>
      </c>
      <c r="BW133" s="13">
        <f>VLOOKUP(A133,'Données projet'!$A$113:$I$133,9,0)</f>
        <v>5</v>
      </c>
      <c r="BX133" s="13">
        <f t="array" ref="BX133">INDEX(BW:BW,MIN(IF(ISNUMBER(BW133:BW329),ROW(BW133:BW329),"")))</f>
        <v>5</v>
      </c>
      <c r="BY133" s="13">
        <f>IF('Données projet'!$A$114&gt;35,BY132+BX133-CG132,IF(A133&lt;'Données projet'!$A$114,$BV$205^A133,IF(A133='Données projet'!$A$114,'Données projet'!$B$114,BY132+BX133-CG132)))</f>
        <v>461</v>
      </c>
      <c r="BZ133" s="14">
        <f>BY133*VLOOKUP('Données projet'!$B$12,Paramètres!$A$1:$I$89,3,0)*VLOOKUP('Données projet'!$B$12,Paramètres!$A$1:$I$89,5,0)</f>
        <v>395.53800000000001</v>
      </c>
      <c r="CA133" s="14">
        <f t="shared" ref="CA133:CA153" si="147">EXP(-1.0587+0.8836*LN(BZ133)+0.284)</f>
        <v>90.871473458412396</v>
      </c>
      <c r="CB133" s="22">
        <f t="shared" si="118"/>
        <v>847.16316627340166</v>
      </c>
      <c r="CC133" s="62">
        <f t="shared" si="119"/>
        <v>1140.4964996067349</v>
      </c>
      <c r="CD133" s="62">
        <f ca="1">AVERAGE(OFFSET($CC$3,0,0,'Données projet'!$E$12+1,1))-AVERAGE(OFFSET($H$3,0,0,'Données projet'!$E$12+1,1))</f>
        <v>554.06253050955502</v>
      </c>
      <c r="CE133" s="62">
        <f t="shared" ref="CE133:CE196" si="148">$CE$3</f>
        <v>269.71949336355789</v>
      </c>
      <c r="CF133" s="16">
        <f>IF(ISNA(VLOOKUP(A133,'Données projet'!$A$113:$I$133,3,0)),0,VLOOKUP(A133,'Données projet'!$A$113:$I$133,3,0))</f>
        <v>11</v>
      </c>
      <c r="CG133" s="16">
        <f>IF(ISNA(VLOOKUP(A133,'Données projet'!$A$113:$I$133,4,0)),0,VLOOKUP(A133,'Données projet'!$A$113:$I$133,4,0))</f>
        <v>41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1.1368683772161603E-13</v>
      </c>
      <c r="CU133" s="18">
        <f>CT133*VLOOKUP('Données projet'!$B$13,Paramètres!$A$1:$I$89,3,0)*VLOOKUP('Données projet'!$B$13,Paramètres!$A$1:$I$89,5,0)</f>
        <v>8.8675733422860506E-14</v>
      </c>
      <c r="CV133" s="14">
        <f t="shared" ref="CV133:CV153" si="149">EXP(-1.0587+0.8836*LN(CU133)+0.284)</f>
        <v>1.3509285393066301E-12</v>
      </c>
      <c r="CW133" s="22">
        <f t="shared" si="121"/>
        <v>2.5073107750038623E-12</v>
      </c>
      <c r="CX133" s="62">
        <f t="shared" si="122"/>
        <v>293.33333333333582</v>
      </c>
      <c r="CY133" s="62">
        <f ca="1">AVERAGE(OFFSET($CX$3,0,0,'Données projet'!$E$13+1,1))-AVERAGE(OFFSET($H$3,0,0,'Données projet'!$E$13+1,1))</f>
        <v>292.21364130214391</v>
      </c>
      <c r="CZ133" s="62">
        <f t="shared" ref="CZ133:CZ196" si="150">$CZ$3</f>
        <v>283.48738729114024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5.6843418860808015E-14</v>
      </c>
      <c r="DP133" s="18">
        <f>DO133*VLOOKUP('Données projet'!$B$14,Paramètres!$A$1:$I$89,3,0)*VLOOKUP('Données projet'!$B$14,Paramètres!$A$1:$I$89,5,0)</f>
        <v>5.4092197387944907E-14</v>
      </c>
      <c r="DQ133" s="14">
        <f t="shared" ref="DQ133:DQ153" si="151">EXP(-1.0587+0.8836*LN(DP133)+0.284)</f>
        <v>8.7287050538073676E-13</v>
      </c>
      <c r="DR133" s="22">
        <f t="shared" si="124"/>
        <v>1.6144600406554537E-12</v>
      </c>
      <c r="DS133" s="62">
        <f t="shared" si="125"/>
        <v>293.33333333333491</v>
      </c>
      <c r="DT133" s="62">
        <f ca="1">AVERAGE(OFFSET($DS$3,0,0,'Données projet'!$E$14+1,1))-AVERAGE(OFFSET($H$3,0,0,'Données projet'!$E$14+1,1))</f>
        <v>427.47603885390191</v>
      </c>
      <c r="DU133" s="62">
        <f t="shared" ref="DU133:DU196" si="152">$DU$3</f>
        <v>350.88664394632116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>
        <f>VLOOKUP(A133,'Données projet'!$A$191:$I$211,2,0)</f>
        <v>300</v>
      </c>
      <c r="EH133" s="13">
        <f>VLOOKUP(A133,'Données projet'!$A$191:$I$211,9,0)</f>
        <v>3.2</v>
      </c>
      <c r="EI133" s="13">
        <f t="array" ref="EI133">INDEX(EH:EH,MIN(IF(ISNUMBER(EH133:EH329),ROW(EH133:EH329),"")))</f>
        <v>3.2</v>
      </c>
      <c r="EJ133" s="13">
        <f>IF('Données projet'!$A$192&gt;35,EJ132+EI133-ER132,IF(A133&lt;'Données projet'!$A$192,$EG$205^A133,IF(A133='Données projet'!$A$192,'Données projet'!$B$192,EJ132+EI133-ER132)))</f>
        <v>299.99999999999937</v>
      </c>
      <c r="EK133" s="18">
        <f>EJ133*VLOOKUP('Données projet'!$B$15,Paramètres!$A$1:$I$89,3,0)*VLOOKUP('Données projet'!$B$15,Paramètres!$A$1:$I$89,5,0)</f>
        <v>290.1599999999994</v>
      </c>
      <c r="EL133" s="14">
        <f t="shared" ref="EL133:EL153" si="153">EXP(-1.0587+0.8836*LN(EK133)+0.284)</f>
        <v>69.10963471703981</v>
      </c>
      <c r="EM133" s="22">
        <f t="shared" si="127"/>
        <v>625.72794713217661</v>
      </c>
      <c r="EN133" s="62">
        <f t="shared" si="128"/>
        <v>919.06128046550998</v>
      </c>
      <c r="EO133" s="62">
        <f ca="1">AVERAGE(OFFSET($EN$3,0,0,'Données projet'!$E$15+1,1))-AVERAGE(OFFSET($H$3,0,0,'Données projet'!$E$15+1,1))</f>
        <v>455.50822833641354</v>
      </c>
      <c r="EP133" s="62">
        <f t="shared" ref="EP133:EP196" si="154">$EP$3</f>
        <v>261.14722581688039</v>
      </c>
      <c r="EQ133" s="16">
        <f>IF(ISNA(VLOOKUP(A133,'Données projet'!$A$191:$I$211,3,0)),0,VLOOKUP(A133,'Données projet'!$A$191:$I$211,3,0))</f>
        <v>11</v>
      </c>
      <c r="ER133" s="16">
        <f>IF(ISNA(VLOOKUP(A133,'Données projet'!$A$191:$I$211,4,0)),0,VLOOKUP(A133,'Données projet'!$A$191:$I$211,4,0))</f>
        <v>31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243</v>
      </c>
      <c r="FF133" s="18">
        <f>FE133*VLOOKUP('Données projet'!$B$16,Paramètres!$A$1:$I$89,3,0)*VLOOKUP('Données projet'!$B$16,Paramètres!$A$1:$I$89,5,0)</f>
        <v>212.28480000000002</v>
      </c>
      <c r="FG133" s="14">
        <f t="shared" ref="FG133:FG153" si="155">EXP(-1.0587+0.8836*LN(FF133)+0.284)</f>
        <v>52.434557099704193</v>
      </c>
      <c r="FH133" s="22">
        <f t="shared" si="130"/>
        <v>461.05288028198476</v>
      </c>
      <c r="FI133" s="62">
        <f t="shared" si="131"/>
        <v>754.38621361531807</v>
      </c>
      <c r="FJ133" s="62">
        <f ca="1">AVERAGE(OFFSET($FI$3,0,0,'Données projet'!$E$16+1,1))-AVERAGE(OFFSET($H$3,0,0,'Données projet'!$E$16+1,1))</f>
        <v>369.34989412920129</v>
      </c>
      <c r="FK133" s="62">
        <f t="shared" ref="FK133:FK196" si="156">$FK$3</f>
        <v>371.26234252426553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0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>
        <f>FZ133*VLOOKUP('Données projet'!$B$17,Paramètres!$A$1:$I$89,3,0)*VLOOKUP('Données projet'!$B$17,Paramètres!$A$1:$I$89,5,0)</f>
        <v>0</v>
      </c>
      <c r="GB133" s="14" t="e">
        <f t="shared" ref="GB133:GB153" si="157">EXP(-1.0587+0.8836*LN(GA133)+0.284)</f>
        <v>#NUM!</v>
      </c>
      <c r="GC133" s="22" t="e">
        <f t="shared" si="133"/>
        <v>#NUM!</v>
      </c>
      <c r="GD133" s="62" t="e">
        <f t="shared" si="134"/>
        <v>#NUM!</v>
      </c>
      <c r="GE133" s="62">
        <f ca="1">AVERAGE(OFFSET($GD$3,0,0,'Données projet'!$E$17+1,1))-AVERAGE(OFFSET($H$3,0,0,'Données projet'!$E$17+1,1))</f>
        <v>324.4489531703187</v>
      </c>
      <c r="GF133" s="62">
        <f t="shared" ref="GF133:GF196" si="158">$GF$3</f>
        <v>446.55019360848706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projet'!$B$17,Paramètres!$A$1:$I$89,3,0)*0.475*44/12</f>
        <v>0</v>
      </c>
      <c r="GM133" s="23">
        <f>EXP(-LN(2)/25)*GM132+(1-EXP(-LN(2)/25))/(LN(2)/25)*Calculateur!GH133*Calculateur!GJ133*VLOOKUP('Données projet'!$B$17,Paramètres!$A$1:$I$89,3,0)*0.475*44/12</f>
        <v>0</v>
      </c>
      <c r="GN133" s="23">
        <f>EXP(-LN(2)/2)*GN132+(1-EXP(-LN(2)/2))/(LN(2)/2)*GH133*GK133*VLOOKUP('Données projet'!$B$17,Paramètres!$A$1:$I$89,3,0)*0.475*44/12</f>
        <v>0</v>
      </c>
      <c r="GO133" s="23">
        <f t="shared" si="135"/>
        <v>0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1.7053025658242404E-13</v>
      </c>
      <c r="GV133" s="18">
        <f>GU133*VLOOKUP('Données projet'!$B$18,Paramètres!$A$1:$I$89,3,0)*VLOOKUP('Données projet'!$B$18,Paramètres!$A$1:$I$89,5,0)</f>
        <v>1.1439169611549005E-13</v>
      </c>
      <c r="GW133" s="14">
        <f t="shared" ref="GW133:GW153" si="159">EXP(-1.0587+0.8836*LN(GV133)+0.284)</f>
        <v>1.6918016515029816E-12</v>
      </c>
      <c r="GX133" s="22">
        <f t="shared" si="136"/>
        <v>3.1457867471021712E-12</v>
      </c>
      <c r="GY133" s="62">
        <f t="shared" si="137"/>
        <v>293.33333333333644</v>
      </c>
      <c r="GZ133" s="62">
        <f ca="1">AVERAGE(OFFSET($GY$3,0,0,'Données projet'!$E$18+1,1))-AVERAGE(OFFSET($H$3,0,0,'Données projet'!$E$18+1,1))</f>
        <v>312.06797204903796</v>
      </c>
      <c r="HA133" s="62">
        <f t="shared" ref="HA133:HA196" si="160">$HA$3</f>
        <v>258.20189001775151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>
        <f>EXP(-LN(2)/35)*HG132+(1-EXP(-LN(2)/35))/(LN(2)/35)*HC133*HD133*VLOOKUP('Données projet'!$B$18,Paramètres!$A$1:$I$89,3,0)*0.475*44/12</f>
        <v>0</v>
      </c>
      <c r="HH133" s="23">
        <f>EXP(-LN(2)/25)*HH132+(1-EXP(-LN(2)/25))/(LN(2)/25)*Calculateur!HC133*Calculateur!HE133*VLOOKUP('Données projet'!$B$18,Paramètres!$A$1:$I$89,3,0)*0.475*44/12</f>
        <v>0</v>
      </c>
      <c r="HI133" s="23">
        <f>EXP(-LN(2)/2)*HI132+(1-EXP(-LN(2)/2))/(LN(2)/2)*HC133*HF133*VLOOKUP('Données projet'!$B$18,Paramètres!$A$1:$I$89,3,0)*0.475*44/12</f>
        <v>0</v>
      </c>
      <c r="HJ133" s="24">
        <f t="shared" si="138"/>
        <v>0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4.0666666666666664</v>
      </c>
      <c r="N134" s="14">
        <f>IF('Données projet'!$A$36&gt;35,N133+M134-V133,IF(A134&lt;'Données projet'!$A$36,$K$205^A134,IF(A134='Données projet'!$A$36,'Données projet'!$B$36,N133+M134-V133)))</f>
        <v>349.73333333333306</v>
      </c>
      <c r="O134" s="14">
        <f>N134*VLOOKUP('Données projet'!$B$9,Paramètres!$A$1:$I$89,3,0)*VLOOKUP('Données projet'!$B$9,Paramètres!$A$1:$I$89,5,0)</f>
        <v>316.43871999999976</v>
      </c>
      <c r="P134" s="14">
        <f t="shared" si="141"/>
        <v>74.61187815297771</v>
      </c>
      <c r="Q134" s="22">
        <f t="shared" si="108"/>
        <v>681.07979178310245</v>
      </c>
      <c r="R134" s="62">
        <f t="shared" si="109"/>
        <v>974.41312511643582</v>
      </c>
      <c r="S134" s="62">
        <f ca="1">AVERAGE(OFFSET($R$3,0,0,'Données projet'!$E$9+1,1))-AVERAGE(OFFSET($H$3,0,0,'Données projet'!$E$9+1,1))</f>
        <v>512.84819850818667</v>
      </c>
      <c r="T134" s="62">
        <f t="shared" si="142"/>
        <v>332.61387922152159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-5.6843418860808015E-14</v>
      </c>
      <c r="AJ134" s="14">
        <f>AI134*VLOOKUP('Données projet'!$B$10,Paramètres!$A$1:$I$89,3,0)*VLOOKUP('Données projet'!$B$10,Paramètres!$A$1:$I$89,5,0)</f>
        <v>-4.1677594708744434E-14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344.45199703750711</v>
      </c>
      <c r="AO134" s="62">
        <f t="shared" si="144"/>
        <v>376.41441893222185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4.0666666666666664</v>
      </c>
      <c r="BD134" s="13">
        <f>IF('Données projet'!$A$88&gt;35,BD133+BC134-BL133,IF(A134&lt;'Données projet'!$A$88,$BA$205^A134,IF(A134='Données projet'!$A$88,'Données projet'!$B$88,BD133+BC134-BL133)))</f>
        <v>349.73333333333306</v>
      </c>
      <c r="BE134" s="14">
        <f>BD134*VLOOKUP('Données projet'!$B$11,Paramètres!$A$1:$I$89,3,0)*VLOOKUP('Données projet'!$B$11,Paramètres!$A$1:$I$89,5,0)</f>
        <v>354.62959999999975</v>
      </c>
      <c r="BF134" s="14">
        <f t="shared" si="145"/>
        <v>82.515063674458276</v>
      </c>
      <c r="BG134" s="22">
        <f t="shared" si="115"/>
        <v>761.36028923301421</v>
      </c>
      <c r="BH134" s="62">
        <f t="shared" si="116"/>
        <v>1054.6936225663476</v>
      </c>
      <c r="BI134" s="62">
        <f ca="1">AVERAGE(OFFSET($BH$3,0,0,'Données projet'!$E$11+1,1))-AVERAGE(OFFSET($H$3,0,0,'Données projet'!$E$11+1,1))</f>
        <v>569.39473185784823</v>
      </c>
      <c r="BJ134" s="62">
        <f t="shared" si="146"/>
        <v>367.42881145517066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4.5999999999999996</v>
      </c>
      <c r="BY134" s="13">
        <f>IF('Données projet'!$A$114&gt;35,BY133+BX134-CG133,IF(A134&lt;'Données projet'!$A$114,$BV$205^A134,IF(A134='Données projet'!$A$114,'Données projet'!$B$114,BY133+BX134-CG133)))</f>
        <v>424.6</v>
      </c>
      <c r="BZ134" s="14">
        <f>BY134*VLOOKUP('Données projet'!$B$12,Paramètres!$A$1:$I$89,3,0)*VLOOKUP('Données projet'!$B$12,Paramètres!$A$1:$I$89,5,0)</f>
        <v>364.30680000000007</v>
      </c>
      <c r="CA134" s="14">
        <f t="shared" si="147"/>
        <v>84.501525912246237</v>
      </c>
      <c r="CB134" s="22">
        <f t="shared" si="118"/>
        <v>781.6745009638289</v>
      </c>
      <c r="CC134" s="62">
        <f t="shared" si="119"/>
        <v>1075.0078342971622</v>
      </c>
      <c r="CD134" s="62">
        <f ca="1">AVERAGE(OFFSET($CC$3,0,0,'Données projet'!$E$12+1,1))-AVERAGE(OFFSET($H$3,0,0,'Données projet'!$E$12+1,1))</f>
        <v>554.06253050955502</v>
      </c>
      <c r="CE134" s="62">
        <f t="shared" si="148"/>
        <v>269.71949336355789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1.1368683772161603E-13</v>
      </c>
      <c r="CU134" s="18">
        <f>CT134*VLOOKUP('Données projet'!$B$13,Paramètres!$A$1:$I$89,3,0)*VLOOKUP('Données projet'!$B$13,Paramètres!$A$1:$I$89,5,0)</f>
        <v>8.8675733422860506E-14</v>
      </c>
      <c r="CV134" s="14">
        <f t="shared" si="149"/>
        <v>1.3509285393066301E-12</v>
      </c>
      <c r="CW134" s="22">
        <f t="shared" si="121"/>
        <v>2.5073107750038623E-12</v>
      </c>
      <c r="CX134" s="62">
        <f t="shared" si="122"/>
        <v>293.33333333333582</v>
      </c>
      <c r="CY134" s="62">
        <f ca="1">AVERAGE(OFFSET($CX$3,0,0,'Données projet'!$E$13+1,1))-AVERAGE(OFFSET($H$3,0,0,'Données projet'!$E$13+1,1))</f>
        <v>292.21364130214391</v>
      </c>
      <c r="CZ134" s="62">
        <f t="shared" si="150"/>
        <v>283.48738729114024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5.6843418860808015E-14</v>
      </c>
      <c r="DP134" s="18">
        <f>DO134*VLOOKUP('Données projet'!$B$14,Paramètres!$A$1:$I$89,3,0)*VLOOKUP('Données projet'!$B$14,Paramètres!$A$1:$I$89,5,0)</f>
        <v>5.4092197387944907E-14</v>
      </c>
      <c r="DQ134" s="14">
        <f t="shared" si="151"/>
        <v>8.7287050538073676E-13</v>
      </c>
      <c r="DR134" s="22">
        <f t="shared" si="124"/>
        <v>1.6144600406554537E-12</v>
      </c>
      <c r="DS134" s="62">
        <f t="shared" si="125"/>
        <v>293.33333333333491</v>
      </c>
      <c r="DT134" s="62">
        <f ca="1">AVERAGE(OFFSET($DS$3,0,0,'Données projet'!$E$14+1,1))-AVERAGE(OFFSET($H$3,0,0,'Données projet'!$E$14+1,1))</f>
        <v>427.47603885390191</v>
      </c>
      <c r="DU134" s="62">
        <f t="shared" si="152"/>
        <v>350.88664394632116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2.7</v>
      </c>
      <c r="EJ134" s="13">
        <f>IF('Données projet'!$A$192&gt;35,EJ133+EI134-ER133,IF(A134&lt;'Données projet'!$A$192,$EG$205^A134,IF(A134='Données projet'!$A$192,'Données projet'!$B$192,EJ133+EI134-ER133)))</f>
        <v>271.69999999999936</v>
      </c>
      <c r="EK134" s="18">
        <f>EJ134*VLOOKUP('Données projet'!$B$15,Paramètres!$A$1:$I$89,3,0)*VLOOKUP('Données projet'!$B$15,Paramètres!$A$1:$I$89,5,0)</f>
        <v>262.7882399999994</v>
      </c>
      <c r="EL134" s="14">
        <f t="shared" si="153"/>
        <v>63.316348571334714</v>
      </c>
      <c r="EM134" s="22">
        <f t="shared" si="127"/>
        <v>567.96549176174028</v>
      </c>
      <c r="EN134" s="62">
        <f t="shared" si="128"/>
        <v>861.29882509507365</v>
      </c>
      <c r="EO134" s="62">
        <f ca="1">AVERAGE(OFFSET($EN$3,0,0,'Données projet'!$E$15+1,1))-AVERAGE(OFFSET($H$3,0,0,'Données projet'!$E$15+1,1))</f>
        <v>455.50822833641354</v>
      </c>
      <c r="EP134" s="62">
        <f t="shared" si="154"/>
        <v>261.14722581688039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243</v>
      </c>
      <c r="FF134" s="18">
        <f>FE134*VLOOKUP('Données projet'!$B$16,Paramètres!$A$1:$I$89,3,0)*VLOOKUP('Données projet'!$B$16,Paramètres!$A$1:$I$89,5,0)</f>
        <v>212.28480000000002</v>
      </c>
      <c r="FG134" s="14">
        <f t="shared" si="155"/>
        <v>52.434557099704193</v>
      </c>
      <c r="FH134" s="22">
        <f t="shared" si="130"/>
        <v>461.05288028198476</v>
      </c>
      <c r="FI134" s="62">
        <f t="shared" si="131"/>
        <v>754.38621361531807</v>
      </c>
      <c r="FJ134" s="62">
        <f ca="1">AVERAGE(OFFSET($FI$3,0,0,'Données projet'!$E$16+1,1))-AVERAGE(OFFSET($H$3,0,0,'Données projet'!$E$16+1,1))</f>
        <v>369.34989412920129</v>
      </c>
      <c r="FK134" s="62">
        <f t="shared" si="156"/>
        <v>371.26234252426553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0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>
        <f>FZ134*VLOOKUP('Données projet'!$B$17,Paramètres!$A$1:$I$89,3,0)*VLOOKUP('Données projet'!$B$17,Paramètres!$A$1:$I$89,5,0)</f>
        <v>0</v>
      </c>
      <c r="GB134" s="14" t="e">
        <f t="shared" si="157"/>
        <v>#NUM!</v>
      </c>
      <c r="GC134" s="22" t="e">
        <f t="shared" si="133"/>
        <v>#NUM!</v>
      </c>
      <c r="GD134" s="62" t="e">
        <f t="shared" si="134"/>
        <v>#NUM!</v>
      </c>
      <c r="GE134" s="62">
        <f ca="1">AVERAGE(OFFSET($GD$3,0,0,'Données projet'!$E$17+1,1))-AVERAGE(OFFSET($H$3,0,0,'Données projet'!$E$17+1,1))</f>
        <v>324.4489531703187</v>
      </c>
      <c r="GF134" s="62">
        <f t="shared" si="158"/>
        <v>446.55019360848706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projet'!$B$17,Paramètres!$A$1:$I$89,3,0)*0.475*44/12</f>
        <v>0</v>
      </c>
      <c r="GM134" s="23">
        <f>EXP(-LN(2)/25)*GM133+(1-EXP(-LN(2)/25))/(LN(2)/25)*Calculateur!GH134*Calculateur!GJ134*VLOOKUP('Données projet'!$B$17,Paramètres!$A$1:$I$89,3,0)*0.475*44/12</f>
        <v>0</v>
      </c>
      <c r="GN134" s="23">
        <f>EXP(-LN(2)/2)*GN133+(1-EXP(-LN(2)/2))/(LN(2)/2)*GH134*GK134*VLOOKUP('Données projet'!$B$17,Paramètres!$A$1:$I$89,3,0)*0.475*44/12</f>
        <v>0</v>
      </c>
      <c r="GO134" s="23">
        <f t="shared" si="135"/>
        <v>0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1.7053025658242404E-13</v>
      </c>
      <c r="GV134" s="18">
        <f>GU134*VLOOKUP('Données projet'!$B$18,Paramètres!$A$1:$I$89,3,0)*VLOOKUP('Données projet'!$B$18,Paramètres!$A$1:$I$89,5,0)</f>
        <v>1.1439169611549005E-13</v>
      </c>
      <c r="GW134" s="14">
        <f t="shared" si="159"/>
        <v>1.6918016515029816E-12</v>
      </c>
      <c r="GX134" s="22">
        <f t="shared" si="136"/>
        <v>3.1457867471021712E-12</v>
      </c>
      <c r="GY134" s="62">
        <f t="shared" si="137"/>
        <v>293.33333333333644</v>
      </c>
      <c r="GZ134" s="62">
        <f ca="1">AVERAGE(OFFSET($GY$3,0,0,'Données projet'!$E$18+1,1))-AVERAGE(OFFSET($H$3,0,0,'Données projet'!$E$18+1,1))</f>
        <v>312.06797204903796</v>
      </c>
      <c r="HA134" s="62">
        <f t="shared" si="160"/>
        <v>258.20189001775151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>
        <f>EXP(-LN(2)/35)*HG133+(1-EXP(-LN(2)/35))/(LN(2)/35)*HC134*HD134*VLOOKUP('Données projet'!$B$18,Paramètres!$A$1:$I$89,3,0)*0.475*44/12</f>
        <v>0</v>
      </c>
      <c r="HH134" s="23">
        <f>EXP(-LN(2)/25)*HH133+(1-EXP(-LN(2)/25))/(LN(2)/25)*Calculateur!HC134*Calculateur!HE134*VLOOKUP('Données projet'!$B$18,Paramètres!$A$1:$I$89,3,0)*0.475*44/12</f>
        <v>0</v>
      </c>
      <c r="HI134" s="23">
        <f>EXP(-LN(2)/2)*HI133+(1-EXP(-LN(2)/2))/(LN(2)/2)*HC134*HF134*VLOOKUP('Données projet'!$B$18,Paramètres!$A$1:$I$89,3,0)*0.475*44/12</f>
        <v>0</v>
      </c>
      <c r="HJ134" s="24">
        <f t="shared" si="138"/>
        <v>0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4.0666666666666664</v>
      </c>
      <c r="N135" s="14">
        <f>IF('Données projet'!$A$36&gt;35,N134+M135-V134,IF(A135&lt;'Données projet'!$A$36,$K$205^A135,IF(A135='Données projet'!$A$36,'Données projet'!$B$36,N134+M135-V134)))</f>
        <v>353.79999999999973</v>
      </c>
      <c r="O135" s="14">
        <f>N135*VLOOKUP('Données projet'!$B$9,Paramètres!$A$1:$I$89,3,0)*VLOOKUP('Données projet'!$B$9,Paramètres!$A$1:$I$89,5,0)</f>
        <v>320.11823999999973</v>
      </c>
      <c r="P135" s="14">
        <f t="shared" si="141"/>
        <v>75.377955265343516</v>
      </c>
      <c r="Q135" s="22">
        <f t="shared" si="108"/>
        <v>688.8225400871396</v>
      </c>
      <c r="R135" s="62">
        <f t="shared" si="109"/>
        <v>982.15587342047297</v>
      </c>
      <c r="S135" s="62">
        <f ca="1">AVERAGE(OFFSET($R$3,0,0,'Données projet'!$E$9+1,1))-AVERAGE(OFFSET($H$3,0,0,'Données projet'!$E$9+1,1))</f>
        <v>512.84819850818667</v>
      </c>
      <c r="T135" s="62">
        <f t="shared" si="142"/>
        <v>332.61387922152159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-5.6843418860808015E-14</v>
      </c>
      <c r="AJ135" s="14">
        <f>AI135*VLOOKUP('Données projet'!$B$10,Paramètres!$A$1:$I$89,3,0)*VLOOKUP('Données projet'!$B$10,Paramètres!$A$1:$I$89,5,0)</f>
        <v>-4.1677594708744434E-14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344.45199703750711</v>
      </c>
      <c r="AO135" s="62">
        <f t="shared" si="144"/>
        <v>376.41441893222185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4.0666666666666664</v>
      </c>
      <c r="BD135" s="13">
        <f>IF('Données projet'!$A$88&gt;35,BD134+BC135-BL134,IF(A135&lt;'Données projet'!$A$88,$BA$205^A135,IF(A135='Données projet'!$A$88,'Données projet'!$B$88,BD134+BC135-BL134)))</f>
        <v>353.79999999999973</v>
      </c>
      <c r="BE135" s="14">
        <f>BD135*VLOOKUP('Données projet'!$B$11,Paramètres!$A$1:$I$89,3,0)*VLOOKUP('Données projet'!$B$11,Paramètres!$A$1:$I$89,5,0)</f>
        <v>358.75319999999977</v>
      </c>
      <c r="BF135" s="14">
        <f t="shared" si="145"/>
        <v>83.362286707455752</v>
      </c>
      <c r="BG135" s="22">
        <f t="shared" si="115"/>
        <v>770.01780601548489</v>
      </c>
      <c r="BH135" s="62">
        <f t="shared" si="116"/>
        <v>1063.3511393488182</v>
      </c>
      <c r="BI135" s="62">
        <f ca="1">AVERAGE(OFFSET($BH$3,0,0,'Données projet'!$E$11+1,1))-AVERAGE(OFFSET($H$3,0,0,'Données projet'!$E$11+1,1))</f>
        <v>569.39473185784823</v>
      </c>
      <c r="BJ135" s="62">
        <f t="shared" si="146"/>
        <v>367.42881145517066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4.5999999999999996</v>
      </c>
      <c r="BY135" s="13">
        <f>IF('Données projet'!$A$114&gt;35,BY134+BX135-CG134,IF(A135&lt;'Données projet'!$A$114,$BV$205^A135,IF(A135='Données projet'!$A$114,'Données projet'!$B$114,BY134+BX135-CG134)))</f>
        <v>429.20000000000005</v>
      </c>
      <c r="BZ135" s="14">
        <f>BY135*VLOOKUP('Données projet'!$B$12,Paramètres!$A$1:$I$89,3,0)*VLOOKUP('Données projet'!$B$12,Paramètres!$A$1:$I$89,5,0)</f>
        <v>368.25360000000006</v>
      </c>
      <c r="CA135" s="14">
        <f t="shared" si="147"/>
        <v>85.309924004420722</v>
      </c>
      <c r="CB135" s="22">
        <f t="shared" si="118"/>
        <v>789.9564709743662</v>
      </c>
      <c r="CC135" s="62">
        <f t="shared" si="119"/>
        <v>1083.2898043076996</v>
      </c>
      <c r="CD135" s="62">
        <f ca="1">AVERAGE(OFFSET($CC$3,0,0,'Données projet'!$E$12+1,1))-AVERAGE(OFFSET($H$3,0,0,'Données projet'!$E$12+1,1))</f>
        <v>554.06253050955502</v>
      </c>
      <c r="CE135" s="62">
        <f t="shared" si="148"/>
        <v>269.71949336355789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1.1368683772161603E-13</v>
      </c>
      <c r="CU135" s="18">
        <f>CT135*VLOOKUP('Données projet'!$B$13,Paramètres!$A$1:$I$89,3,0)*VLOOKUP('Données projet'!$B$13,Paramètres!$A$1:$I$89,5,0)</f>
        <v>8.8675733422860506E-14</v>
      </c>
      <c r="CV135" s="14">
        <f t="shared" si="149"/>
        <v>1.3509285393066301E-12</v>
      </c>
      <c r="CW135" s="22">
        <f t="shared" si="121"/>
        <v>2.5073107750038623E-12</v>
      </c>
      <c r="CX135" s="62">
        <f t="shared" si="122"/>
        <v>293.33333333333582</v>
      </c>
      <c r="CY135" s="62">
        <f ca="1">AVERAGE(OFFSET($CX$3,0,0,'Données projet'!$E$13+1,1))-AVERAGE(OFFSET($H$3,0,0,'Données projet'!$E$13+1,1))</f>
        <v>292.21364130214391</v>
      </c>
      <c r="CZ135" s="62">
        <f t="shared" si="150"/>
        <v>283.48738729114024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5.6843418860808015E-14</v>
      </c>
      <c r="DP135" s="18">
        <f>DO135*VLOOKUP('Données projet'!$B$14,Paramètres!$A$1:$I$89,3,0)*VLOOKUP('Données projet'!$B$14,Paramètres!$A$1:$I$89,5,0)</f>
        <v>5.4092197387944907E-14</v>
      </c>
      <c r="DQ135" s="14">
        <f t="shared" si="151"/>
        <v>8.7287050538073676E-13</v>
      </c>
      <c r="DR135" s="22">
        <f t="shared" si="124"/>
        <v>1.6144600406554537E-12</v>
      </c>
      <c r="DS135" s="62">
        <f t="shared" si="125"/>
        <v>293.33333333333491</v>
      </c>
      <c r="DT135" s="62">
        <f ca="1">AVERAGE(OFFSET($DS$3,0,0,'Données projet'!$E$14+1,1))-AVERAGE(OFFSET($H$3,0,0,'Données projet'!$E$14+1,1))</f>
        <v>427.47603885390191</v>
      </c>
      <c r="DU135" s="62">
        <f t="shared" si="152"/>
        <v>350.88664394632116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2.7</v>
      </c>
      <c r="EJ135" s="13">
        <f>IF('Données projet'!$A$192&gt;35,EJ134+EI135-ER134,IF(A135&lt;'Données projet'!$A$192,$EG$205^A135,IF(A135='Données projet'!$A$192,'Données projet'!$B$192,EJ134+EI135-ER134)))</f>
        <v>274.39999999999935</v>
      </c>
      <c r="EK135" s="18">
        <f>EJ135*VLOOKUP('Données projet'!$B$15,Paramètres!$A$1:$I$89,3,0)*VLOOKUP('Données projet'!$B$15,Paramètres!$A$1:$I$89,5,0)</f>
        <v>265.39967999999936</v>
      </c>
      <c r="EL135" s="14">
        <f t="shared" si="153"/>
        <v>63.87199095821434</v>
      </c>
      <c r="EM135" s="22">
        <f t="shared" si="127"/>
        <v>573.48149358555554</v>
      </c>
      <c r="EN135" s="62">
        <f t="shared" si="128"/>
        <v>866.81482691888891</v>
      </c>
      <c r="EO135" s="62">
        <f ca="1">AVERAGE(OFFSET($EN$3,0,0,'Données projet'!$E$15+1,1))-AVERAGE(OFFSET($H$3,0,0,'Données projet'!$E$15+1,1))</f>
        <v>455.50822833641354</v>
      </c>
      <c r="EP135" s="62">
        <f t="shared" si="154"/>
        <v>261.14722581688039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243</v>
      </c>
      <c r="FF135" s="18">
        <f>FE135*VLOOKUP('Données projet'!$B$16,Paramètres!$A$1:$I$89,3,0)*VLOOKUP('Données projet'!$B$16,Paramètres!$A$1:$I$89,5,0)</f>
        <v>212.28480000000002</v>
      </c>
      <c r="FG135" s="14">
        <f t="shared" si="155"/>
        <v>52.434557099704193</v>
      </c>
      <c r="FH135" s="22">
        <f t="shared" si="130"/>
        <v>461.05288028198476</v>
      </c>
      <c r="FI135" s="62">
        <f t="shared" si="131"/>
        <v>754.38621361531807</v>
      </c>
      <c r="FJ135" s="62">
        <f ca="1">AVERAGE(OFFSET($FI$3,0,0,'Données projet'!$E$16+1,1))-AVERAGE(OFFSET($H$3,0,0,'Données projet'!$E$16+1,1))</f>
        <v>369.34989412920129</v>
      </c>
      <c r="FK135" s="62">
        <f t="shared" si="156"/>
        <v>371.26234252426553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0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>
        <f>FZ135*VLOOKUP('Données projet'!$B$17,Paramètres!$A$1:$I$89,3,0)*VLOOKUP('Données projet'!$B$17,Paramètres!$A$1:$I$89,5,0)</f>
        <v>0</v>
      </c>
      <c r="GB135" s="14" t="e">
        <f t="shared" si="157"/>
        <v>#NUM!</v>
      </c>
      <c r="GC135" s="22" t="e">
        <f t="shared" si="133"/>
        <v>#NUM!</v>
      </c>
      <c r="GD135" s="62" t="e">
        <f t="shared" si="134"/>
        <v>#NUM!</v>
      </c>
      <c r="GE135" s="62">
        <f ca="1">AVERAGE(OFFSET($GD$3,0,0,'Données projet'!$E$17+1,1))-AVERAGE(OFFSET($H$3,0,0,'Données projet'!$E$17+1,1))</f>
        <v>324.4489531703187</v>
      </c>
      <c r="GF135" s="62">
        <f t="shared" si="158"/>
        <v>446.55019360848706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projet'!$B$17,Paramètres!$A$1:$I$89,3,0)*0.475*44/12</f>
        <v>0</v>
      </c>
      <c r="GM135" s="23">
        <f>EXP(-LN(2)/25)*GM134+(1-EXP(-LN(2)/25))/(LN(2)/25)*Calculateur!GH135*Calculateur!GJ135*VLOOKUP('Données projet'!$B$17,Paramètres!$A$1:$I$89,3,0)*0.475*44/12</f>
        <v>0</v>
      </c>
      <c r="GN135" s="23">
        <f>EXP(-LN(2)/2)*GN134+(1-EXP(-LN(2)/2))/(LN(2)/2)*GH135*GK135*VLOOKUP('Données projet'!$B$17,Paramètres!$A$1:$I$89,3,0)*0.475*44/12</f>
        <v>0</v>
      </c>
      <c r="GO135" s="23">
        <f t="shared" si="135"/>
        <v>0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1.7053025658242404E-13</v>
      </c>
      <c r="GV135" s="18">
        <f>GU135*VLOOKUP('Données projet'!$B$18,Paramètres!$A$1:$I$89,3,0)*VLOOKUP('Données projet'!$B$18,Paramètres!$A$1:$I$89,5,0)</f>
        <v>1.1439169611549005E-13</v>
      </c>
      <c r="GW135" s="14">
        <f t="shared" si="159"/>
        <v>1.6918016515029816E-12</v>
      </c>
      <c r="GX135" s="22">
        <f t="shared" si="136"/>
        <v>3.1457867471021712E-12</v>
      </c>
      <c r="GY135" s="62">
        <f t="shared" si="137"/>
        <v>293.33333333333644</v>
      </c>
      <c r="GZ135" s="62">
        <f ca="1">AVERAGE(OFFSET($GY$3,0,0,'Données projet'!$E$18+1,1))-AVERAGE(OFFSET($H$3,0,0,'Données projet'!$E$18+1,1))</f>
        <v>312.06797204903796</v>
      </c>
      <c r="HA135" s="62">
        <f t="shared" si="160"/>
        <v>258.20189001775151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>
        <f>EXP(-LN(2)/35)*HG134+(1-EXP(-LN(2)/35))/(LN(2)/35)*HC135*HD135*VLOOKUP('Données projet'!$B$18,Paramètres!$A$1:$I$89,3,0)*0.475*44/12</f>
        <v>0</v>
      </c>
      <c r="HH135" s="23">
        <f>EXP(-LN(2)/25)*HH134+(1-EXP(-LN(2)/25))/(LN(2)/25)*Calculateur!HC135*Calculateur!HE135*VLOOKUP('Données projet'!$B$18,Paramètres!$A$1:$I$89,3,0)*0.475*44/12</f>
        <v>0</v>
      </c>
      <c r="HI135" s="23">
        <f>EXP(-LN(2)/2)*HI134+(1-EXP(-LN(2)/2))/(LN(2)/2)*HC135*HF135*VLOOKUP('Données projet'!$B$18,Paramètres!$A$1:$I$89,3,0)*0.475*44/12</f>
        <v>0</v>
      </c>
      <c r="HJ135" s="24">
        <f t="shared" si="138"/>
        <v>0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4.0666666666666664</v>
      </c>
      <c r="N136" s="14">
        <f>IF('Données projet'!$A$36&gt;35,N135+M136-V135,IF(A136&lt;'Données projet'!$A$36,$K$205^A136,IF(A136='Données projet'!$A$36,'Données projet'!$B$36,N135+M136-V135)))</f>
        <v>357.86666666666639</v>
      </c>
      <c r="O136" s="14">
        <f>N136*VLOOKUP('Données projet'!$B$9,Paramètres!$A$1:$I$89,3,0)*VLOOKUP('Données projet'!$B$9,Paramètres!$A$1:$I$89,5,0)</f>
        <v>323.79775999999976</v>
      </c>
      <c r="P136" s="14">
        <f t="shared" si="141"/>
        <v>76.14300808086972</v>
      </c>
      <c r="Q136" s="22">
        <f t="shared" si="108"/>
        <v>696.5635044075143</v>
      </c>
      <c r="R136" s="62">
        <f t="shared" si="109"/>
        <v>989.89683774084756</v>
      </c>
      <c r="S136" s="62">
        <f ca="1">AVERAGE(OFFSET($R$3,0,0,'Données projet'!$E$9+1,1))-AVERAGE(OFFSET($H$3,0,0,'Données projet'!$E$9+1,1))</f>
        <v>512.84819850818667</v>
      </c>
      <c r="T136" s="62">
        <f t="shared" si="142"/>
        <v>332.61387922152159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-5.6843418860808015E-14</v>
      </c>
      <c r="AJ136" s="14">
        <f>AI136*VLOOKUP('Données projet'!$B$10,Paramètres!$A$1:$I$89,3,0)*VLOOKUP('Données projet'!$B$10,Paramètres!$A$1:$I$89,5,0)</f>
        <v>-4.1677594708744434E-14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344.45199703750711</v>
      </c>
      <c r="AO136" s="62">
        <f t="shared" si="144"/>
        <v>376.41441893222185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4.0666666666666664</v>
      </c>
      <c r="BD136" s="13">
        <f>IF('Données projet'!$A$88&gt;35,BD135+BC136-BL135,IF(A136&lt;'Données projet'!$A$88,$BA$205^A136,IF(A136='Données projet'!$A$88,'Données projet'!$B$88,BD135+BC136-BL135)))</f>
        <v>357.86666666666639</v>
      </c>
      <c r="BE136" s="14">
        <f>BD136*VLOOKUP('Données projet'!$B$11,Paramètres!$A$1:$I$89,3,0)*VLOOKUP('Données projet'!$B$11,Paramètres!$A$1:$I$89,5,0)</f>
        <v>362.87679999999978</v>
      </c>
      <c r="BF136" s="14">
        <f t="shared" si="145"/>
        <v>84.208376946037347</v>
      </c>
      <c r="BG136" s="22">
        <f t="shared" si="115"/>
        <v>778.67334984768115</v>
      </c>
      <c r="BH136" s="62">
        <f t="shared" si="116"/>
        <v>1072.0066831810145</v>
      </c>
      <c r="BI136" s="62">
        <f ca="1">AVERAGE(OFFSET($BH$3,0,0,'Données projet'!$E$11+1,1))-AVERAGE(OFFSET($H$3,0,0,'Données projet'!$E$11+1,1))</f>
        <v>569.39473185784823</v>
      </c>
      <c r="BJ136" s="62">
        <f t="shared" si="146"/>
        <v>367.42881145517066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4.5999999999999996</v>
      </c>
      <c r="BY136" s="13">
        <f>IF('Données projet'!$A$114&gt;35,BY135+BX136-CG135,IF(A136&lt;'Données projet'!$A$114,$BV$205^A136,IF(A136='Données projet'!$A$114,'Données projet'!$B$114,BY135+BX136-CG135)))</f>
        <v>433.80000000000007</v>
      </c>
      <c r="BZ136" s="14">
        <f>BY136*VLOOKUP('Données projet'!$B$12,Paramètres!$A$1:$I$89,3,0)*VLOOKUP('Données projet'!$B$12,Paramètres!$A$1:$I$89,5,0)</f>
        <v>372.20040000000012</v>
      </c>
      <c r="CA136" s="14">
        <f t="shared" si="147"/>
        <v>86.117314203889592</v>
      </c>
      <c r="CB136" s="22">
        <f t="shared" si="118"/>
        <v>798.2366855717745</v>
      </c>
      <c r="CC136" s="62">
        <f t="shared" si="119"/>
        <v>1091.5700189051079</v>
      </c>
      <c r="CD136" s="62">
        <f ca="1">AVERAGE(OFFSET($CC$3,0,0,'Données projet'!$E$12+1,1))-AVERAGE(OFFSET($H$3,0,0,'Données projet'!$E$12+1,1))</f>
        <v>554.06253050955502</v>
      </c>
      <c r="CE136" s="62">
        <f t="shared" si="148"/>
        <v>269.71949336355789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1.1368683772161603E-13</v>
      </c>
      <c r="CU136" s="18">
        <f>CT136*VLOOKUP('Données projet'!$B$13,Paramètres!$A$1:$I$89,3,0)*VLOOKUP('Données projet'!$B$13,Paramètres!$A$1:$I$89,5,0)</f>
        <v>8.8675733422860506E-14</v>
      </c>
      <c r="CV136" s="14">
        <f t="shared" si="149"/>
        <v>1.3509285393066301E-12</v>
      </c>
      <c r="CW136" s="22">
        <f t="shared" si="121"/>
        <v>2.5073107750038623E-12</v>
      </c>
      <c r="CX136" s="62">
        <f t="shared" si="122"/>
        <v>293.33333333333582</v>
      </c>
      <c r="CY136" s="62">
        <f ca="1">AVERAGE(OFFSET($CX$3,0,0,'Données projet'!$E$13+1,1))-AVERAGE(OFFSET($H$3,0,0,'Données projet'!$E$13+1,1))</f>
        <v>292.21364130214391</v>
      </c>
      <c r="CZ136" s="62">
        <f t="shared" si="150"/>
        <v>283.48738729114024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5.6843418860808015E-14</v>
      </c>
      <c r="DP136" s="18">
        <f>DO136*VLOOKUP('Données projet'!$B$14,Paramètres!$A$1:$I$89,3,0)*VLOOKUP('Données projet'!$B$14,Paramètres!$A$1:$I$89,5,0)</f>
        <v>5.4092197387944907E-14</v>
      </c>
      <c r="DQ136" s="14">
        <f t="shared" si="151"/>
        <v>8.7287050538073676E-13</v>
      </c>
      <c r="DR136" s="22">
        <f t="shared" si="124"/>
        <v>1.6144600406554537E-12</v>
      </c>
      <c r="DS136" s="62">
        <f t="shared" si="125"/>
        <v>293.33333333333491</v>
      </c>
      <c r="DT136" s="62">
        <f ca="1">AVERAGE(OFFSET($DS$3,0,0,'Données projet'!$E$14+1,1))-AVERAGE(OFFSET($H$3,0,0,'Données projet'!$E$14+1,1))</f>
        <v>427.47603885390191</v>
      </c>
      <c r="DU136" s="62">
        <f t="shared" si="152"/>
        <v>350.88664394632116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2.7</v>
      </c>
      <c r="EJ136" s="13">
        <f>IF('Données projet'!$A$192&gt;35,EJ135+EI136-ER135,IF(A136&lt;'Données projet'!$A$192,$EG$205^A136,IF(A136='Données projet'!$A$192,'Données projet'!$B$192,EJ135+EI136-ER135)))</f>
        <v>277.09999999999934</v>
      </c>
      <c r="EK136" s="18">
        <f>EJ136*VLOOKUP('Données projet'!$B$15,Paramètres!$A$1:$I$89,3,0)*VLOOKUP('Données projet'!$B$15,Paramètres!$A$1:$I$89,5,0)</f>
        <v>268.01111999999938</v>
      </c>
      <c r="EL136" s="14">
        <f t="shared" si="153"/>
        <v>64.426997301716739</v>
      </c>
      <c r="EM136" s="22">
        <f t="shared" si="127"/>
        <v>578.99638763382234</v>
      </c>
      <c r="EN136" s="62">
        <f t="shared" si="128"/>
        <v>872.32972096715571</v>
      </c>
      <c r="EO136" s="62">
        <f ca="1">AVERAGE(OFFSET($EN$3,0,0,'Données projet'!$E$15+1,1))-AVERAGE(OFFSET($H$3,0,0,'Données projet'!$E$15+1,1))</f>
        <v>455.50822833641354</v>
      </c>
      <c r="EP136" s="62">
        <f t="shared" si="154"/>
        <v>261.14722581688039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243</v>
      </c>
      <c r="FF136" s="18">
        <f>FE136*VLOOKUP('Données projet'!$B$16,Paramètres!$A$1:$I$89,3,0)*VLOOKUP('Données projet'!$B$16,Paramètres!$A$1:$I$89,5,0)</f>
        <v>212.28480000000002</v>
      </c>
      <c r="FG136" s="14">
        <f t="shared" si="155"/>
        <v>52.434557099704193</v>
      </c>
      <c r="FH136" s="22">
        <f t="shared" si="130"/>
        <v>461.05288028198476</v>
      </c>
      <c r="FI136" s="62">
        <f t="shared" si="131"/>
        <v>754.38621361531807</v>
      </c>
      <c r="FJ136" s="62">
        <f ca="1">AVERAGE(OFFSET($FI$3,0,0,'Données projet'!$E$16+1,1))-AVERAGE(OFFSET($H$3,0,0,'Données projet'!$E$16+1,1))</f>
        <v>369.34989412920129</v>
      </c>
      <c r="FK136" s="62">
        <f t="shared" si="156"/>
        <v>371.26234252426553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0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>
        <f>FZ136*VLOOKUP('Données projet'!$B$17,Paramètres!$A$1:$I$89,3,0)*VLOOKUP('Données projet'!$B$17,Paramètres!$A$1:$I$89,5,0)</f>
        <v>0</v>
      </c>
      <c r="GB136" s="14" t="e">
        <f t="shared" si="157"/>
        <v>#NUM!</v>
      </c>
      <c r="GC136" s="22" t="e">
        <f t="shared" si="133"/>
        <v>#NUM!</v>
      </c>
      <c r="GD136" s="62" t="e">
        <f t="shared" si="134"/>
        <v>#NUM!</v>
      </c>
      <c r="GE136" s="62">
        <f ca="1">AVERAGE(OFFSET($GD$3,0,0,'Données projet'!$E$17+1,1))-AVERAGE(OFFSET($H$3,0,0,'Données projet'!$E$17+1,1))</f>
        <v>324.4489531703187</v>
      </c>
      <c r="GF136" s="62">
        <f t="shared" si="158"/>
        <v>446.55019360848706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projet'!$B$17,Paramètres!$A$1:$I$89,3,0)*0.475*44/12</f>
        <v>0</v>
      </c>
      <c r="GM136" s="23">
        <f>EXP(-LN(2)/25)*GM135+(1-EXP(-LN(2)/25))/(LN(2)/25)*Calculateur!GH136*Calculateur!GJ136*VLOOKUP('Données projet'!$B$17,Paramètres!$A$1:$I$89,3,0)*0.475*44/12</f>
        <v>0</v>
      </c>
      <c r="GN136" s="23">
        <f>EXP(-LN(2)/2)*GN135+(1-EXP(-LN(2)/2))/(LN(2)/2)*GH136*GK136*VLOOKUP('Données projet'!$B$17,Paramètres!$A$1:$I$89,3,0)*0.475*44/12</f>
        <v>0</v>
      </c>
      <c r="GO136" s="23">
        <f t="shared" si="135"/>
        <v>0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1.7053025658242404E-13</v>
      </c>
      <c r="GV136" s="18">
        <f>GU136*VLOOKUP('Données projet'!$B$18,Paramètres!$A$1:$I$89,3,0)*VLOOKUP('Données projet'!$B$18,Paramètres!$A$1:$I$89,5,0)</f>
        <v>1.1439169611549005E-13</v>
      </c>
      <c r="GW136" s="14">
        <f t="shared" si="159"/>
        <v>1.6918016515029816E-12</v>
      </c>
      <c r="GX136" s="22">
        <f t="shared" si="136"/>
        <v>3.1457867471021712E-12</v>
      </c>
      <c r="GY136" s="62">
        <f t="shared" si="137"/>
        <v>293.33333333333644</v>
      </c>
      <c r="GZ136" s="62">
        <f ca="1">AVERAGE(OFFSET($GY$3,0,0,'Données projet'!$E$18+1,1))-AVERAGE(OFFSET($H$3,0,0,'Données projet'!$E$18+1,1))</f>
        <v>312.06797204903796</v>
      </c>
      <c r="HA136" s="62">
        <f t="shared" si="160"/>
        <v>258.20189001775151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>
        <f>EXP(-LN(2)/35)*HG135+(1-EXP(-LN(2)/35))/(LN(2)/35)*HC136*HD136*VLOOKUP('Données projet'!$B$18,Paramètres!$A$1:$I$89,3,0)*0.475*44/12</f>
        <v>0</v>
      </c>
      <c r="HH136" s="23">
        <f>EXP(-LN(2)/25)*HH135+(1-EXP(-LN(2)/25))/(LN(2)/25)*Calculateur!HC136*Calculateur!HE136*VLOOKUP('Données projet'!$B$18,Paramètres!$A$1:$I$89,3,0)*0.475*44/12</f>
        <v>0</v>
      </c>
      <c r="HI136" s="23">
        <f>EXP(-LN(2)/2)*HI135+(1-EXP(-LN(2)/2))/(LN(2)/2)*HC136*HF136*VLOOKUP('Données projet'!$B$18,Paramètres!$A$1:$I$89,3,0)*0.475*44/12</f>
        <v>0</v>
      </c>
      <c r="HJ136" s="24">
        <f t="shared" si="138"/>
        <v>0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4.0666666666666664</v>
      </c>
      <c r="N137" s="14">
        <f>IF('Données projet'!$A$36&gt;35,N136+M137-V136,IF(A137&lt;'Données projet'!$A$36,$K$205^A137,IF(A137='Données projet'!$A$36,'Données projet'!$B$36,N136+M137-V136)))</f>
        <v>361.93333333333305</v>
      </c>
      <c r="O137" s="14">
        <f>N137*VLOOKUP('Données projet'!$B$9,Paramètres!$A$1:$I$89,3,0)*VLOOKUP('Données projet'!$B$9,Paramètres!$A$1:$I$89,5,0)</f>
        <v>327.47727999999972</v>
      </c>
      <c r="P137" s="14">
        <f t="shared" si="141"/>
        <v>76.907049586130199</v>
      </c>
      <c r="Q137" s="22">
        <f t="shared" si="108"/>
        <v>704.30270736250952</v>
      </c>
      <c r="R137" s="62">
        <f t="shared" si="109"/>
        <v>997.63604069584289</v>
      </c>
      <c r="S137" s="62">
        <f ca="1">AVERAGE(OFFSET($R$3,0,0,'Données projet'!$E$9+1,1))-AVERAGE(OFFSET($H$3,0,0,'Données projet'!$E$9+1,1))</f>
        <v>512.84819850818667</v>
      </c>
      <c r="T137" s="62">
        <f t="shared" si="142"/>
        <v>332.61387922152159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-5.6843418860808015E-14</v>
      </c>
      <c r="AJ137" s="14">
        <f>AI137*VLOOKUP('Données projet'!$B$10,Paramètres!$A$1:$I$89,3,0)*VLOOKUP('Données projet'!$B$10,Paramètres!$A$1:$I$89,5,0)</f>
        <v>-4.1677594708744434E-14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344.45199703750711</v>
      </c>
      <c r="AO137" s="62">
        <f t="shared" si="144"/>
        <v>376.41441893222185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4.0666666666666664</v>
      </c>
      <c r="BD137" s="13">
        <f>IF('Données projet'!$A$88&gt;35,BD136+BC137-BL136,IF(A137&lt;'Données projet'!$A$88,$BA$205^A137,IF(A137='Données projet'!$A$88,'Données projet'!$B$88,BD136+BC137-BL136)))</f>
        <v>361.93333333333305</v>
      </c>
      <c r="BE137" s="14">
        <f>BD137*VLOOKUP('Données projet'!$B$11,Paramètres!$A$1:$I$89,3,0)*VLOOKUP('Données projet'!$B$11,Paramètres!$A$1:$I$89,5,0)</f>
        <v>367.00039999999973</v>
      </c>
      <c r="BF137" s="14">
        <f t="shared" si="145"/>
        <v>85.053348752365963</v>
      </c>
      <c r="BG137" s="22">
        <f t="shared" si="115"/>
        <v>787.3269457437035</v>
      </c>
      <c r="BH137" s="62">
        <f t="shared" si="116"/>
        <v>1080.6602790770369</v>
      </c>
      <c r="BI137" s="62">
        <f ca="1">AVERAGE(OFFSET($BH$3,0,0,'Données projet'!$E$11+1,1))-AVERAGE(OFFSET($H$3,0,0,'Données projet'!$E$11+1,1))</f>
        <v>569.39473185784823</v>
      </c>
      <c r="BJ137" s="62">
        <f t="shared" si="146"/>
        <v>367.42881145517066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4.5999999999999996</v>
      </c>
      <c r="BY137" s="13">
        <f>IF('Données projet'!$A$114&gt;35,BY136+BX137-CG136,IF(A137&lt;'Données projet'!$A$114,$BV$205^A137,IF(A137='Données projet'!$A$114,'Données projet'!$B$114,BY136+BX137-CG136)))</f>
        <v>438.40000000000009</v>
      </c>
      <c r="BZ137" s="14">
        <f>BY137*VLOOKUP('Données projet'!$B$12,Paramètres!$A$1:$I$89,3,0)*VLOOKUP('Données projet'!$B$12,Paramètres!$A$1:$I$89,5,0)</f>
        <v>376.14720000000011</v>
      </c>
      <c r="CA137" s="14">
        <f t="shared" si="147"/>
        <v>86.923708435443743</v>
      </c>
      <c r="CB137" s="22">
        <f t="shared" si="118"/>
        <v>806.51516552506473</v>
      </c>
      <c r="CC137" s="62">
        <f t="shared" si="119"/>
        <v>1099.848498858398</v>
      </c>
      <c r="CD137" s="62">
        <f ca="1">AVERAGE(OFFSET($CC$3,0,0,'Données projet'!$E$12+1,1))-AVERAGE(OFFSET($H$3,0,0,'Données projet'!$E$12+1,1))</f>
        <v>554.06253050955502</v>
      </c>
      <c r="CE137" s="62">
        <f t="shared" si="148"/>
        <v>269.71949336355789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1.1368683772161603E-13</v>
      </c>
      <c r="CU137" s="18">
        <f>CT137*VLOOKUP('Données projet'!$B$13,Paramètres!$A$1:$I$89,3,0)*VLOOKUP('Données projet'!$B$13,Paramètres!$A$1:$I$89,5,0)</f>
        <v>8.8675733422860506E-14</v>
      </c>
      <c r="CV137" s="14">
        <f t="shared" si="149"/>
        <v>1.3509285393066301E-12</v>
      </c>
      <c r="CW137" s="22">
        <f t="shared" si="121"/>
        <v>2.5073107750038623E-12</v>
      </c>
      <c r="CX137" s="62">
        <f t="shared" si="122"/>
        <v>293.33333333333582</v>
      </c>
      <c r="CY137" s="62">
        <f ca="1">AVERAGE(OFFSET($CX$3,0,0,'Données projet'!$E$13+1,1))-AVERAGE(OFFSET($H$3,0,0,'Données projet'!$E$13+1,1))</f>
        <v>292.21364130214391</v>
      </c>
      <c r="CZ137" s="62">
        <f t="shared" si="150"/>
        <v>283.48738729114024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5.6843418860808015E-14</v>
      </c>
      <c r="DP137" s="18">
        <f>DO137*VLOOKUP('Données projet'!$B$14,Paramètres!$A$1:$I$89,3,0)*VLOOKUP('Données projet'!$B$14,Paramètres!$A$1:$I$89,5,0)</f>
        <v>5.4092197387944907E-14</v>
      </c>
      <c r="DQ137" s="14">
        <f t="shared" si="151"/>
        <v>8.7287050538073676E-13</v>
      </c>
      <c r="DR137" s="22">
        <f t="shared" si="124"/>
        <v>1.6144600406554537E-12</v>
      </c>
      <c r="DS137" s="62">
        <f t="shared" si="125"/>
        <v>293.33333333333491</v>
      </c>
      <c r="DT137" s="62">
        <f ca="1">AVERAGE(OFFSET($DS$3,0,0,'Données projet'!$E$14+1,1))-AVERAGE(OFFSET($H$3,0,0,'Données projet'!$E$14+1,1))</f>
        <v>427.47603885390191</v>
      </c>
      <c r="DU137" s="62">
        <f t="shared" si="152"/>
        <v>350.88664394632116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2.7</v>
      </c>
      <c r="EJ137" s="13">
        <f>IF('Données projet'!$A$192&gt;35,EJ136+EI137-ER136,IF(A137&lt;'Données projet'!$A$192,$EG$205^A137,IF(A137='Données projet'!$A$192,'Données projet'!$B$192,EJ136+EI137-ER136)))</f>
        <v>279.79999999999933</v>
      </c>
      <c r="EK137" s="18">
        <f>EJ137*VLOOKUP('Données projet'!$B$15,Paramètres!$A$1:$I$89,3,0)*VLOOKUP('Données projet'!$B$15,Paramètres!$A$1:$I$89,5,0)</f>
        <v>270.62255999999934</v>
      </c>
      <c r="EL137" s="14">
        <f t="shared" si="153"/>
        <v>64.981374516987898</v>
      </c>
      <c r="EM137" s="22">
        <f t="shared" si="127"/>
        <v>584.51018595041944</v>
      </c>
      <c r="EN137" s="62">
        <f t="shared" si="128"/>
        <v>877.84351928375281</v>
      </c>
      <c r="EO137" s="62">
        <f ca="1">AVERAGE(OFFSET($EN$3,0,0,'Données projet'!$E$15+1,1))-AVERAGE(OFFSET($H$3,0,0,'Données projet'!$E$15+1,1))</f>
        <v>455.50822833641354</v>
      </c>
      <c r="EP137" s="62">
        <f t="shared" si="154"/>
        <v>261.14722581688039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243</v>
      </c>
      <c r="FF137" s="18">
        <f>FE137*VLOOKUP('Données projet'!$B$16,Paramètres!$A$1:$I$89,3,0)*VLOOKUP('Données projet'!$B$16,Paramètres!$A$1:$I$89,5,0)</f>
        <v>212.28480000000002</v>
      </c>
      <c r="FG137" s="14">
        <f t="shared" si="155"/>
        <v>52.434557099704193</v>
      </c>
      <c r="FH137" s="22">
        <f t="shared" si="130"/>
        <v>461.05288028198476</v>
      </c>
      <c r="FI137" s="62">
        <f t="shared" si="131"/>
        <v>754.38621361531807</v>
      </c>
      <c r="FJ137" s="62">
        <f ca="1">AVERAGE(OFFSET($FI$3,0,0,'Données projet'!$E$16+1,1))-AVERAGE(OFFSET($H$3,0,0,'Données projet'!$E$16+1,1))</f>
        <v>369.34989412920129</v>
      </c>
      <c r="FK137" s="62">
        <f t="shared" si="156"/>
        <v>371.26234252426553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0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>
        <f>FZ137*VLOOKUP('Données projet'!$B$17,Paramètres!$A$1:$I$89,3,0)*VLOOKUP('Données projet'!$B$17,Paramètres!$A$1:$I$89,5,0)</f>
        <v>0</v>
      </c>
      <c r="GB137" s="14" t="e">
        <f t="shared" si="157"/>
        <v>#NUM!</v>
      </c>
      <c r="GC137" s="22" t="e">
        <f t="shared" si="133"/>
        <v>#NUM!</v>
      </c>
      <c r="GD137" s="62" t="e">
        <f t="shared" si="134"/>
        <v>#NUM!</v>
      </c>
      <c r="GE137" s="62">
        <f ca="1">AVERAGE(OFFSET($GD$3,0,0,'Données projet'!$E$17+1,1))-AVERAGE(OFFSET($H$3,0,0,'Données projet'!$E$17+1,1))</f>
        <v>324.4489531703187</v>
      </c>
      <c r="GF137" s="62">
        <f t="shared" si="158"/>
        <v>446.55019360848706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projet'!$B$17,Paramètres!$A$1:$I$89,3,0)*0.475*44/12</f>
        <v>0</v>
      </c>
      <c r="GM137" s="23">
        <f>EXP(-LN(2)/25)*GM136+(1-EXP(-LN(2)/25))/(LN(2)/25)*Calculateur!GH137*Calculateur!GJ137*VLOOKUP('Données projet'!$B$17,Paramètres!$A$1:$I$89,3,0)*0.475*44/12</f>
        <v>0</v>
      </c>
      <c r="GN137" s="23">
        <f>EXP(-LN(2)/2)*GN136+(1-EXP(-LN(2)/2))/(LN(2)/2)*GH137*GK137*VLOOKUP('Données projet'!$B$17,Paramètres!$A$1:$I$89,3,0)*0.475*44/12</f>
        <v>0</v>
      </c>
      <c r="GO137" s="23">
        <f t="shared" si="135"/>
        <v>0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1.7053025658242404E-13</v>
      </c>
      <c r="GV137" s="18">
        <f>GU137*VLOOKUP('Données projet'!$B$18,Paramètres!$A$1:$I$89,3,0)*VLOOKUP('Données projet'!$B$18,Paramètres!$A$1:$I$89,5,0)</f>
        <v>1.1439169611549005E-13</v>
      </c>
      <c r="GW137" s="14">
        <f t="shared" si="159"/>
        <v>1.6918016515029816E-12</v>
      </c>
      <c r="GX137" s="22">
        <f t="shared" si="136"/>
        <v>3.1457867471021712E-12</v>
      </c>
      <c r="GY137" s="62">
        <f t="shared" si="137"/>
        <v>293.33333333333644</v>
      </c>
      <c r="GZ137" s="62">
        <f ca="1">AVERAGE(OFFSET($GY$3,0,0,'Données projet'!$E$18+1,1))-AVERAGE(OFFSET($H$3,0,0,'Données projet'!$E$18+1,1))</f>
        <v>312.06797204903796</v>
      </c>
      <c r="HA137" s="62">
        <f t="shared" si="160"/>
        <v>258.20189001775151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>
        <f>EXP(-LN(2)/35)*HG136+(1-EXP(-LN(2)/35))/(LN(2)/35)*HC137*HD137*VLOOKUP('Données projet'!$B$18,Paramètres!$A$1:$I$89,3,0)*0.475*44/12</f>
        <v>0</v>
      </c>
      <c r="HH137" s="23">
        <f>EXP(-LN(2)/25)*HH136+(1-EXP(-LN(2)/25))/(LN(2)/25)*Calculateur!HC137*Calculateur!HE137*VLOOKUP('Données projet'!$B$18,Paramètres!$A$1:$I$89,3,0)*0.475*44/12</f>
        <v>0</v>
      </c>
      <c r="HI137" s="23">
        <f>EXP(-LN(2)/2)*HI136+(1-EXP(-LN(2)/2))/(LN(2)/2)*HC137*HF137*VLOOKUP('Données projet'!$B$18,Paramètres!$A$1:$I$89,3,0)*0.475*44/12</f>
        <v>0</v>
      </c>
      <c r="HJ137" s="24">
        <f t="shared" si="138"/>
        <v>0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>
        <f>VLOOKUP(A138,'Données projet'!$A$35:$I$55,2,0)</f>
        <v>366</v>
      </c>
      <c r="L138" s="13">
        <f>VLOOKUP(A138,'Données projet'!$A$35:$I$55,9,0)</f>
        <v>4.0666666666666664</v>
      </c>
      <c r="M138" s="13">
        <f t="array" ref="M138">INDEX(L:L,MIN(IF(ISNUMBER(L138:L334),ROW(L138:L334),"")))</f>
        <v>4.0666666666666664</v>
      </c>
      <c r="N138" s="14">
        <f>IF('Données projet'!$A$36&gt;35,N137+M138-V137,IF(A138&lt;'Données projet'!$A$36,$K$205^A138,IF(A138='Données projet'!$A$36,'Données projet'!$B$36,N137+M138-V137)))</f>
        <v>365.99999999999972</v>
      </c>
      <c r="O138" s="14">
        <f>N138*VLOOKUP('Données projet'!$B$9,Paramètres!$A$1:$I$89,3,0)*VLOOKUP('Données projet'!$B$9,Paramètres!$A$1:$I$89,5,0)</f>
        <v>331.15679999999975</v>
      </c>
      <c r="P138" s="14">
        <f t="shared" si="141"/>
        <v>77.67009245906327</v>
      </c>
      <c r="Q138" s="22">
        <f t="shared" si="108"/>
        <v>712.04017103286799</v>
      </c>
      <c r="R138" s="62">
        <f t="shared" si="109"/>
        <v>1005.3735043662014</v>
      </c>
      <c r="S138" s="62">
        <f ca="1">AVERAGE(OFFSET($R$3,0,0,'Données projet'!$E$9+1,1))-AVERAGE(OFFSET($H$3,0,0,'Données projet'!$E$9+1,1))</f>
        <v>512.84819850818667</v>
      </c>
      <c r="T138" s="62">
        <f t="shared" si="142"/>
        <v>332.61387922152159</v>
      </c>
      <c r="U138" s="16">
        <f>IF(ISNA(VLOOKUP(A138,'Données projet'!$A$35:$I$55,3,0)),0,VLOOKUP(A138,'Données projet'!$A$35:$I$55,3,0))</f>
        <v>12</v>
      </c>
      <c r="V138" s="16">
        <f>IF(ISNA(VLOOKUP(A138,'Données projet'!$A$35:$I$55,4,0)),0,VLOOKUP(A138,'Données projet'!$A$35:$I$55,4,0))</f>
        <v>65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-5.6843418860808015E-14</v>
      </c>
      <c r="AJ138" s="14">
        <f>AI138*VLOOKUP('Données projet'!$B$10,Paramètres!$A$1:$I$89,3,0)*VLOOKUP('Données projet'!$B$10,Paramètres!$A$1:$I$89,5,0)</f>
        <v>-4.1677594708744434E-14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344.45199703750711</v>
      </c>
      <c r="AO138" s="62">
        <f t="shared" si="144"/>
        <v>376.41441893222185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>
        <f>VLOOKUP(A138,'Données projet'!$A$87:$I$107,2,0)</f>
        <v>366</v>
      </c>
      <c r="BB138" s="13">
        <f>VLOOKUP(A138,'Données projet'!$A$87:$I$107,9,0)</f>
        <v>4.0666666666666664</v>
      </c>
      <c r="BC138" s="13">
        <f t="array" ref="BC138">INDEX(BB:BB,MIN(IF(ISNUMBER(BB138:BB334),ROW(BB138:BB334),"")))</f>
        <v>4.0666666666666664</v>
      </c>
      <c r="BD138" s="13">
        <f>IF('Données projet'!$A$88&gt;35,BD137+BC138-BL137,IF(A138&lt;'Données projet'!$A$88,$BA$205^A138,IF(A138='Données projet'!$A$88,'Données projet'!$B$88,BD137+BC138-BL137)))</f>
        <v>365.99999999999972</v>
      </c>
      <c r="BE138" s="14">
        <f>BD138*VLOOKUP('Données projet'!$B$11,Paramètres!$A$1:$I$89,3,0)*VLOOKUP('Données projet'!$B$11,Paramètres!$A$1:$I$89,5,0)</f>
        <v>371.12399999999974</v>
      </c>
      <c r="BF138" s="14">
        <f t="shared" si="145"/>
        <v>85.897216147277533</v>
      </c>
      <c r="BG138" s="22">
        <f t="shared" si="115"/>
        <v>795.97861812317467</v>
      </c>
      <c r="BH138" s="62">
        <f t="shared" si="116"/>
        <v>1089.311951456508</v>
      </c>
      <c r="BI138" s="62">
        <f ca="1">AVERAGE(OFFSET($BH$3,0,0,'Données projet'!$E$11+1,1))-AVERAGE(OFFSET($H$3,0,0,'Données projet'!$E$11+1,1))</f>
        <v>569.39473185784823</v>
      </c>
      <c r="BJ138" s="62">
        <f t="shared" si="146"/>
        <v>367.42881145517066</v>
      </c>
      <c r="BK138" s="16">
        <f>IF(ISNA(VLOOKUP(A138,'Données projet'!$A$87:$I$107,3,0)),0,VLOOKUP(A138,'Données projet'!$A$87:$I$107,3,0))</f>
        <v>12</v>
      </c>
      <c r="BL138" s="16">
        <f>IF(ISNA(VLOOKUP(A138,'Données projet'!$A$87:$I$107,4,0)),0,VLOOKUP(A138,'Données projet'!$A$87:$I$107,4,0))</f>
        <v>65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4.5999999999999996</v>
      </c>
      <c r="BY138" s="13">
        <f>IF('Données projet'!$A$114&gt;35,BY137+BX138-CG137,IF(A138&lt;'Données projet'!$A$114,$BV$205^A138,IF(A138='Données projet'!$A$114,'Données projet'!$B$114,BY137+BX138-CG137)))</f>
        <v>443.00000000000011</v>
      </c>
      <c r="BZ138" s="14">
        <f>BY138*VLOOKUP('Données projet'!$B$12,Paramètres!$A$1:$I$89,3,0)*VLOOKUP('Données projet'!$B$12,Paramètres!$A$1:$I$89,5,0)</f>
        <v>380.09400000000016</v>
      </c>
      <c r="CA138" s="14">
        <f t="shared" si="147"/>
        <v>87.729118359210247</v>
      </c>
      <c r="CB138" s="22">
        <f t="shared" si="118"/>
        <v>814.79193114229145</v>
      </c>
      <c r="CC138" s="62">
        <f t="shared" si="119"/>
        <v>1108.1252644756248</v>
      </c>
      <c r="CD138" s="62">
        <f ca="1">AVERAGE(OFFSET($CC$3,0,0,'Données projet'!$E$12+1,1))-AVERAGE(OFFSET($H$3,0,0,'Données projet'!$E$12+1,1))</f>
        <v>554.06253050955502</v>
      </c>
      <c r="CE138" s="62">
        <f t="shared" si="148"/>
        <v>269.71949336355789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1.1368683772161603E-13</v>
      </c>
      <c r="CU138" s="18">
        <f>CT138*VLOOKUP('Données projet'!$B$13,Paramètres!$A$1:$I$89,3,0)*VLOOKUP('Données projet'!$B$13,Paramètres!$A$1:$I$89,5,0)</f>
        <v>8.8675733422860506E-14</v>
      </c>
      <c r="CV138" s="14">
        <f t="shared" si="149"/>
        <v>1.3509285393066301E-12</v>
      </c>
      <c r="CW138" s="22">
        <f t="shared" si="121"/>
        <v>2.5073107750038623E-12</v>
      </c>
      <c r="CX138" s="62">
        <f t="shared" si="122"/>
        <v>293.33333333333582</v>
      </c>
      <c r="CY138" s="62">
        <f ca="1">AVERAGE(OFFSET($CX$3,0,0,'Données projet'!$E$13+1,1))-AVERAGE(OFFSET($H$3,0,0,'Données projet'!$E$13+1,1))</f>
        <v>292.21364130214391</v>
      </c>
      <c r="CZ138" s="62">
        <f t="shared" si="150"/>
        <v>283.48738729114024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5.6843418860808015E-14</v>
      </c>
      <c r="DP138" s="18">
        <f>DO138*VLOOKUP('Données projet'!$B$14,Paramètres!$A$1:$I$89,3,0)*VLOOKUP('Données projet'!$B$14,Paramètres!$A$1:$I$89,5,0)</f>
        <v>5.4092197387944907E-14</v>
      </c>
      <c r="DQ138" s="14">
        <f t="shared" si="151"/>
        <v>8.7287050538073676E-13</v>
      </c>
      <c r="DR138" s="22">
        <f t="shared" si="124"/>
        <v>1.6144600406554537E-12</v>
      </c>
      <c r="DS138" s="62">
        <f t="shared" si="125"/>
        <v>293.33333333333491</v>
      </c>
      <c r="DT138" s="62">
        <f ca="1">AVERAGE(OFFSET($DS$3,0,0,'Données projet'!$E$14+1,1))-AVERAGE(OFFSET($H$3,0,0,'Données projet'!$E$14+1,1))</f>
        <v>427.47603885390191</v>
      </c>
      <c r="DU138" s="62">
        <f t="shared" si="152"/>
        <v>350.88664394632116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2.7</v>
      </c>
      <c r="EJ138" s="13">
        <f>IF('Données projet'!$A$192&gt;35,EJ137+EI138-ER137,IF(A138&lt;'Données projet'!$A$192,$EG$205^A138,IF(A138='Données projet'!$A$192,'Données projet'!$B$192,EJ137+EI138-ER137)))</f>
        <v>282.49999999999932</v>
      </c>
      <c r="EK138" s="18">
        <f>EJ138*VLOOKUP('Données projet'!$B$15,Paramètres!$A$1:$I$89,3,0)*VLOOKUP('Données projet'!$B$15,Paramètres!$A$1:$I$89,5,0)</f>
        <v>273.23399999999936</v>
      </c>
      <c r="EL138" s="14">
        <f t="shared" si="153"/>
        <v>65.535129378020301</v>
      </c>
      <c r="EM138" s="22">
        <f t="shared" si="127"/>
        <v>590.0229003333842</v>
      </c>
      <c r="EN138" s="62">
        <f t="shared" si="128"/>
        <v>883.35623366671757</v>
      </c>
      <c r="EO138" s="62">
        <f ca="1">AVERAGE(OFFSET($EN$3,0,0,'Données projet'!$E$15+1,1))-AVERAGE(OFFSET($H$3,0,0,'Données projet'!$E$15+1,1))</f>
        <v>455.50822833641354</v>
      </c>
      <c r="EP138" s="62">
        <f t="shared" si="154"/>
        <v>261.14722581688039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243</v>
      </c>
      <c r="FF138" s="18">
        <f>FE138*VLOOKUP('Données projet'!$B$16,Paramètres!$A$1:$I$89,3,0)*VLOOKUP('Données projet'!$B$16,Paramètres!$A$1:$I$89,5,0)</f>
        <v>212.28480000000002</v>
      </c>
      <c r="FG138" s="14">
        <f t="shared" si="155"/>
        <v>52.434557099704193</v>
      </c>
      <c r="FH138" s="22">
        <f t="shared" si="130"/>
        <v>461.05288028198476</v>
      </c>
      <c r="FI138" s="62">
        <f t="shared" si="131"/>
        <v>754.38621361531807</v>
      </c>
      <c r="FJ138" s="62">
        <f ca="1">AVERAGE(OFFSET($FI$3,0,0,'Données projet'!$E$16+1,1))-AVERAGE(OFFSET($H$3,0,0,'Données projet'!$E$16+1,1))</f>
        <v>369.34989412920129</v>
      </c>
      <c r="FK138" s="62">
        <f t="shared" si="156"/>
        <v>371.26234252426553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0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>
        <f>FZ138*VLOOKUP('Données projet'!$B$17,Paramètres!$A$1:$I$89,3,0)*VLOOKUP('Données projet'!$B$17,Paramètres!$A$1:$I$89,5,0)</f>
        <v>0</v>
      </c>
      <c r="GB138" s="14" t="e">
        <f t="shared" si="157"/>
        <v>#NUM!</v>
      </c>
      <c r="GC138" s="22" t="e">
        <f t="shared" si="133"/>
        <v>#NUM!</v>
      </c>
      <c r="GD138" s="62" t="e">
        <f t="shared" si="134"/>
        <v>#NUM!</v>
      </c>
      <c r="GE138" s="62">
        <f ca="1">AVERAGE(OFFSET($GD$3,0,0,'Données projet'!$E$17+1,1))-AVERAGE(OFFSET($H$3,0,0,'Données projet'!$E$17+1,1))</f>
        <v>324.4489531703187</v>
      </c>
      <c r="GF138" s="62">
        <f t="shared" si="158"/>
        <v>446.55019360848706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projet'!$B$17,Paramètres!$A$1:$I$89,3,0)*0.475*44/12</f>
        <v>0</v>
      </c>
      <c r="GM138" s="23">
        <f>EXP(-LN(2)/25)*GM137+(1-EXP(-LN(2)/25))/(LN(2)/25)*Calculateur!GH138*Calculateur!GJ138*VLOOKUP('Données projet'!$B$17,Paramètres!$A$1:$I$89,3,0)*0.475*44/12</f>
        <v>0</v>
      </c>
      <c r="GN138" s="23">
        <f>EXP(-LN(2)/2)*GN137+(1-EXP(-LN(2)/2))/(LN(2)/2)*GH138*GK138*VLOOKUP('Données projet'!$B$17,Paramètres!$A$1:$I$89,3,0)*0.475*44/12</f>
        <v>0</v>
      </c>
      <c r="GO138" s="23">
        <f t="shared" si="135"/>
        <v>0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1.7053025658242404E-13</v>
      </c>
      <c r="GV138" s="18">
        <f>GU138*VLOOKUP('Données projet'!$B$18,Paramètres!$A$1:$I$89,3,0)*VLOOKUP('Données projet'!$B$18,Paramètres!$A$1:$I$89,5,0)</f>
        <v>1.1439169611549005E-13</v>
      </c>
      <c r="GW138" s="14">
        <f t="shared" si="159"/>
        <v>1.6918016515029816E-12</v>
      </c>
      <c r="GX138" s="22">
        <f t="shared" si="136"/>
        <v>3.1457867471021712E-12</v>
      </c>
      <c r="GY138" s="62">
        <f t="shared" si="137"/>
        <v>293.33333333333644</v>
      </c>
      <c r="GZ138" s="62">
        <f ca="1">AVERAGE(OFFSET($GY$3,0,0,'Données projet'!$E$18+1,1))-AVERAGE(OFFSET($H$3,0,0,'Données projet'!$E$18+1,1))</f>
        <v>312.06797204903796</v>
      </c>
      <c r="HA138" s="62">
        <f t="shared" si="160"/>
        <v>258.20189001775151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>
        <f>EXP(-LN(2)/35)*HG137+(1-EXP(-LN(2)/35))/(LN(2)/35)*HC138*HD138*VLOOKUP('Données projet'!$B$18,Paramètres!$A$1:$I$89,3,0)*0.475*44/12</f>
        <v>0</v>
      </c>
      <c r="HH138" s="23">
        <f>EXP(-LN(2)/25)*HH137+(1-EXP(-LN(2)/25))/(LN(2)/25)*Calculateur!HC138*Calculateur!HE138*VLOOKUP('Données projet'!$B$18,Paramètres!$A$1:$I$89,3,0)*0.475*44/12</f>
        <v>0</v>
      </c>
      <c r="HI138" s="23">
        <f>EXP(-LN(2)/2)*HI137+(1-EXP(-LN(2)/2))/(LN(2)/2)*HC138*HF138*VLOOKUP('Données projet'!$B$18,Paramètres!$A$1:$I$89,3,0)*0.475*44/12</f>
        <v>0</v>
      </c>
      <c r="HJ138" s="24">
        <f t="shared" si="138"/>
        <v>0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3.6</v>
      </c>
      <c r="N139" s="14">
        <f>IF('Données projet'!$A$36&gt;35,N138+M139-V138,IF(A139&lt;'Données projet'!$A$36,$K$205^A139,IF(A139='Données projet'!$A$36,'Données projet'!$B$36,N138+M139-V138)))</f>
        <v>304.59999999999974</v>
      </c>
      <c r="O139" s="14">
        <f>N139*VLOOKUP('Données projet'!$B$9,Paramètres!$A$1:$I$89,3,0)*VLOOKUP('Données projet'!$B$9,Paramètres!$A$1:$I$89,5,0)</f>
        <v>275.60207999999977</v>
      </c>
      <c r="P139" s="14">
        <f t="shared" si="141"/>
        <v>66.036747345007257</v>
      </c>
      <c r="Q139" s="22">
        <f t="shared" si="108"/>
        <v>595.02095762588726</v>
      </c>
      <c r="R139" s="62">
        <f t="shared" si="109"/>
        <v>888.35429095922063</v>
      </c>
      <c r="S139" s="62">
        <f ca="1">AVERAGE(OFFSET($R$3,0,0,'Données projet'!$E$9+1,1))-AVERAGE(OFFSET($H$3,0,0,'Données projet'!$E$9+1,1))</f>
        <v>512.84819850818667</v>
      </c>
      <c r="T139" s="62">
        <f t="shared" si="142"/>
        <v>332.61387922152159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-5.6843418860808015E-14</v>
      </c>
      <c r="AJ139" s="14">
        <f>AI139*VLOOKUP('Données projet'!$B$10,Paramètres!$A$1:$I$89,3,0)*VLOOKUP('Données projet'!$B$10,Paramètres!$A$1:$I$89,5,0)</f>
        <v>-4.1677594708744434E-14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344.45199703750711</v>
      </c>
      <c r="AO139" s="62">
        <f t="shared" si="144"/>
        <v>376.41441893222185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3.6</v>
      </c>
      <c r="BD139" s="13">
        <f>IF('Données projet'!$A$88&gt;35,BD138+BC139-BL138,IF(A139&lt;'Données projet'!$A$88,$BA$205^A139,IF(A139='Données projet'!$A$88,'Données projet'!$B$88,BD138+BC139-BL138)))</f>
        <v>304.59999999999974</v>
      </c>
      <c r="BE139" s="14">
        <f>BD139*VLOOKUP('Données projet'!$B$11,Paramètres!$A$1:$I$89,3,0)*VLOOKUP('Données projet'!$B$11,Paramètres!$A$1:$I$89,5,0)</f>
        <v>308.86439999999976</v>
      </c>
      <c r="BF139" s="14">
        <f t="shared" si="145"/>
        <v>73.031621062469057</v>
      </c>
      <c r="BG139" s="22">
        <f t="shared" si="115"/>
        <v>665.1355700171332</v>
      </c>
      <c r="BH139" s="62">
        <f t="shared" si="116"/>
        <v>958.46890335046646</v>
      </c>
      <c r="BI139" s="62">
        <f ca="1">AVERAGE(OFFSET($BH$3,0,0,'Données projet'!$E$11+1,1))-AVERAGE(OFFSET($H$3,0,0,'Données projet'!$E$11+1,1))</f>
        <v>569.39473185784823</v>
      </c>
      <c r="BJ139" s="62">
        <f t="shared" si="146"/>
        <v>367.42881145517066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4.5999999999999996</v>
      </c>
      <c r="BY139" s="13">
        <f>IF('Données projet'!$A$114&gt;35,BY138+BX139-CG138,IF(A139&lt;'Données projet'!$A$114,$BV$205^A139,IF(A139='Données projet'!$A$114,'Données projet'!$B$114,BY138+BX139-CG138)))</f>
        <v>447.60000000000014</v>
      </c>
      <c r="BZ139" s="14">
        <f>BY139*VLOOKUP('Données projet'!$B$12,Paramètres!$A$1:$I$89,3,0)*VLOOKUP('Données projet'!$B$12,Paramètres!$A$1:$I$89,5,0)</f>
        <v>384.04080000000016</v>
      </c>
      <c r="CA139" s="14">
        <f t="shared" si="147"/>
        <v>88.5335553792128</v>
      </c>
      <c r="CB139" s="22">
        <f t="shared" si="118"/>
        <v>823.06700228546254</v>
      </c>
      <c r="CC139" s="62">
        <f t="shared" si="119"/>
        <v>1116.4003356187959</v>
      </c>
      <c r="CD139" s="62">
        <f ca="1">AVERAGE(OFFSET($CC$3,0,0,'Données projet'!$E$12+1,1))-AVERAGE(OFFSET($H$3,0,0,'Données projet'!$E$12+1,1))</f>
        <v>554.06253050955502</v>
      </c>
      <c r="CE139" s="62">
        <f t="shared" si="148"/>
        <v>269.71949336355789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1.1368683772161603E-13</v>
      </c>
      <c r="CU139" s="18">
        <f>CT139*VLOOKUP('Données projet'!$B$13,Paramètres!$A$1:$I$89,3,0)*VLOOKUP('Données projet'!$B$13,Paramètres!$A$1:$I$89,5,0)</f>
        <v>8.8675733422860506E-14</v>
      </c>
      <c r="CV139" s="14">
        <f t="shared" si="149"/>
        <v>1.3509285393066301E-12</v>
      </c>
      <c r="CW139" s="22">
        <f t="shared" si="121"/>
        <v>2.5073107750038623E-12</v>
      </c>
      <c r="CX139" s="62">
        <f t="shared" si="122"/>
        <v>293.33333333333582</v>
      </c>
      <c r="CY139" s="62">
        <f ca="1">AVERAGE(OFFSET($CX$3,0,0,'Données projet'!$E$13+1,1))-AVERAGE(OFFSET($H$3,0,0,'Données projet'!$E$13+1,1))</f>
        <v>292.21364130214391</v>
      </c>
      <c r="CZ139" s="62">
        <f t="shared" si="150"/>
        <v>283.48738729114024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5.6843418860808015E-14</v>
      </c>
      <c r="DP139" s="18">
        <f>DO139*VLOOKUP('Données projet'!$B$14,Paramètres!$A$1:$I$89,3,0)*VLOOKUP('Données projet'!$B$14,Paramètres!$A$1:$I$89,5,0)</f>
        <v>5.4092197387944907E-14</v>
      </c>
      <c r="DQ139" s="14">
        <f t="shared" si="151"/>
        <v>8.7287050538073676E-13</v>
      </c>
      <c r="DR139" s="22">
        <f t="shared" si="124"/>
        <v>1.6144600406554537E-12</v>
      </c>
      <c r="DS139" s="62">
        <f t="shared" si="125"/>
        <v>293.33333333333491</v>
      </c>
      <c r="DT139" s="62">
        <f ca="1">AVERAGE(OFFSET($DS$3,0,0,'Données projet'!$E$14+1,1))-AVERAGE(OFFSET($H$3,0,0,'Données projet'!$E$14+1,1))</f>
        <v>427.47603885390191</v>
      </c>
      <c r="DU139" s="62">
        <f t="shared" si="152"/>
        <v>350.88664394632116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2.7</v>
      </c>
      <c r="EJ139" s="13">
        <f>IF('Données projet'!$A$192&gt;35,EJ138+EI139-ER138,IF(A139&lt;'Données projet'!$A$192,$EG$205^A139,IF(A139='Données projet'!$A$192,'Données projet'!$B$192,EJ138+EI139-ER138)))</f>
        <v>285.19999999999931</v>
      </c>
      <c r="EK139" s="18">
        <f>EJ139*VLOOKUP('Données projet'!$B$15,Paramètres!$A$1:$I$89,3,0)*VLOOKUP('Données projet'!$B$15,Paramètres!$A$1:$I$89,5,0)</f>
        <v>275.84543999999931</v>
      </c>
      <c r="EL139" s="14">
        <f t="shared" si="153"/>
        <v>66.088268521855113</v>
      </c>
      <c r="EM139" s="22">
        <f t="shared" si="127"/>
        <v>595.53454234222977</v>
      </c>
      <c r="EN139" s="62">
        <f t="shared" si="128"/>
        <v>888.86787567556303</v>
      </c>
      <c r="EO139" s="62">
        <f ca="1">AVERAGE(OFFSET($EN$3,0,0,'Données projet'!$E$15+1,1))-AVERAGE(OFFSET($H$3,0,0,'Données projet'!$E$15+1,1))</f>
        <v>455.50822833641354</v>
      </c>
      <c r="EP139" s="62">
        <f t="shared" si="154"/>
        <v>261.14722581688039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243</v>
      </c>
      <c r="FF139" s="18">
        <f>FE139*VLOOKUP('Données projet'!$B$16,Paramètres!$A$1:$I$89,3,0)*VLOOKUP('Données projet'!$B$16,Paramètres!$A$1:$I$89,5,0)</f>
        <v>212.28480000000002</v>
      </c>
      <c r="FG139" s="14">
        <f t="shared" si="155"/>
        <v>52.434557099704193</v>
      </c>
      <c r="FH139" s="22">
        <f t="shared" si="130"/>
        <v>461.05288028198476</v>
      </c>
      <c r="FI139" s="62">
        <f t="shared" si="131"/>
        <v>754.38621361531807</v>
      </c>
      <c r="FJ139" s="62">
        <f ca="1">AVERAGE(OFFSET($FI$3,0,0,'Données projet'!$E$16+1,1))-AVERAGE(OFFSET($H$3,0,0,'Données projet'!$E$16+1,1))</f>
        <v>369.34989412920129</v>
      </c>
      <c r="FK139" s="62">
        <f t="shared" si="156"/>
        <v>371.26234252426553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0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>
        <f>FZ139*VLOOKUP('Données projet'!$B$17,Paramètres!$A$1:$I$89,3,0)*VLOOKUP('Données projet'!$B$17,Paramètres!$A$1:$I$89,5,0)</f>
        <v>0</v>
      </c>
      <c r="GB139" s="14" t="e">
        <f t="shared" si="157"/>
        <v>#NUM!</v>
      </c>
      <c r="GC139" s="22" t="e">
        <f t="shared" si="133"/>
        <v>#NUM!</v>
      </c>
      <c r="GD139" s="62" t="e">
        <f t="shared" si="134"/>
        <v>#NUM!</v>
      </c>
      <c r="GE139" s="62">
        <f ca="1">AVERAGE(OFFSET($GD$3,0,0,'Données projet'!$E$17+1,1))-AVERAGE(OFFSET($H$3,0,0,'Données projet'!$E$17+1,1))</f>
        <v>324.4489531703187</v>
      </c>
      <c r="GF139" s="62">
        <f t="shared" si="158"/>
        <v>446.55019360848706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projet'!$B$17,Paramètres!$A$1:$I$89,3,0)*0.475*44/12</f>
        <v>0</v>
      </c>
      <c r="GM139" s="23">
        <f>EXP(-LN(2)/25)*GM138+(1-EXP(-LN(2)/25))/(LN(2)/25)*Calculateur!GH139*Calculateur!GJ139*VLOOKUP('Données projet'!$B$17,Paramètres!$A$1:$I$89,3,0)*0.475*44/12</f>
        <v>0</v>
      </c>
      <c r="GN139" s="23">
        <f>EXP(-LN(2)/2)*GN138+(1-EXP(-LN(2)/2))/(LN(2)/2)*GH139*GK139*VLOOKUP('Données projet'!$B$17,Paramètres!$A$1:$I$89,3,0)*0.475*44/12</f>
        <v>0</v>
      </c>
      <c r="GO139" s="23">
        <f t="shared" si="135"/>
        <v>0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1.7053025658242404E-13</v>
      </c>
      <c r="GV139" s="18">
        <f>GU139*VLOOKUP('Données projet'!$B$18,Paramètres!$A$1:$I$89,3,0)*VLOOKUP('Données projet'!$B$18,Paramètres!$A$1:$I$89,5,0)</f>
        <v>1.1439169611549005E-13</v>
      </c>
      <c r="GW139" s="14">
        <f t="shared" si="159"/>
        <v>1.6918016515029816E-12</v>
      </c>
      <c r="GX139" s="22">
        <f t="shared" si="136"/>
        <v>3.1457867471021712E-12</v>
      </c>
      <c r="GY139" s="62">
        <f t="shared" si="137"/>
        <v>293.33333333333644</v>
      </c>
      <c r="GZ139" s="62">
        <f ca="1">AVERAGE(OFFSET($GY$3,0,0,'Données projet'!$E$18+1,1))-AVERAGE(OFFSET($H$3,0,0,'Données projet'!$E$18+1,1))</f>
        <v>312.06797204903796</v>
      </c>
      <c r="HA139" s="62">
        <f t="shared" si="160"/>
        <v>258.20189001775151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>
        <f>EXP(-LN(2)/35)*HG138+(1-EXP(-LN(2)/35))/(LN(2)/35)*HC139*HD139*VLOOKUP('Données projet'!$B$18,Paramètres!$A$1:$I$89,3,0)*0.475*44/12</f>
        <v>0</v>
      </c>
      <c r="HH139" s="23">
        <f>EXP(-LN(2)/25)*HH138+(1-EXP(-LN(2)/25))/(LN(2)/25)*Calculateur!HC139*Calculateur!HE139*VLOOKUP('Données projet'!$B$18,Paramètres!$A$1:$I$89,3,0)*0.475*44/12</f>
        <v>0</v>
      </c>
      <c r="HI139" s="23">
        <f>EXP(-LN(2)/2)*HI138+(1-EXP(-LN(2)/2))/(LN(2)/2)*HC139*HF139*VLOOKUP('Données projet'!$B$18,Paramètres!$A$1:$I$89,3,0)*0.475*44/12</f>
        <v>0</v>
      </c>
      <c r="HJ139" s="24">
        <f t="shared" si="138"/>
        <v>0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3.6</v>
      </c>
      <c r="N140" s="14">
        <f>IF('Données projet'!$A$36&gt;35,N139+M140-V139,IF(A140&lt;'Données projet'!$A$36,$K$205^A140,IF(A140='Données projet'!$A$36,'Données projet'!$B$36,N139+M140-V139)))</f>
        <v>308.19999999999976</v>
      </c>
      <c r="O140" s="14">
        <f>N140*VLOOKUP('Données projet'!$B$9,Paramètres!$A$1:$I$89,3,0)*VLOOKUP('Données projet'!$B$9,Paramètres!$A$1:$I$89,5,0)</f>
        <v>278.85935999999981</v>
      </c>
      <c r="P140" s="14">
        <f t="shared" si="141"/>
        <v>66.725901622172387</v>
      </c>
      <c r="Q140" s="22">
        <f t="shared" si="108"/>
        <v>601.89433065861647</v>
      </c>
      <c r="R140" s="62">
        <f t="shared" si="109"/>
        <v>895.22766399194984</v>
      </c>
      <c r="S140" s="62">
        <f ca="1">AVERAGE(OFFSET($R$3,0,0,'Données projet'!$E$9+1,1))-AVERAGE(OFFSET($H$3,0,0,'Données projet'!$E$9+1,1))</f>
        <v>512.84819850818667</v>
      </c>
      <c r="T140" s="62">
        <f t="shared" si="142"/>
        <v>332.61387922152159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-5.6843418860808015E-14</v>
      </c>
      <c r="AJ140" s="14">
        <f>AI140*VLOOKUP('Données projet'!$B$10,Paramètres!$A$1:$I$89,3,0)*VLOOKUP('Données projet'!$B$10,Paramètres!$A$1:$I$89,5,0)</f>
        <v>-4.1677594708744434E-14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344.45199703750711</v>
      </c>
      <c r="AO140" s="62">
        <f t="shared" si="144"/>
        <v>376.41441893222185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3.6</v>
      </c>
      <c r="BD140" s="13">
        <f>IF('Données projet'!$A$88&gt;35,BD139+BC140-BL139,IF(A140&lt;'Données projet'!$A$88,$BA$205^A140,IF(A140='Données projet'!$A$88,'Données projet'!$B$88,BD139+BC140-BL139)))</f>
        <v>308.19999999999976</v>
      </c>
      <c r="BE140" s="14">
        <f>BD140*VLOOKUP('Données projet'!$B$11,Paramètres!$A$1:$I$89,3,0)*VLOOKUP('Données projet'!$B$11,Paramètres!$A$1:$I$89,5,0)</f>
        <v>312.51479999999975</v>
      </c>
      <c r="BF140" s="14">
        <f t="shared" si="145"/>
        <v>73.793773289024898</v>
      </c>
      <c r="BG140" s="22">
        <f t="shared" si="115"/>
        <v>672.82076514505127</v>
      </c>
      <c r="BH140" s="62">
        <f t="shared" si="116"/>
        <v>966.15409847838464</v>
      </c>
      <c r="BI140" s="62">
        <f ca="1">AVERAGE(OFFSET($BH$3,0,0,'Données projet'!$E$11+1,1))-AVERAGE(OFFSET($H$3,0,0,'Données projet'!$E$11+1,1))</f>
        <v>569.39473185784823</v>
      </c>
      <c r="BJ140" s="62">
        <f t="shared" si="146"/>
        <v>367.42881145517066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4.5999999999999996</v>
      </c>
      <c r="BY140" s="13">
        <f>IF('Données projet'!$A$114&gt;35,BY139+BX140-CG139,IF(A140&lt;'Données projet'!$A$114,$BV$205^A140,IF(A140='Données projet'!$A$114,'Données projet'!$B$114,BY139+BX140-CG139)))</f>
        <v>452.20000000000016</v>
      </c>
      <c r="BZ140" s="14">
        <f>BY140*VLOOKUP('Données projet'!$B$12,Paramètres!$A$1:$I$89,3,0)*VLOOKUP('Données projet'!$B$12,Paramètres!$A$1:$I$89,5,0)</f>
        <v>387.98760000000021</v>
      </c>
      <c r="CA140" s="14">
        <f t="shared" si="147"/>
        <v>89.337030651569094</v>
      </c>
      <c r="CB140" s="22">
        <f t="shared" si="118"/>
        <v>831.34039838481658</v>
      </c>
      <c r="CC140" s="62">
        <f t="shared" si="119"/>
        <v>1124.6737317181498</v>
      </c>
      <c r="CD140" s="62">
        <f ca="1">AVERAGE(OFFSET($CC$3,0,0,'Données projet'!$E$12+1,1))-AVERAGE(OFFSET($H$3,0,0,'Données projet'!$E$12+1,1))</f>
        <v>554.06253050955502</v>
      </c>
      <c r="CE140" s="62">
        <f t="shared" si="148"/>
        <v>269.71949336355789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1.1368683772161603E-13</v>
      </c>
      <c r="CU140" s="18">
        <f>CT140*VLOOKUP('Données projet'!$B$13,Paramètres!$A$1:$I$89,3,0)*VLOOKUP('Données projet'!$B$13,Paramètres!$A$1:$I$89,5,0)</f>
        <v>8.8675733422860506E-14</v>
      </c>
      <c r="CV140" s="14">
        <f t="shared" si="149"/>
        <v>1.3509285393066301E-12</v>
      </c>
      <c r="CW140" s="22">
        <f t="shared" si="121"/>
        <v>2.5073107750038623E-12</v>
      </c>
      <c r="CX140" s="62">
        <f t="shared" si="122"/>
        <v>293.33333333333582</v>
      </c>
      <c r="CY140" s="62">
        <f ca="1">AVERAGE(OFFSET($CX$3,0,0,'Données projet'!$E$13+1,1))-AVERAGE(OFFSET($H$3,0,0,'Données projet'!$E$13+1,1))</f>
        <v>292.21364130214391</v>
      </c>
      <c r="CZ140" s="62">
        <f t="shared" si="150"/>
        <v>283.48738729114024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5.6843418860808015E-14</v>
      </c>
      <c r="DP140" s="18">
        <f>DO140*VLOOKUP('Données projet'!$B$14,Paramètres!$A$1:$I$89,3,0)*VLOOKUP('Données projet'!$B$14,Paramètres!$A$1:$I$89,5,0)</f>
        <v>5.4092197387944907E-14</v>
      </c>
      <c r="DQ140" s="14">
        <f t="shared" si="151"/>
        <v>8.7287050538073676E-13</v>
      </c>
      <c r="DR140" s="22">
        <f t="shared" si="124"/>
        <v>1.6144600406554537E-12</v>
      </c>
      <c r="DS140" s="62">
        <f t="shared" si="125"/>
        <v>293.33333333333491</v>
      </c>
      <c r="DT140" s="62">
        <f ca="1">AVERAGE(OFFSET($DS$3,0,0,'Données projet'!$E$14+1,1))-AVERAGE(OFFSET($H$3,0,0,'Données projet'!$E$14+1,1))</f>
        <v>427.47603885390191</v>
      </c>
      <c r="DU140" s="62">
        <f t="shared" si="152"/>
        <v>350.88664394632116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2.7</v>
      </c>
      <c r="EJ140" s="13">
        <f>IF('Données projet'!$A$192&gt;35,EJ139+EI140-ER139,IF(A140&lt;'Données projet'!$A$192,$EG$205^A140,IF(A140='Données projet'!$A$192,'Données projet'!$B$192,EJ139+EI140-ER139)))</f>
        <v>287.8999999999993</v>
      </c>
      <c r="EK140" s="18">
        <f>EJ140*VLOOKUP('Données projet'!$B$15,Paramètres!$A$1:$I$89,3,0)*VLOOKUP('Données projet'!$B$15,Paramètres!$A$1:$I$89,5,0)</f>
        <v>278.45687999999933</v>
      </c>
      <c r="EL140" s="14">
        <f t="shared" si="153"/>
        <v>66.640798452620999</v>
      </c>
      <c r="EM140" s="22">
        <f t="shared" si="127"/>
        <v>601.04512330498039</v>
      </c>
      <c r="EN140" s="62">
        <f t="shared" si="128"/>
        <v>894.37845663831376</v>
      </c>
      <c r="EO140" s="62">
        <f ca="1">AVERAGE(OFFSET($EN$3,0,0,'Données projet'!$E$15+1,1))-AVERAGE(OFFSET($H$3,0,0,'Données projet'!$E$15+1,1))</f>
        <v>455.50822833641354</v>
      </c>
      <c r="EP140" s="62">
        <f t="shared" si="154"/>
        <v>261.14722581688039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243</v>
      </c>
      <c r="FF140" s="18">
        <f>FE140*VLOOKUP('Données projet'!$B$16,Paramètres!$A$1:$I$89,3,0)*VLOOKUP('Données projet'!$B$16,Paramètres!$A$1:$I$89,5,0)</f>
        <v>212.28480000000002</v>
      </c>
      <c r="FG140" s="14">
        <f t="shared" si="155"/>
        <v>52.434557099704193</v>
      </c>
      <c r="FH140" s="22">
        <f t="shared" si="130"/>
        <v>461.05288028198476</v>
      </c>
      <c r="FI140" s="62">
        <f t="shared" si="131"/>
        <v>754.38621361531807</v>
      </c>
      <c r="FJ140" s="62">
        <f ca="1">AVERAGE(OFFSET($FI$3,0,0,'Données projet'!$E$16+1,1))-AVERAGE(OFFSET($H$3,0,0,'Données projet'!$E$16+1,1))</f>
        <v>369.34989412920129</v>
      </c>
      <c r="FK140" s="62">
        <f t="shared" si="156"/>
        <v>371.26234252426553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0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>
        <f>FZ140*VLOOKUP('Données projet'!$B$17,Paramètres!$A$1:$I$89,3,0)*VLOOKUP('Données projet'!$B$17,Paramètres!$A$1:$I$89,5,0)</f>
        <v>0</v>
      </c>
      <c r="GB140" s="14" t="e">
        <f t="shared" si="157"/>
        <v>#NUM!</v>
      </c>
      <c r="GC140" s="22" t="e">
        <f t="shared" si="133"/>
        <v>#NUM!</v>
      </c>
      <c r="GD140" s="62" t="e">
        <f t="shared" si="134"/>
        <v>#NUM!</v>
      </c>
      <c r="GE140" s="62">
        <f ca="1">AVERAGE(OFFSET($GD$3,0,0,'Données projet'!$E$17+1,1))-AVERAGE(OFFSET($H$3,0,0,'Données projet'!$E$17+1,1))</f>
        <v>324.4489531703187</v>
      </c>
      <c r="GF140" s="62">
        <f t="shared" si="158"/>
        <v>446.55019360848706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projet'!$B$17,Paramètres!$A$1:$I$89,3,0)*0.475*44/12</f>
        <v>0</v>
      </c>
      <c r="GM140" s="23">
        <f>EXP(-LN(2)/25)*GM139+(1-EXP(-LN(2)/25))/(LN(2)/25)*Calculateur!GH140*Calculateur!GJ140*VLOOKUP('Données projet'!$B$17,Paramètres!$A$1:$I$89,3,0)*0.475*44/12</f>
        <v>0</v>
      </c>
      <c r="GN140" s="23">
        <f>EXP(-LN(2)/2)*GN139+(1-EXP(-LN(2)/2))/(LN(2)/2)*GH140*GK140*VLOOKUP('Données projet'!$B$17,Paramètres!$A$1:$I$89,3,0)*0.475*44/12</f>
        <v>0</v>
      </c>
      <c r="GO140" s="23">
        <f t="shared" si="135"/>
        <v>0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1.7053025658242404E-13</v>
      </c>
      <c r="GV140" s="18">
        <f>GU140*VLOOKUP('Données projet'!$B$18,Paramètres!$A$1:$I$89,3,0)*VLOOKUP('Données projet'!$B$18,Paramètres!$A$1:$I$89,5,0)</f>
        <v>1.1439169611549005E-13</v>
      </c>
      <c r="GW140" s="14">
        <f t="shared" si="159"/>
        <v>1.6918016515029816E-12</v>
      </c>
      <c r="GX140" s="22">
        <f t="shared" si="136"/>
        <v>3.1457867471021712E-12</v>
      </c>
      <c r="GY140" s="62">
        <f t="shared" si="137"/>
        <v>293.33333333333644</v>
      </c>
      <c r="GZ140" s="62">
        <f ca="1">AVERAGE(OFFSET($GY$3,0,0,'Données projet'!$E$18+1,1))-AVERAGE(OFFSET($H$3,0,0,'Données projet'!$E$18+1,1))</f>
        <v>312.06797204903796</v>
      </c>
      <c r="HA140" s="62">
        <f t="shared" si="160"/>
        <v>258.20189001775151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>
        <f>EXP(-LN(2)/35)*HG139+(1-EXP(-LN(2)/35))/(LN(2)/35)*HC140*HD140*VLOOKUP('Données projet'!$B$18,Paramètres!$A$1:$I$89,3,0)*0.475*44/12</f>
        <v>0</v>
      </c>
      <c r="HH140" s="23">
        <f>EXP(-LN(2)/25)*HH139+(1-EXP(-LN(2)/25))/(LN(2)/25)*Calculateur!HC140*Calculateur!HE140*VLOOKUP('Données projet'!$B$18,Paramètres!$A$1:$I$89,3,0)*0.475*44/12</f>
        <v>0</v>
      </c>
      <c r="HI140" s="23">
        <f>EXP(-LN(2)/2)*HI139+(1-EXP(-LN(2)/2))/(LN(2)/2)*HC140*HF140*VLOOKUP('Données projet'!$B$18,Paramètres!$A$1:$I$89,3,0)*0.475*44/12</f>
        <v>0</v>
      </c>
      <c r="HJ140" s="24">
        <f t="shared" si="138"/>
        <v>0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3.6</v>
      </c>
      <c r="N141" s="14">
        <f>IF('Données projet'!$A$36&gt;35,N140+M141-V140,IF(A141&lt;'Données projet'!$A$36,$K$205^A141,IF(A141='Données projet'!$A$36,'Données projet'!$B$36,N140+M141-V140)))</f>
        <v>311.79999999999978</v>
      </c>
      <c r="O141" s="14">
        <f>N141*VLOOKUP('Données projet'!$B$9,Paramètres!$A$1:$I$89,3,0)*VLOOKUP('Données projet'!$B$9,Paramètres!$A$1:$I$89,5,0)</f>
        <v>282.11663999999979</v>
      </c>
      <c r="P141" s="14">
        <f t="shared" si="141"/>
        <v>67.414119514142186</v>
      </c>
      <c r="Q141" s="22">
        <f t="shared" si="108"/>
        <v>608.76607282046393</v>
      </c>
      <c r="R141" s="62">
        <f t="shared" si="109"/>
        <v>902.09940615379719</v>
      </c>
      <c r="S141" s="62">
        <f ca="1">AVERAGE(OFFSET($R$3,0,0,'Données projet'!$E$9+1,1))-AVERAGE(OFFSET($H$3,0,0,'Données projet'!$E$9+1,1))</f>
        <v>512.84819850818667</v>
      </c>
      <c r="T141" s="62">
        <f t="shared" si="142"/>
        <v>332.61387922152159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-5.6843418860808015E-14</v>
      </c>
      <c r="AJ141" s="14">
        <f>AI141*VLOOKUP('Données projet'!$B$10,Paramètres!$A$1:$I$89,3,0)*VLOOKUP('Données projet'!$B$10,Paramètres!$A$1:$I$89,5,0)</f>
        <v>-4.1677594708744434E-14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344.45199703750711</v>
      </c>
      <c r="AO141" s="62">
        <f t="shared" si="144"/>
        <v>376.41441893222185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3.6</v>
      </c>
      <c r="BD141" s="13">
        <f>IF('Données projet'!$A$88&gt;35,BD140+BC141-BL140,IF(A141&lt;'Données projet'!$A$88,$BA$205^A141,IF(A141='Données projet'!$A$88,'Données projet'!$B$88,BD140+BC141-BL140)))</f>
        <v>311.79999999999978</v>
      </c>
      <c r="BE141" s="14">
        <f>BD141*VLOOKUP('Données projet'!$B$11,Paramètres!$A$1:$I$89,3,0)*VLOOKUP('Données projet'!$B$11,Paramètres!$A$1:$I$89,5,0)</f>
        <v>316.1651999999998</v>
      </c>
      <c r="BF141" s="14">
        <f t="shared" si="145"/>
        <v>74.554889944758472</v>
      </c>
      <c r="BG141" s="22">
        <f t="shared" si="115"/>
        <v>680.50415665378739</v>
      </c>
      <c r="BH141" s="62">
        <f t="shared" si="116"/>
        <v>973.83748998712076</v>
      </c>
      <c r="BI141" s="62">
        <f ca="1">AVERAGE(OFFSET($BH$3,0,0,'Données projet'!$E$11+1,1))-AVERAGE(OFFSET($H$3,0,0,'Données projet'!$E$11+1,1))</f>
        <v>569.39473185784823</v>
      </c>
      <c r="BJ141" s="62">
        <f t="shared" si="146"/>
        <v>367.42881145517066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4.5999999999999996</v>
      </c>
      <c r="BY141" s="13">
        <f>IF('Données projet'!$A$114&gt;35,BY140+BX141-CG140,IF(A141&lt;'Données projet'!$A$114,$BV$205^A141,IF(A141='Données projet'!$A$114,'Données projet'!$B$114,BY140+BX141-CG140)))</f>
        <v>456.80000000000018</v>
      </c>
      <c r="BZ141" s="14">
        <f>BY141*VLOOKUP('Données projet'!$B$12,Paramètres!$A$1:$I$89,3,0)*VLOOKUP('Données projet'!$B$12,Paramètres!$A$1:$I$89,5,0)</f>
        <v>391.93440000000021</v>
      </c>
      <c r="CA141" s="14">
        <f t="shared" si="147"/>
        <v>90.139555092346015</v>
      </c>
      <c r="CB141" s="22">
        <f t="shared" si="118"/>
        <v>839.61213845250302</v>
      </c>
      <c r="CC141" s="62">
        <f t="shared" si="119"/>
        <v>1132.9454717858364</v>
      </c>
      <c r="CD141" s="62">
        <f ca="1">AVERAGE(OFFSET($CC$3,0,0,'Données projet'!$E$12+1,1))-AVERAGE(OFFSET($H$3,0,0,'Données projet'!$E$12+1,1))</f>
        <v>554.06253050955502</v>
      </c>
      <c r="CE141" s="62">
        <f t="shared" si="148"/>
        <v>269.71949336355789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1.1368683772161603E-13</v>
      </c>
      <c r="CU141" s="18">
        <f>CT141*VLOOKUP('Données projet'!$B$13,Paramètres!$A$1:$I$89,3,0)*VLOOKUP('Données projet'!$B$13,Paramètres!$A$1:$I$89,5,0)</f>
        <v>8.8675733422860506E-14</v>
      </c>
      <c r="CV141" s="14">
        <f t="shared" si="149"/>
        <v>1.3509285393066301E-12</v>
      </c>
      <c r="CW141" s="22">
        <f t="shared" si="121"/>
        <v>2.5073107750038623E-12</v>
      </c>
      <c r="CX141" s="62">
        <f t="shared" si="122"/>
        <v>293.33333333333582</v>
      </c>
      <c r="CY141" s="62">
        <f ca="1">AVERAGE(OFFSET($CX$3,0,0,'Données projet'!$E$13+1,1))-AVERAGE(OFFSET($H$3,0,0,'Données projet'!$E$13+1,1))</f>
        <v>292.21364130214391</v>
      </c>
      <c r="CZ141" s="62">
        <f t="shared" si="150"/>
        <v>283.48738729114024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5.6843418860808015E-14</v>
      </c>
      <c r="DP141" s="18">
        <f>DO141*VLOOKUP('Données projet'!$B$14,Paramètres!$A$1:$I$89,3,0)*VLOOKUP('Données projet'!$B$14,Paramètres!$A$1:$I$89,5,0)</f>
        <v>5.4092197387944907E-14</v>
      </c>
      <c r="DQ141" s="14">
        <f t="shared" si="151"/>
        <v>8.7287050538073676E-13</v>
      </c>
      <c r="DR141" s="22">
        <f t="shared" si="124"/>
        <v>1.6144600406554537E-12</v>
      </c>
      <c r="DS141" s="62">
        <f t="shared" si="125"/>
        <v>293.33333333333491</v>
      </c>
      <c r="DT141" s="62">
        <f ca="1">AVERAGE(OFFSET($DS$3,0,0,'Données projet'!$E$14+1,1))-AVERAGE(OFFSET($H$3,0,0,'Données projet'!$E$14+1,1))</f>
        <v>427.47603885390191</v>
      </c>
      <c r="DU141" s="62">
        <f t="shared" si="152"/>
        <v>350.88664394632116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2.7</v>
      </c>
      <c r="EJ141" s="13">
        <f>IF('Données projet'!$A$192&gt;35,EJ140+EI141-ER140,IF(A141&lt;'Données projet'!$A$192,$EG$205^A141,IF(A141='Données projet'!$A$192,'Données projet'!$B$192,EJ140+EI141-ER140)))</f>
        <v>290.59999999999928</v>
      </c>
      <c r="EK141" s="18">
        <f>EJ141*VLOOKUP('Données projet'!$B$15,Paramètres!$A$1:$I$89,3,0)*VLOOKUP('Données projet'!$B$15,Paramètres!$A$1:$I$89,5,0)</f>
        <v>281.06831999999929</v>
      </c>
      <c r="EL141" s="14">
        <f t="shared" si="153"/>
        <v>67.192725545416536</v>
      </c>
      <c r="EM141" s="22">
        <f t="shared" si="127"/>
        <v>606.55465432493247</v>
      </c>
      <c r="EN141" s="62">
        <f t="shared" si="128"/>
        <v>899.88798765826573</v>
      </c>
      <c r="EO141" s="62">
        <f ca="1">AVERAGE(OFFSET($EN$3,0,0,'Données projet'!$E$15+1,1))-AVERAGE(OFFSET($H$3,0,0,'Données projet'!$E$15+1,1))</f>
        <v>455.50822833641354</v>
      </c>
      <c r="EP141" s="62">
        <f t="shared" si="154"/>
        <v>261.14722581688039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243</v>
      </c>
      <c r="FF141" s="18">
        <f>FE141*VLOOKUP('Données projet'!$B$16,Paramètres!$A$1:$I$89,3,0)*VLOOKUP('Données projet'!$B$16,Paramètres!$A$1:$I$89,5,0)</f>
        <v>212.28480000000002</v>
      </c>
      <c r="FG141" s="14">
        <f t="shared" si="155"/>
        <v>52.434557099704193</v>
      </c>
      <c r="FH141" s="22">
        <f t="shared" si="130"/>
        <v>461.05288028198476</v>
      </c>
      <c r="FI141" s="62">
        <f t="shared" si="131"/>
        <v>754.38621361531807</v>
      </c>
      <c r="FJ141" s="62">
        <f ca="1">AVERAGE(OFFSET($FI$3,0,0,'Données projet'!$E$16+1,1))-AVERAGE(OFFSET($H$3,0,0,'Données projet'!$E$16+1,1))</f>
        <v>369.34989412920129</v>
      </c>
      <c r="FK141" s="62">
        <f t="shared" si="156"/>
        <v>371.26234252426553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0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>
        <f>FZ141*VLOOKUP('Données projet'!$B$17,Paramètres!$A$1:$I$89,3,0)*VLOOKUP('Données projet'!$B$17,Paramètres!$A$1:$I$89,5,0)</f>
        <v>0</v>
      </c>
      <c r="GB141" s="14" t="e">
        <f t="shared" si="157"/>
        <v>#NUM!</v>
      </c>
      <c r="GC141" s="22" t="e">
        <f t="shared" si="133"/>
        <v>#NUM!</v>
      </c>
      <c r="GD141" s="62" t="e">
        <f t="shared" si="134"/>
        <v>#NUM!</v>
      </c>
      <c r="GE141" s="62">
        <f ca="1">AVERAGE(OFFSET($GD$3,0,0,'Données projet'!$E$17+1,1))-AVERAGE(OFFSET($H$3,0,0,'Données projet'!$E$17+1,1))</f>
        <v>324.4489531703187</v>
      </c>
      <c r="GF141" s="62">
        <f t="shared" si="158"/>
        <v>446.55019360848706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projet'!$B$17,Paramètres!$A$1:$I$89,3,0)*0.475*44/12</f>
        <v>0</v>
      </c>
      <c r="GM141" s="23">
        <f>EXP(-LN(2)/25)*GM140+(1-EXP(-LN(2)/25))/(LN(2)/25)*Calculateur!GH141*Calculateur!GJ141*VLOOKUP('Données projet'!$B$17,Paramètres!$A$1:$I$89,3,0)*0.475*44/12</f>
        <v>0</v>
      </c>
      <c r="GN141" s="23">
        <f>EXP(-LN(2)/2)*GN140+(1-EXP(-LN(2)/2))/(LN(2)/2)*GH141*GK141*VLOOKUP('Données projet'!$B$17,Paramètres!$A$1:$I$89,3,0)*0.475*44/12</f>
        <v>0</v>
      </c>
      <c r="GO141" s="23">
        <f t="shared" si="135"/>
        <v>0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1.7053025658242404E-13</v>
      </c>
      <c r="GV141" s="18">
        <f>GU141*VLOOKUP('Données projet'!$B$18,Paramètres!$A$1:$I$89,3,0)*VLOOKUP('Données projet'!$B$18,Paramètres!$A$1:$I$89,5,0)</f>
        <v>1.1439169611549005E-13</v>
      </c>
      <c r="GW141" s="14">
        <f t="shared" si="159"/>
        <v>1.6918016515029816E-12</v>
      </c>
      <c r="GX141" s="22">
        <f t="shared" si="136"/>
        <v>3.1457867471021712E-12</v>
      </c>
      <c r="GY141" s="62">
        <f t="shared" si="137"/>
        <v>293.33333333333644</v>
      </c>
      <c r="GZ141" s="62">
        <f ca="1">AVERAGE(OFFSET($GY$3,0,0,'Données projet'!$E$18+1,1))-AVERAGE(OFFSET($H$3,0,0,'Données projet'!$E$18+1,1))</f>
        <v>312.06797204903796</v>
      </c>
      <c r="HA141" s="62">
        <f t="shared" si="160"/>
        <v>258.20189001775151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>
        <f>EXP(-LN(2)/35)*HG140+(1-EXP(-LN(2)/35))/(LN(2)/35)*HC141*HD141*VLOOKUP('Données projet'!$B$18,Paramètres!$A$1:$I$89,3,0)*0.475*44/12</f>
        <v>0</v>
      </c>
      <c r="HH141" s="23">
        <f>EXP(-LN(2)/25)*HH140+(1-EXP(-LN(2)/25))/(LN(2)/25)*Calculateur!HC141*Calculateur!HE141*VLOOKUP('Données projet'!$B$18,Paramètres!$A$1:$I$89,3,0)*0.475*44/12</f>
        <v>0</v>
      </c>
      <c r="HI141" s="23">
        <f>EXP(-LN(2)/2)*HI140+(1-EXP(-LN(2)/2))/(LN(2)/2)*HC141*HF141*VLOOKUP('Données projet'!$B$18,Paramètres!$A$1:$I$89,3,0)*0.475*44/12</f>
        <v>0</v>
      </c>
      <c r="HJ141" s="24">
        <f t="shared" si="138"/>
        <v>0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3.6</v>
      </c>
      <c r="N142" s="14">
        <f>IF('Données projet'!$A$36&gt;35,N141+M142-V141,IF(A142&lt;'Données projet'!$A$36,$K$205^A142,IF(A142='Données projet'!$A$36,'Données projet'!$B$36,N141+M142-V141)))</f>
        <v>315.39999999999981</v>
      </c>
      <c r="O142" s="14">
        <f>N142*VLOOKUP('Données projet'!$B$9,Paramètres!$A$1:$I$89,3,0)*VLOOKUP('Données projet'!$B$9,Paramètres!$A$1:$I$89,5,0)</f>
        <v>285.37391999999983</v>
      </c>
      <c r="P142" s="14">
        <f t="shared" si="141"/>
        <v>68.101413083167643</v>
      </c>
      <c r="Q142" s="22">
        <f t="shared" si="108"/>
        <v>615.63620511984993</v>
      </c>
      <c r="R142" s="62">
        <f t="shared" si="109"/>
        <v>908.9695384531833</v>
      </c>
      <c r="S142" s="62">
        <f ca="1">AVERAGE(OFFSET($R$3,0,0,'Données projet'!$E$9+1,1))-AVERAGE(OFFSET($H$3,0,0,'Données projet'!$E$9+1,1))</f>
        <v>512.84819850818667</v>
      </c>
      <c r="T142" s="62">
        <f t="shared" si="142"/>
        <v>332.61387922152159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-5.6843418860808015E-14</v>
      </c>
      <c r="AJ142" s="14">
        <f>AI142*VLOOKUP('Données projet'!$B$10,Paramètres!$A$1:$I$89,3,0)*VLOOKUP('Données projet'!$B$10,Paramètres!$A$1:$I$89,5,0)</f>
        <v>-4.1677594708744434E-14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344.45199703750711</v>
      </c>
      <c r="AO142" s="62">
        <f t="shared" si="144"/>
        <v>376.41441893222185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3.6</v>
      </c>
      <c r="BD142" s="13">
        <f>IF('Données projet'!$A$88&gt;35,BD141+BC142-BL141,IF(A142&lt;'Données projet'!$A$88,$BA$205^A142,IF(A142='Données projet'!$A$88,'Données projet'!$B$88,BD141+BC142-BL141)))</f>
        <v>315.39999999999981</v>
      </c>
      <c r="BE142" s="14">
        <f>BD142*VLOOKUP('Données projet'!$B$11,Paramètres!$A$1:$I$89,3,0)*VLOOKUP('Données projet'!$B$11,Paramètres!$A$1:$I$89,5,0)</f>
        <v>319.81559999999985</v>
      </c>
      <c r="BF142" s="14">
        <f t="shared" si="145"/>
        <v>75.314984369601916</v>
      </c>
      <c r="BG142" s="22">
        <f t="shared" si="115"/>
        <v>688.1857677770563</v>
      </c>
      <c r="BH142" s="62">
        <f t="shared" si="116"/>
        <v>981.51910111038956</v>
      </c>
      <c r="BI142" s="62">
        <f ca="1">AVERAGE(OFFSET($BH$3,0,0,'Données projet'!$E$11+1,1))-AVERAGE(OFFSET($H$3,0,0,'Données projet'!$E$11+1,1))</f>
        <v>569.39473185784823</v>
      </c>
      <c r="BJ142" s="62">
        <f t="shared" si="146"/>
        <v>367.42881145517066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4.5999999999999996</v>
      </c>
      <c r="BY142" s="13">
        <f>IF('Données projet'!$A$114&gt;35,BY141+BX142-CG141,IF(A142&lt;'Données projet'!$A$114,$BV$205^A142,IF(A142='Données projet'!$A$114,'Données projet'!$B$114,BY141+BX142-CG141)))</f>
        <v>461.4000000000002</v>
      </c>
      <c r="BZ142" s="14">
        <f>BY142*VLOOKUP('Données projet'!$B$12,Paramètres!$A$1:$I$89,3,0)*VLOOKUP('Données projet'!$B$12,Paramètres!$A$1:$I$89,5,0)</f>
        <v>395.88120000000021</v>
      </c>
      <c r="CA142" s="14">
        <f t="shared" si="147"/>
        <v>90.941139385089059</v>
      </c>
      <c r="CB142" s="22">
        <f t="shared" si="118"/>
        <v>847.88224109569717</v>
      </c>
      <c r="CC142" s="62">
        <f t="shared" si="119"/>
        <v>1141.2155744290305</v>
      </c>
      <c r="CD142" s="62">
        <f ca="1">AVERAGE(OFFSET($CC$3,0,0,'Données projet'!$E$12+1,1))-AVERAGE(OFFSET($H$3,0,0,'Données projet'!$E$12+1,1))</f>
        <v>554.06253050955502</v>
      </c>
      <c r="CE142" s="62">
        <f t="shared" si="148"/>
        <v>269.71949336355789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1.1368683772161603E-13</v>
      </c>
      <c r="CU142" s="18">
        <f>CT142*VLOOKUP('Données projet'!$B$13,Paramètres!$A$1:$I$89,3,0)*VLOOKUP('Données projet'!$B$13,Paramètres!$A$1:$I$89,5,0)</f>
        <v>8.8675733422860506E-14</v>
      </c>
      <c r="CV142" s="14">
        <f t="shared" si="149"/>
        <v>1.3509285393066301E-12</v>
      </c>
      <c r="CW142" s="22">
        <f t="shared" si="121"/>
        <v>2.5073107750038623E-12</v>
      </c>
      <c r="CX142" s="62">
        <f t="shared" si="122"/>
        <v>293.33333333333582</v>
      </c>
      <c r="CY142" s="62">
        <f ca="1">AVERAGE(OFFSET($CX$3,0,0,'Données projet'!$E$13+1,1))-AVERAGE(OFFSET($H$3,0,0,'Données projet'!$E$13+1,1))</f>
        <v>292.21364130214391</v>
      </c>
      <c r="CZ142" s="62">
        <f t="shared" si="150"/>
        <v>283.48738729114024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5.6843418860808015E-14</v>
      </c>
      <c r="DP142" s="18">
        <f>DO142*VLOOKUP('Données projet'!$B$14,Paramètres!$A$1:$I$89,3,0)*VLOOKUP('Données projet'!$B$14,Paramètres!$A$1:$I$89,5,0)</f>
        <v>5.4092197387944907E-14</v>
      </c>
      <c r="DQ142" s="14">
        <f t="shared" si="151"/>
        <v>8.7287050538073676E-13</v>
      </c>
      <c r="DR142" s="22">
        <f t="shared" si="124"/>
        <v>1.6144600406554537E-12</v>
      </c>
      <c r="DS142" s="62">
        <f t="shared" si="125"/>
        <v>293.33333333333491</v>
      </c>
      <c r="DT142" s="62">
        <f ca="1">AVERAGE(OFFSET($DS$3,0,0,'Données projet'!$E$14+1,1))-AVERAGE(OFFSET($H$3,0,0,'Données projet'!$E$14+1,1))</f>
        <v>427.47603885390191</v>
      </c>
      <c r="DU142" s="62">
        <f t="shared" si="152"/>
        <v>350.88664394632116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2.7</v>
      </c>
      <c r="EJ142" s="13">
        <f>IF('Données projet'!$A$192&gt;35,EJ141+EI142-ER141,IF(A142&lt;'Données projet'!$A$192,$EG$205^A142,IF(A142='Données projet'!$A$192,'Données projet'!$B$192,EJ141+EI142-ER141)))</f>
        <v>293.29999999999927</v>
      </c>
      <c r="EK142" s="18">
        <f>EJ142*VLOOKUP('Données projet'!$B$15,Paramètres!$A$1:$I$89,3,0)*VLOOKUP('Données projet'!$B$15,Paramètres!$A$1:$I$89,5,0)</f>
        <v>283.67975999999931</v>
      </c>
      <c r="EL142" s="14">
        <f t="shared" si="153"/>
        <v>67.74405605004435</v>
      </c>
      <c r="EM142" s="22">
        <f t="shared" si="127"/>
        <v>612.06314628715938</v>
      </c>
      <c r="EN142" s="62">
        <f t="shared" si="128"/>
        <v>905.39647962049276</v>
      </c>
      <c r="EO142" s="62">
        <f ca="1">AVERAGE(OFFSET($EN$3,0,0,'Données projet'!$E$15+1,1))-AVERAGE(OFFSET($H$3,0,0,'Données projet'!$E$15+1,1))</f>
        <v>455.50822833641354</v>
      </c>
      <c r="EP142" s="62">
        <f t="shared" si="154"/>
        <v>261.14722581688039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243</v>
      </c>
      <c r="FF142" s="18">
        <f>FE142*VLOOKUP('Données projet'!$B$16,Paramètres!$A$1:$I$89,3,0)*VLOOKUP('Données projet'!$B$16,Paramètres!$A$1:$I$89,5,0)</f>
        <v>212.28480000000002</v>
      </c>
      <c r="FG142" s="14">
        <f t="shared" si="155"/>
        <v>52.434557099704193</v>
      </c>
      <c r="FH142" s="22">
        <f t="shared" si="130"/>
        <v>461.05288028198476</v>
      </c>
      <c r="FI142" s="62">
        <f t="shared" si="131"/>
        <v>754.38621361531807</v>
      </c>
      <c r="FJ142" s="62">
        <f ca="1">AVERAGE(OFFSET($FI$3,0,0,'Données projet'!$E$16+1,1))-AVERAGE(OFFSET($H$3,0,0,'Données projet'!$E$16+1,1))</f>
        <v>369.34989412920129</v>
      </c>
      <c r="FK142" s="62">
        <f t="shared" si="156"/>
        <v>371.26234252426553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0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>
        <f>FZ142*VLOOKUP('Données projet'!$B$17,Paramètres!$A$1:$I$89,3,0)*VLOOKUP('Données projet'!$B$17,Paramètres!$A$1:$I$89,5,0)</f>
        <v>0</v>
      </c>
      <c r="GB142" s="14" t="e">
        <f t="shared" si="157"/>
        <v>#NUM!</v>
      </c>
      <c r="GC142" s="22" t="e">
        <f t="shared" si="133"/>
        <v>#NUM!</v>
      </c>
      <c r="GD142" s="62" t="e">
        <f t="shared" si="134"/>
        <v>#NUM!</v>
      </c>
      <c r="GE142" s="62">
        <f ca="1">AVERAGE(OFFSET($GD$3,0,0,'Données projet'!$E$17+1,1))-AVERAGE(OFFSET($H$3,0,0,'Données projet'!$E$17+1,1))</f>
        <v>324.4489531703187</v>
      </c>
      <c r="GF142" s="62">
        <f t="shared" si="158"/>
        <v>446.55019360848706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projet'!$B$17,Paramètres!$A$1:$I$89,3,0)*0.475*44/12</f>
        <v>0</v>
      </c>
      <c r="GM142" s="23">
        <f>EXP(-LN(2)/25)*GM141+(1-EXP(-LN(2)/25))/(LN(2)/25)*Calculateur!GH142*Calculateur!GJ142*VLOOKUP('Données projet'!$B$17,Paramètres!$A$1:$I$89,3,0)*0.475*44/12</f>
        <v>0</v>
      </c>
      <c r="GN142" s="23">
        <f>EXP(-LN(2)/2)*GN141+(1-EXP(-LN(2)/2))/(LN(2)/2)*GH142*GK142*VLOOKUP('Données projet'!$B$17,Paramètres!$A$1:$I$89,3,0)*0.475*44/12</f>
        <v>0</v>
      </c>
      <c r="GO142" s="23">
        <f t="shared" si="135"/>
        <v>0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1.7053025658242404E-13</v>
      </c>
      <c r="GV142" s="18">
        <f>GU142*VLOOKUP('Données projet'!$B$18,Paramètres!$A$1:$I$89,3,0)*VLOOKUP('Données projet'!$B$18,Paramètres!$A$1:$I$89,5,0)</f>
        <v>1.1439169611549005E-13</v>
      </c>
      <c r="GW142" s="14">
        <f t="shared" si="159"/>
        <v>1.6918016515029816E-12</v>
      </c>
      <c r="GX142" s="22">
        <f t="shared" si="136"/>
        <v>3.1457867471021712E-12</v>
      </c>
      <c r="GY142" s="62">
        <f t="shared" si="137"/>
        <v>293.33333333333644</v>
      </c>
      <c r="GZ142" s="62">
        <f ca="1">AVERAGE(OFFSET($GY$3,0,0,'Données projet'!$E$18+1,1))-AVERAGE(OFFSET($H$3,0,0,'Données projet'!$E$18+1,1))</f>
        <v>312.06797204903796</v>
      </c>
      <c r="HA142" s="62">
        <f t="shared" si="160"/>
        <v>258.20189001775151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>
        <f>EXP(-LN(2)/35)*HG141+(1-EXP(-LN(2)/35))/(LN(2)/35)*HC142*HD142*VLOOKUP('Données projet'!$B$18,Paramètres!$A$1:$I$89,3,0)*0.475*44/12</f>
        <v>0</v>
      </c>
      <c r="HH142" s="23">
        <f>EXP(-LN(2)/25)*HH141+(1-EXP(-LN(2)/25))/(LN(2)/25)*Calculateur!HC142*Calculateur!HE142*VLOOKUP('Données projet'!$B$18,Paramètres!$A$1:$I$89,3,0)*0.475*44/12</f>
        <v>0</v>
      </c>
      <c r="HI142" s="23">
        <f>EXP(-LN(2)/2)*HI141+(1-EXP(-LN(2)/2))/(LN(2)/2)*HC142*HF142*VLOOKUP('Données projet'!$B$18,Paramètres!$A$1:$I$89,3,0)*0.475*44/12</f>
        <v>0</v>
      </c>
      <c r="HJ142" s="24">
        <f t="shared" si="138"/>
        <v>0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3.6</v>
      </c>
      <c r="N143" s="14">
        <f>IF('Données projet'!$A$36&gt;35,N142+M143-V142,IF(A143&lt;'Données projet'!$A$36,$K$205^A143,IF(A143='Données projet'!$A$36,'Données projet'!$B$36,N142+M143-V142)))</f>
        <v>318.99999999999983</v>
      </c>
      <c r="O143" s="14">
        <f>N143*VLOOKUP('Données projet'!$B$9,Paramètres!$A$1:$I$89,3,0)*VLOOKUP('Données projet'!$B$9,Paramètres!$A$1:$I$89,5,0)</f>
        <v>288.63119999999986</v>
      </c>
      <c r="P143" s="14">
        <f t="shared" si="141"/>
        <v>68.787794100289204</v>
      </c>
      <c r="Q143" s="22">
        <f t="shared" si="108"/>
        <v>622.50474805800343</v>
      </c>
      <c r="R143" s="62">
        <f t="shared" si="109"/>
        <v>915.8380813913368</v>
      </c>
      <c r="S143" s="62">
        <f ca="1">AVERAGE(OFFSET($R$3,0,0,'Données projet'!$E$9+1,1))-AVERAGE(OFFSET($H$3,0,0,'Données projet'!$E$9+1,1))</f>
        <v>512.84819850818667</v>
      </c>
      <c r="T143" s="62">
        <f t="shared" si="142"/>
        <v>332.61387922152159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-5.6843418860808015E-14</v>
      </c>
      <c r="AJ143" s="14">
        <f>AI143*VLOOKUP('Données projet'!$B$10,Paramètres!$A$1:$I$89,3,0)*VLOOKUP('Données projet'!$B$10,Paramètres!$A$1:$I$89,5,0)</f>
        <v>-4.1677594708744434E-14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344.45199703750711</v>
      </c>
      <c r="AO143" s="62">
        <f t="shared" si="144"/>
        <v>376.41441893222185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3.6</v>
      </c>
      <c r="BD143" s="13">
        <f>IF('Données projet'!$A$88&gt;35,BD142+BC143-BL142,IF(A143&lt;'Données projet'!$A$88,$BA$205^A143,IF(A143='Données projet'!$A$88,'Données projet'!$B$88,BD142+BC143-BL142)))</f>
        <v>318.99999999999983</v>
      </c>
      <c r="BE143" s="14">
        <f>BD143*VLOOKUP('Données projet'!$B$11,Paramètres!$A$1:$I$89,3,0)*VLOOKUP('Données projet'!$B$11,Paramètres!$A$1:$I$89,5,0)</f>
        <v>323.46599999999989</v>
      </c>
      <c r="BF143" s="14">
        <f t="shared" si="145"/>
        <v>76.074069581431147</v>
      </c>
      <c r="BG143" s="22">
        <f t="shared" si="115"/>
        <v>695.86562118765903</v>
      </c>
      <c r="BH143" s="62">
        <f t="shared" si="116"/>
        <v>989.1989545209924</v>
      </c>
      <c r="BI143" s="62">
        <f ca="1">AVERAGE(OFFSET($BH$3,0,0,'Données projet'!$E$11+1,1))-AVERAGE(OFFSET($H$3,0,0,'Données projet'!$E$11+1,1))</f>
        <v>569.39473185784823</v>
      </c>
      <c r="BJ143" s="62">
        <f t="shared" si="146"/>
        <v>367.42881145517066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>
        <f>VLOOKUP(A143,'Données projet'!$A$113:$I$133,2,0)</f>
        <v>466</v>
      </c>
      <c r="BW143" s="13">
        <f>VLOOKUP(A143,'Données projet'!$A$113:$I$133,9,0)</f>
        <v>4.5999999999999996</v>
      </c>
      <c r="BX143" s="13">
        <f t="array" ref="BX143">INDEX(BW:BW,MIN(IF(ISNUMBER(BW143:BW339),ROW(BW143:BW339),"")))</f>
        <v>4.5999999999999996</v>
      </c>
      <c r="BY143" s="13">
        <f>IF('Données projet'!$A$114&gt;35,BY142+BX143-CG142,IF(A143&lt;'Données projet'!$A$114,$BV$205^A143,IF(A143='Données projet'!$A$114,'Données projet'!$B$114,BY142+BX143-CG142)))</f>
        <v>466.00000000000023</v>
      </c>
      <c r="BZ143" s="14">
        <f>BY143*VLOOKUP('Données projet'!$B$12,Paramètres!$A$1:$I$89,3,0)*VLOOKUP('Données projet'!$B$12,Paramètres!$A$1:$I$89,5,0)</f>
        <v>399.8280000000002</v>
      </c>
      <c r="CA143" s="14">
        <f t="shared" si="147"/>
        <v>91.741793988042872</v>
      </c>
      <c r="CB143" s="22">
        <f t="shared" si="118"/>
        <v>856.15072452917502</v>
      </c>
      <c r="CC143" s="62">
        <f t="shared" si="119"/>
        <v>1149.4840578625083</v>
      </c>
      <c r="CD143" s="62">
        <f ca="1">AVERAGE(OFFSET($CC$3,0,0,'Données projet'!$E$12+1,1))-AVERAGE(OFFSET($H$3,0,0,'Données projet'!$E$12+1,1))</f>
        <v>554.06253050955502</v>
      </c>
      <c r="CE143" s="62">
        <f t="shared" si="148"/>
        <v>269.71949336355789</v>
      </c>
      <c r="CF143" s="16">
        <f>IF(ISNA(VLOOKUP(A143,'Données projet'!$A$113:$I$133,3,0)),0,VLOOKUP(A143,'Données projet'!$A$113:$I$133,3,0))</f>
        <v>12</v>
      </c>
      <c r="CG143" s="16">
        <f>IF(ISNA(VLOOKUP(A143,'Données projet'!$A$113:$I$133,4,0)),0,VLOOKUP(A143,'Données projet'!$A$113:$I$133,4,0))</f>
        <v>39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1.1368683772161603E-13</v>
      </c>
      <c r="CU143" s="18">
        <f>CT143*VLOOKUP('Données projet'!$B$13,Paramètres!$A$1:$I$89,3,0)*VLOOKUP('Données projet'!$B$13,Paramètres!$A$1:$I$89,5,0)</f>
        <v>8.8675733422860506E-14</v>
      </c>
      <c r="CV143" s="14">
        <f t="shared" si="149"/>
        <v>1.3509285393066301E-12</v>
      </c>
      <c r="CW143" s="22">
        <f t="shared" si="121"/>
        <v>2.5073107750038623E-12</v>
      </c>
      <c r="CX143" s="62">
        <f t="shared" si="122"/>
        <v>293.33333333333582</v>
      </c>
      <c r="CY143" s="62">
        <f ca="1">AVERAGE(OFFSET($CX$3,0,0,'Données projet'!$E$13+1,1))-AVERAGE(OFFSET($H$3,0,0,'Données projet'!$E$13+1,1))</f>
        <v>292.21364130214391</v>
      </c>
      <c r="CZ143" s="62">
        <f t="shared" si="150"/>
        <v>283.48738729114024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5.6843418860808015E-14</v>
      </c>
      <c r="DP143" s="18">
        <f>DO143*VLOOKUP('Données projet'!$B$14,Paramètres!$A$1:$I$89,3,0)*VLOOKUP('Données projet'!$B$14,Paramètres!$A$1:$I$89,5,0)</f>
        <v>5.4092197387944907E-14</v>
      </c>
      <c r="DQ143" s="14">
        <f t="shared" si="151"/>
        <v>8.7287050538073676E-13</v>
      </c>
      <c r="DR143" s="22">
        <f t="shared" si="124"/>
        <v>1.6144600406554537E-12</v>
      </c>
      <c r="DS143" s="62">
        <f t="shared" si="125"/>
        <v>293.33333333333491</v>
      </c>
      <c r="DT143" s="62">
        <f ca="1">AVERAGE(OFFSET($DS$3,0,0,'Données projet'!$E$14+1,1))-AVERAGE(OFFSET($H$3,0,0,'Données projet'!$E$14+1,1))</f>
        <v>427.47603885390191</v>
      </c>
      <c r="DU143" s="62">
        <f t="shared" si="152"/>
        <v>350.88664394632116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>
        <f>VLOOKUP(A143,'Données projet'!$A$191:$I$211,2,0)</f>
        <v>296</v>
      </c>
      <c r="EH143" s="13">
        <f>VLOOKUP(A143,'Données projet'!$A$191:$I$211,9,0)</f>
        <v>2.7</v>
      </c>
      <c r="EI143" s="13">
        <f t="array" ref="EI143">INDEX(EH:EH,MIN(IF(ISNUMBER(EH143:EH339),ROW(EH143:EH339),"")))</f>
        <v>2.7</v>
      </c>
      <c r="EJ143" s="13">
        <f>IF('Données projet'!$A$192&gt;35,EJ142+EI143-ER142,IF(A143&lt;'Données projet'!$A$192,$EG$205^A143,IF(A143='Données projet'!$A$192,'Données projet'!$B$192,EJ142+EI143-ER142)))</f>
        <v>295.99999999999926</v>
      </c>
      <c r="EK143" s="18">
        <f>EJ143*VLOOKUP('Données projet'!$B$15,Paramètres!$A$1:$I$89,3,0)*VLOOKUP('Données projet'!$B$15,Paramètres!$A$1:$I$89,5,0)</f>
        <v>286.29119999999926</v>
      </c>
      <c r="EL143" s="14">
        <f t="shared" si="153"/>
        <v>68.294796094604223</v>
      </c>
      <c r="EM143" s="22">
        <f t="shared" si="127"/>
        <v>617.57060986476779</v>
      </c>
      <c r="EN143" s="62">
        <f t="shared" si="128"/>
        <v>910.90394319810116</v>
      </c>
      <c r="EO143" s="62">
        <f ca="1">AVERAGE(OFFSET($EN$3,0,0,'Données projet'!$E$15+1,1))-AVERAGE(OFFSET($H$3,0,0,'Données projet'!$E$15+1,1))</f>
        <v>455.50822833641354</v>
      </c>
      <c r="EP143" s="62">
        <f t="shared" si="154"/>
        <v>261.14722581688039</v>
      </c>
      <c r="EQ143" s="16">
        <f>IF(ISNA(VLOOKUP(A143,'Données projet'!$A$191:$I$211,3,0)),0,VLOOKUP(A143,'Données projet'!$A$191:$I$211,3,0))</f>
        <v>12</v>
      </c>
      <c r="ER143" s="16">
        <f>IF(ISNA(VLOOKUP(A143,'Données projet'!$A$191:$I$211,4,0)),0,VLOOKUP(A143,'Données projet'!$A$191:$I$211,4,0))</f>
        <v>27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243</v>
      </c>
      <c r="FF143" s="18">
        <f>FE143*VLOOKUP('Données projet'!$B$16,Paramètres!$A$1:$I$89,3,0)*VLOOKUP('Données projet'!$B$16,Paramètres!$A$1:$I$89,5,0)</f>
        <v>212.28480000000002</v>
      </c>
      <c r="FG143" s="14">
        <f t="shared" si="155"/>
        <v>52.434557099704193</v>
      </c>
      <c r="FH143" s="22">
        <f t="shared" si="130"/>
        <v>461.05288028198476</v>
      </c>
      <c r="FI143" s="62">
        <f t="shared" si="131"/>
        <v>754.38621361531807</v>
      </c>
      <c r="FJ143" s="62">
        <f ca="1">AVERAGE(OFFSET($FI$3,0,0,'Données projet'!$E$16+1,1))-AVERAGE(OFFSET($H$3,0,0,'Données projet'!$E$16+1,1))</f>
        <v>369.34989412920129</v>
      </c>
      <c r="FK143" s="62">
        <f t="shared" si="156"/>
        <v>371.26234252426553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0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>
        <f>FZ143*VLOOKUP('Données projet'!$B$17,Paramètres!$A$1:$I$89,3,0)*VLOOKUP('Données projet'!$B$17,Paramètres!$A$1:$I$89,5,0)</f>
        <v>0</v>
      </c>
      <c r="GB143" s="14" t="e">
        <f t="shared" si="157"/>
        <v>#NUM!</v>
      </c>
      <c r="GC143" s="22" t="e">
        <f t="shared" si="133"/>
        <v>#NUM!</v>
      </c>
      <c r="GD143" s="62" t="e">
        <f t="shared" si="134"/>
        <v>#NUM!</v>
      </c>
      <c r="GE143" s="62">
        <f ca="1">AVERAGE(OFFSET($GD$3,0,0,'Données projet'!$E$17+1,1))-AVERAGE(OFFSET($H$3,0,0,'Données projet'!$E$17+1,1))</f>
        <v>324.4489531703187</v>
      </c>
      <c r="GF143" s="62">
        <f t="shared" si="158"/>
        <v>446.55019360848706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projet'!$B$17,Paramètres!$A$1:$I$89,3,0)*0.475*44/12</f>
        <v>0</v>
      </c>
      <c r="GM143" s="23">
        <f>EXP(-LN(2)/25)*GM142+(1-EXP(-LN(2)/25))/(LN(2)/25)*Calculateur!GH143*Calculateur!GJ143*VLOOKUP('Données projet'!$B$17,Paramètres!$A$1:$I$89,3,0)*0.475*44/12</f>
        <v>0</v>
      </c>
      <c r="GN143" s="23">
        <f>EXP(-LN(2)/2)*GN142+(1-EXP(-LN(2)/2))/(LN(2)/2)*GH143*GK143*VLOOKUP('Données projet'!$B$17,Paramètres!$A$1:$I$89,3,0)*0.475*44/12</f>
        <v>0</v>
      </c>
      <c r="GO143" s="23">
        <f t="shared" si="135"/>
        <v>0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1.7053025658242404E-13</v>
      </c>
      <c r="GV143" s="18">
        <f>GU143*VLOOKUP('Données projet'!$B$18,Paramètres!$A$1:$I$89,3,0)*VLOOKUP('Données projet'!$B$18,Paramètres!$A$1:$I$89,5,0)</f>
        <v>1.1439169611549005E-13</v>
      </c>
      <c r="GW143" s="14">
        <f t="shared" si="159"/>
        <v>1.6918016515029816E-12</v>
      </c>
      <c r="GX143" s="22">
        <f t="shared" si="136"/>
        <v>3.1457867471021712E-12</v>
      </c>
      <c r="GY143" s="62">
        <f t="shared" si="137"/>
        <v>293.33333333333644</v>
      </c>
      <c r="GZ143" s="62">
        <f ca="1">AVERAGE(OFFSET($GY$3,0,0,'Données projet'!$E$18+1,1))-AVERAGE(OFFSET($H$3,0,0,'Données projet'!$E$18+1,1))</f>
        <v>312.06797204903796</v>
      </c>
      <c r="HA143" s="62">
        <f t="shared" si="160"/>
        <v>258.20189001775151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>
        <f>EXP(-LN(2)/35)*HG142+(1-EXP(-LN(2)/35))/(LN(2)/35)*HC143*HD143*VLOOKUP('Données projet'!$B$18,Paramètres!$A$1:$I$89,3,0)*0.475*44/12</f>
        <v>0</v>
      </c>
      <c r="HH143" s="23">
        <f>EXP(-LN(2)/25)*HH142+(1-EXP(-LN(2)/25))/(LN(2)/25)*Calculateur!HC143*Calculateur!HE143*VLOOKUP('Données projet'!$B$18,Paramètres!$A$1:$I$89,3,0)*0.475*44/12</f>
        <v>0</v>
      </c>
      <c r="HI143" s="23">
        <f>EXP(-LN(2)/2)*HI142+(1-EXP(-LN(2)/2))/(LN(2)/2)*HC143*HF143*VLOOKUP('Données projet'!$B$18,Paramètres!$A$1:$I$89,3,0)*0.475*44/12</f>
        <v>0</v>
      </c>
      <c r="HJ143" s="24">
        <f t="shared" si="138"/>
        <v>0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3.6</v>
      </c>
      <c r="N144" s="14">
        <f>IF('Données projet'!$A$36&gt;35,N143+M144-V143,IF(A144&lt;'Données projet'!$A$36,$K$205^A144,IF(A144='Données projet'!$A$36,'Données projet'!$B$36,N143+M144-V143)))</f>
        <v>322.59999999999985</v>
      </c>
      <c r="O144" s="14">
        <f>N144*VLOOKUP('Données projet'!$B$9,Paramètres!$A$1:$I$89,3,0)*VLOOKUP('Données projet'!$B$9,Paramètres!$A$1:$I$89,5,0)</f>
        <v>291.88847999999984</v>
      </c>
      <c r="P144" s="14">
        <f t="shared" si="141"/>
        <v>69.473274055573441</v>
      </c>
      <c r="Q144" s="22">
        <f t="shared" si="108"/>
        <v>629.37172164679021</v>
      </c>
      <c r="R144" s="62">
        <f t="shared" si="109"/>
        <v>922.70505498012358</v>
      </c>
      <c r="S144" s="62">
        <f ca="1">AVERAGE(OFFSET($R$3,0,0,'Données projet'!$E$9+1,1))-AVERAGE(OFFSET($H$3,0,0,'Données projet'!$E$9+1,1))</f>
        <v>512.84819850818667</v>
      </c>
      <c r="T144" s="62">
        <f t="shared" si="142"/>
        <v>332.61387922152159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-5.6843418860808015E-14</v>
      </c>
      <c r="AJ144" s="14">
        <f>AI144*VLOOKUP('Données projet'!$B$10,Paramètres!$A$1:$I$89,3,0)*VLOOKUP('Données projet'!$B$10,Paramètres!$A$1:$I$89,5,0)</f>
        <v>-4.1677594708744434E-14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344.45199703750711</v>
      </c>
      <c r="AO144" s="62">
        <f t="shared" si="144"/>
        <v>376.41441893222185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3.6</v>
      </c>
      <c r="BD144" s="13">
        <f>IF('Données projet'!$A$88&gt;35,BD143+BC144-BL143,IF(A144&lt;'Données projet'!$A$88,$BA$205^A144,IF(A144='Données projet'!$A$88,'Données projet'!$B$88,BD143+BC144-BL143)))</f>
        <v>322.59999999999985</v>
      </c>
      <c r="BE144" s="14">
        <f>BD144*VLOOKUP('Données projet'!$B$11,Paramètres!$A$1:$I$89,3,0)*VLOOKUP('Données projet'!$B$11,Paramètres!$A$1:$I$89,5,0)</f>
        <v>327.11639999999989</v>
      </c>
      <c r="BF144" s="14">
        <f t="shared" si="145"/>
        <v>76.83215828738588</v>
      </c>
      <c r="BG144" s="22">
        <f t="shared" si="115"/>
        <v>703.5437390171968</v>
      </c>
      <c r="BH144" s="62">
        <f t="shared" si="116"/>
        <v>996.87707235053017</v>
      </c>
      <c r="BI144" s="62">
        <f ca="1">AVERAGE(OFFSET($BH$3,0,0,'Données projet'!$E$11+1,1))-AVERAGE(OFFSET($H$3,0,0,'Données projet'!$E$11+1,1))</f>
        <v>569.39473185784823</v>
      </c>
      <c r="BJ144" s="62">
        <f t="shared" si="146"/>
        <v>367.42881145517066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4</v>
      </c>
      <c r="BY144" s="13">
        <f>IF('Données projet'!$A$114&gt;35,BY143+BX144-CG143,IF(A144&lt;'Données projet'!$A$114,$BV$205^A144,IF(A144='Données projet'!$A$114,'Données projet'!$B$114,BY143+BX144-CG143)))</f>
        <v>431.00000000000023</v>
      </c>
      <c r="BZ144" s="14">
        <f>BY144*VLOOKUP('Données projet'!$B$12,Paramètres!$A$1:$I$89,3,0)*VLOOKUP('Données projet'!$B$12,Paramètres!$A$1:$I$89,5,0)</f>
        <v>369.79800000000023</v>
      </c>
      <c r="CA144" s="14">
        <f t="shared" si="147"/>
        <v>85.625978667852593</v>
      </c>
      <c r="CB144" s="22">
        <f t="shared" si="118"/>
        <v>793.1967628465103</v>
      </c>
      <c r="CC144" s="62">
        <f t="shared" si="119"/>
        <v>1086.5300961798437</v>
      </c>
      <c r="CD144" s="62">
        <f ca="1">AVERAGE(OFFSET($CC$3,0,0,'Données projet'!$E$12+1,1))-AVERAGE(OFFSET($H$3,0,0,'Données projet'!$E$12+1,1))</f>
        <v>554.06253050955502</v>
      </c>
      <c r="CE144" s="62">
        <f t="shared" si="148"/>
        <v>269.71949336355789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1.1368683772161603E-13</v>
      </c>
      <c r="CU144" s="18">
        <f>CT144*VLOOKUP('Données projet'!$B$13,Paramètres!$A$1:$I$89,3,0)*VLOOKUP('Données projet'!$B$13,Paramètres!$A$1:$I$89,5,0)</f>
        <v>8.8675733422860506E-14</v>
      </c>
      <c r="CV144" s="14">
        <f t="shared" si="149"/>
        <v>1.3509285393066301E-12</v>
      </c>
      <c r="CW144" s="22">
        <f t="shared" si="121"/>
        <v>2.5073107750038623E-12</v>
      </c>
      <c r="CX144" s="62">
        <f t="shared" si="122"/>
        <v>293.33333333333582</v>
      </c>
      <c r="CY144" s="62">
        <f ca="1">AVERAGE(OFFSET($CX$3,0,0,'Données projet'!$E$13+1,1))-AVERAGE(OFFSET($H$3,0,0,'Données projet'!$E$13+1,1))</f>
        <v>292.21364130214391</v>
      </c>
      <c r="CZ144" s="62">
        <f t="shared" si="150"/>
        <v>283.48738729114024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5.6843418860808015E-14</v>
      </c>
      <c r="DP144" s="18">
        <f>DO144*VLOOKUP('Données projet'!$B$14,Paramètres!$A$1:$I$89,3,0)*VLOOKUP('Données projet'!$B$14,Paramètres!$A$1:$I$89,5,0)</f>
        <v>5.4092197387944907E-14</v>
      </c>
      <c r="DQ144" s="14">
        <f t="shared" si="151"/>
        <v>8.7287050538073676E-13</v>
      </c>
      <c r="DR144" s="22">
        <f t="shared" si="124"/>
        <v>1.6144600406554537E-12</v>
      </c>
      <c r="DS144" s="62">
        <f t="shared" si="125"/>
        <v>293.33333333333491</v>
      </c>
      <c r="DT144" s="62">
        <f ca="1">AVERAGE(OFFSET($DS$3,0,0,'Données projet'!$E$14+1,1))-AVERAGE(OFFSET($H$3,0,0,'Données projet'!$E$14+1,1))</f>
        <v>427.47603885390191</v>
      </c>
      <c r="DU144" s="62">
        <f t="shared" si="152"/>
        <v>350.88664394632116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2.4</v>
      </c>
      <c r="EJ144" s="13">
        <f>IF('Données projet'!$A$192&gt;35,EJ143+EI144-ER143,IF(A144&lt;'Données projet'!$A$192,$EG$205^A144,IF(A144='Données projet'!$A$192,'Données projet'!$B$192,EJ143+EI144-ER143)))</f>
        <v>271.39999999999924</v>
      </c>
      <c r="EK144" s="18">
        <f>EJ144*VLOOKUP('Données projet'!$B$15,Paramètres!$A$1:$I$89,3,0)*VLOOKUP('Données projet'!$B$15,Paramètres!$A$1:$I$89,5,0)</f>
        <v>262.49807999999928</v>
      </c>
      <c r="EL144" s="14">
        <f t="shared" si="153"/>
        <v>63.254570961137979</v>
      </c>
      <c r="EM144" s="22">
        <f t="shared" si="127"/>
        <v>567.35253375731406</v>
      </c>
      <c r="EN144" s="62">
        <f t="shared" si="128"/>
        <v>860.68586709064743</v>
      </c>
      <c r="EO144" s="62">
        <f ca="1">AVERAGE(OFFSET($EN$3,0,0,'Données projet'!$E$15+1,1))-AVERAGE(OFFSET($H$3,0,0,'Données projet'!$E$15+1,1))</f>
        <v>455.50822833641354</v>
      </c>
      <c r="EP144" s="62">
        <f t="shared" si="154"/>
        <v>261.14722581688039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243</v>
      </c>
      <c r="FF144" s="18">
        <f>FE144*VLOOKUP('Données projet'!$B$16,Paramètres!$A$1:$I$89,3,0)*VLOOKUP('Données projet'!$B$16,Paramètres!$A$1:$I$89,5,0)</f>
        <v>212.28480000000002</v>
      </c>
      <c r="FG144" s="14">
        <f t="shared" si="155"/>
        <v>52.434557099704193</v>
      </c>
      <c r="FH144" s="22">
        <f t="shared" si="130"/>
        <v>461.05288028198476</v>
      </c>
      <c r="FI144" s="62">
        <f t="shared" si="131"/>
        <v>754.38621361531807</v>
      </c>
      <c r="FJ144" s="62">
        <f ca="1">AVERAGE(OFFSET($FI$3,0,0,'Données projet'!$E$16+1,1))-AVERAGE(OFFSET($H$3,0,0,'Données projet'!$E$16+1,1))</f>
        <v>369.34989412920129</v>
      </c>
      <c r="FK144" s="62">
        <f t="shared" si="156"/>
        <v>371.26234252426553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0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>
        <f>FZ144*VLOOKUP('Données projet'!$B$17,Paramètres!$A$1:$I$89,3,0)*VLOOKUP('Données projet'!$B$17,Paramètres!$A$1:$I$89,5,0)</f>
        <v>0</v>
      </c>
      <c r="GB144" s="14" t="e">
        <f t="shared" si="157"/>
        <v>#NUM!</v>
      </c>
      <c r="GC144" s="22" t="e">
        <f t="shared" si="133"/>
        <v>#NUM!</v>
      </c>
      <c r="GD144" s="62" t="e">
        <f t="shared" si="134"/>
        <v>#NUM!</v>
      </c>
      <c r="GE144" s="62">
        <f ca="1">AVERAGE(OFFSET($GD$3,0,0,'Données projet'!$E$17+1,1))-AVERAGE(OFFSET($H$3,0,0,'Données projet'!$E$17+1,1))</f>
        <v>324.4489531703187</v>
      </c>
      <c r="GF144" s="62">
        <f t="shared" si="158"/>
        <v>446.55019360848706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projet'!$B$17,Paramètres!$A$1:$I$89,3,0)*0.475*44/12</f>
        <v>0</v>
      </c>
      <c r="GM144" s="23">
        <f>EXP(-LN(2)/25)*GM143+(1-EXP(-LN(2)/25))/(LN(2)/25)*Calculateur!GH144*Calculateur!GJ144*VLOOKUP('Données projet'!$B$17,Paramètres!$A$1:$I$89,3,0)*0.475*44/12</f>
        <v>0</v>
      </c>
      <c r="GN144" s="23">
        <f>EXP(-LN(2)/2)*GN143+(1-EXP(-LN(2)/2))/(LN(2)/2)*GH144*GK144*VLOOKUP('Données projet'!$B$17,Paramètres!$A$1:$I$89,3,0)*0.475*44/12</f>
        <v>0</v>
      </c>
      <c r="GO144" s="23">
        <f t="shared" si="135"/>
        <v>0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1.7053025658242404E-13</v>
      </c>
      <c r="GV144" s="18">
        <f>GU144*VLOOKUP('Données projet'!$B$18,Paramètres!$A$1:$I$89,3,0)*VLOOKUP('Données projet'!$B$18,Paramètres!$A$1:$I$89,5,0)</f>
        <v>1.1439169611549005E-13</v>
      </c>
      <c r="GW144" s="14">
        <f t="shared" si="159"/>
        <v>1.6918016515029816E-12</v>
      </c>
      <c r="GX144" s="22">
        <f t="shared" si="136"/>
        <v>3.1457867471021712E-12</v>
      </c>
      <c r="GY144" s="62">
        <f t="shared" si="137"/>
        <v>293.33333333333644</v>
      </c>
      <c r="GZ144" s="62">
        <f ca="1">AVERAGE(OFFSET($GY$3,0,0,'Données projet'!$E$18+1,1))-AVERAGE(OFFSET($H$3,0,0,'Données projet'!$E$18+1,1))</f>
        <v>312.06797204903796</v>
      </c>
      <c r="HA144" s="62">
        <f t="shared" si="160"/>
        <v>258.20189001775151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>
        <f>EXP(-LN(2)/35)*HG143+(1-EXP(-LN(2)/35))/(LN(2)/35)*HC144*HD144*VLOOKUP('Données projet'!$B$18,Paramètres!$A$1:$I$89,3,0)*0.475*44/12</f>
        <v>0</v>
      </c>
      <c r="HH144" s="23">
        <f>EXP(-LN(2)/25)*HH143+(1-EXP(-LN(2)/25))/(LN(2)/25)*Calculateur!HC144*Calculateur!HE144*VLOOKUP('Données projet'!$B$18,Paramètres!$A$1:$I$89,3,0)*0.475*44/12</f>
        <v>0</v>
      </c>
      <c r="HI144" s="23">
        <f>EXP(-LN(2)/2)*HI143+(1-EXP(-LN(2)/2))/(LN(2)/2)*HC144*HF144*VLOOKUP('Données projet'!$B$18,Paramètres!$A$1:$I$89,3,0)*0.475*44/12</f>
        <v>0</v>
      </c>
      <c r="HJ144" s="24">
        <f t="shared" si="138"/>
        <v>0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3.6</v>
      </c>
      <c r="N145" s="14">
        <f>IF('Données projet'!$A$36&gt;35,N144+M145-V144,IF(A145&lt;'Données projet'!$A$36,$K$205^A145,IF(A145='Données projet'!$A$36,'Données projet'!$B$36,N144+M145-V144)))</f>
        <v>326.19999999999987</v>
      </c>
      <c r="O145" s="14">
        <f>N145*VLOOKUP('Données projet'!$B$9,Paramètres!$A$1:$I$89,3,0)*VLOOKUP('Données projet'!$B$9,Paramètres!$A$1:$I$89,5,0)</f>
        <v>295.14575999999988</v>
      </c>
      <c r="P145" s="14">
        <f t="shared" si="141"/>
        <v>70.157864167878188</v>
      </c>
      <c r="Q145" s="22">
        <f t="shared" si="108"/>
        <v>636.237145425721</v>
      </c>
      <c r="R145" s="62">
        <f t="shared" si="109"/>
        <v>929.57047875905437</v>
      </c>
      <c r="S145" s="62">
        <f ca="1">AVERAGE(OFFSET($R$3,0,0,'Données projet'!$E$9+1,1))-AVERAGE(OFFSET($H$3,0,0,'Données projet'!$E$9+1,1))</f>
        <v>512.84819850818667</v>
      </c>
      <c r="T145" s="62">
        <f t="shared" si="142"/>
        <v>332.61387922152159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-5.6843418860808015E-14</v>
      </c>
      <c r="AJ145" s="14">
        <f>AI145*VLOOKUP('Données projet'!$B$10,Paramètres!$A$1:$I$89,3,0)*VLOOKUP('Données projet'!$B$10,Paramètres!$A$1:$I$89,5,0)</f>
        <v>-4.1677594708744434E-14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344.45199703750711</v>
      </c>
      <c r="AO145" s="62">
        <f t="shared" si="144"/>
        <v>376.41441893222185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3.6</v>
      </c>
      <c r="BD145" s="13">
        <f>IF('Données projet'!$A$88&gt;35,BD144+BC145-BL144,IF(A145&lt;'Données projet'!$A$88,$BA$205^A145,IF(A145='Données projet'!$A$88,'Données projet'!$B$88,BD144+BC145-BL144)))</f>
        <v>326.19999999999987</v>
      </c>
      <c r="BE145" s="14">
        <f>BD145*VLOOKUP('Données projet'!$B$11,Paramètres!$A$1:$I$89,3,0)*VLOOKUP('Données projet'!$B$11,Paramètres!$A$1:$I$89,5,0)</f>
        <v>330.76679999999988</v>
      </c>
      <c r="BF145" s="14">
        <f t="shared" si="145"/>
        <v>77.589262894669801</v>
      </c>
      <c r="BG145" s="22">
        <f t="shared" si="115"/>
        <v>711.22014287488298</v>
      </c>
      <c r="BH145" s="62">
        <f t="shared" si="116"/>
        <v>1004.5534762082164</v>
      </c>
      <c r="BI145" s="62">
        <f ca="1">AVERAGE(OFFSET($BH$3,0,0,'Données projet'!$E$11+1,1))-AVERAGE(OFFSET($H$3,0,0,'Données projet'!$E$11+1,1))</f>
        <v>569.39473185784823</v>
      </c>
      <c r="BJ145" s="62">
        <f t="shared" si="146"/>
        <v>367.42881145517066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4</v>
      </c>
      <c r="BY145" s="13">
        <f>IF('Données projet'!$A$114&gt;35,BY144+BX145-CG144,IF(A145&lt;'Données projet'!$A$114,$BV$205^A145,IF(A145='Données projet'!$A$114,'Données projet'!$B$114,BY144+BX145-CG144)))</f>
        <v>435.00000000000023</v>
      </c>
      <c r="BZ145" s="14">
        <f>BY145*VLOOKUP('Données projet'!$B$12,Paramètres!$A$1:$I$89,3,0)*VLOOKUP('Données projet'!$B$12,Paramètres!$A$1:$I$89,5,0)</f>
        <v>373.23000000000025</v>
      </c>
      <c r="CA145" s="14">
        <f t="shared" si="147"/>
        <v>86.327773459005058</v>
      </c>
      <c r="CB145" s="22">
        <f t="shared" si="118"/>
        <v>800.3964554411009</v>
      </c>
      <c r="CC145" s="62">
        <f t="shared" si="119"/>
        <v>1093.7297887744342</v>
      </c>
      <c r="CD145" s="62">
        <f ca="1">AVERAGE(OFFSET($CC$3,0,0,'Données projet'!$E$12+1,1))-AVERAGE(OFFSET($H$3,0,0,'Données projet'!$E$12+1,1))</f>
        <v>554.06253050955502</v>
      </c>
      <c r="CE145" s="62">
        <f t="shared" si="148"/>
        <v>269.71949336355789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1.1368683772161603E-13</v>
      </c>
      <c r="CU145" s="18">
        <f>CT145*VLOOKUP('Données projet'!$B$13,Paramètres!$A$1:$I$89,3,0)*VLOOKUP('Données projet'!$B$13,Paramètres!$A$1:$I$89,5,0)</f>
        <v>8.8675733422860506E-14</v>
      </c>
      <c r="CV145" s="14">
        <f t="shared" si="149"/>
        <v>1.3509285393066301E-12</v>
      </c>
      <c r="CW145" s="22">
        <f t="shared" si="121"/>
        <v>2.5073107750038623E-12</v>
      </c>
      <c r="CX145" s="62">
        <f t="shared" si="122"/>
        <v>293.33333333333582</v>
      </c>
      <c r="CY145" s="62">
        <f ca="1">AVERAGE(OFFSET($CX$3,0,0,'Données projet'!$E$13+1,1))-AVERAGE(OFFSET($H$3,0,0,'Données projet'!$E$13+1,1))</f>
        <v>292.21364130214391</v>
      </c>
      <c r="CZ145" s="62">
        <f t="shared" si="150"/>
        <v>283.48738729114024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5.6843418860808015E-14</v>
      </c>
      <c r="DP145" s="18">
        <f>DO145*VLOOKUP('Données projet'!$B$14,Paramètres!$A$1:$I$89,3,0)*VLOOKUP('Données projet'!$B$14,Paramètres!$A$1:$I$89,5,0)</f>
        <v>5.4092197387944907E-14</v>
      </c>
      <c r="DQ145" s="14">
        <f t="shared" si="151"/>
        <v>8.7287050538073676E-13</v>
      </c>
      <c r="DR145" s="22">
        <f t="shared" si="124"/>
        <v>1.6144600406554537E-12</v>
      </c>
      <c r="DS145" s="62">
        <f t="shared" si="125"/>
        <v>293.33333333333491</v>
      </c>
      <c r="DT145" s="62">
        <f ca="1">AVERAGE(OFFSET($DS$3,0,0,'Données projet'!$E$14+1,1))-AVERAGE(OFFSET($H$3,0,0,'Données projet'!$E$14+1,1))</f>
        <v>427.47603885390191</v>
      </c>
      <c r="DU145" s="62">
        <f t="shared" si="152"/>
        <v>350.88664394632116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2.4</v>
      </c>
      <c r="EJ145" s="13">
        <f>IF('Données projet'!$A$192&gt;35,EJ144+EI145-ER144,IF(A145&lt;'Données projet'!$A$192,$EG$205^A145,IF(A145='Données projet'!$A$192,'Données projet'!$B$192,EJ144+EI145-ER144)))</f>
        <v>273.79999999999922</v>
      </c>
      <c r="EK145" s="18">
        <f>EJ145*VLOOKUP('Données projet'!$B$15,Paramètres!$A$1:$I$89,3,0)*VLOOKUP('Données projet'!$B$15,Paramètres!$A$1:$I$89,5,0)</f>
        <v>264.81935999999928</v>
      </c>
      <c r="EL145" s="14">
        <f t="shared" si="153"/>
        <v>63.748570085236892</v>
      </c>
      <c r="EM145" s="22">
        <f t="shared" si="127"/>
        <v>572.25581156511964</v>
      </c>
      <c r="EN145" s="62">
        <f t="shared" si="128"/>
        <v>865.58914489845301</v>
      </c>
      <c r="EO145" s="62">
        <f ca="1">AVERAGE(OFFSET($EN$3,0,0,'Données projet'!$E$15+1,1))-AVERAGE(OFFSET($H$3,0,0,'Données projet'!$E$15+1,1))</f>
        <v>455.50822833641354</v>
      </c>
      <c r="EP145" s="62">
        <f t="shared" si="154"/>
        <v>261.14722581688039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243</v>
      </c>
      <c r="FF145" s="18">
        <f>FE145*VLOOKUP('Données projet'!$B$16,Paramètres!$A$1:$I$89,3,0)*VLOOKUP('Données projet'!$B$16,Paramètres!$A$1:$I$89,5,0)</f>
        <v>212.28480000000002</v>
      </c>
      <c r="FG145" s="14">
        <f t="shared" si="155"/>
        <v>52.434557099704193</v>
      </c>
      <c r="FH145" s="22">
        <f t="shared" si="130"/>
        <v>461.05288028198476</v>
      </c>
      <c r="FI145" s="62">
        <f t="shared" si="131"/>
        <v>754.38621361531807</v>
      </c>
      <c r="FJ145" s="62">
        <f ca="1">AVERAGE(OFFSET($FI$3,0,0,'Données projet'!$E$16+1,1))-AVERAGE(OFFSET($H$3,0,0,'Données projet'!$E$16+1,1))</f>
        <v>369.34989412920129</v>
      </c>
      <c r="FK145" s="62">
        <f t="shared" si="156"/>
        <v>371.26234252426553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0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>
        <f>FZ145*VLOOKUP('Données projet'!$B$17,Paramètres!$A$1:$I$89,3,0)*VLOOKUP('Données projet'!$B$17,Paramètres!$A$1:$I$89,5,0)</f>
        <v>0</v>
      </c>
      <c r="GB145" s="14" t="e">
        <f t="shared" si="157"/>
        <v>#NUM!</v>
      </c>
      <c r="GC145" s="22" t="e">
        <f t="shared" si="133"/>
        <v>#NUM!</v>
      </c>
      <c r="GD145" s="62" t="e">
        <f t="shared" si="134"/>
        <v>#NUM!</v>
      </c>
      <c r="GE145" s="62">
        <f ca="1">AVERAGE(OFFSET($GD$3,0,0,'Données projet'!$E$17+1,1))-AVERAGE(OFFSET($H$3,0,0,'Données projet'!$E$17+1,1))</f>
        <v>324.4489531703187</v>
      </c>
      <c r="GF145" s="62">
        <f t="shared" si="158"/>
        <v>446.55019360848706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projet'!$B$17,Paramètres!$A$1:$I$89,3,0)*0.475*44/12</f>
        <v>0</v>
      </c>
      <c r="GM145" s="23">
        <f>EXP(-LN(2)/25)*GM144+(1-EXP(-LN(2)/25))/(LN(2)/25)*Calculateur!GH145*Calculateur!GJ145*VLOOKUP('Données projet'!$B$17,Paramètres!$A$1:$I$89,3,0)*0.475*44/12</f>
        <v>0</v>
      </c>
      <c r="GN145" s="23">
        <f>EXP(-LN(2)/2)*GN144+(1-EXP(-LN(2)/2))/(LN(2)/2)*GH145*GK145*VLOOKUP('Données projet'!$B$17,Paramètres!$A$1:$I$89,3,0)*0.475*44/12</f>
        <v>0</v>
      </c>
      <c r="GO145" s="23">
        <f t="shared" si="135"/>
        <v>0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1.7053025658242404E-13</v>
      </c>
      <c r="GV145" s="18">
        <f>GU145*VLOOKUP('Données projet'!$B$18,Paramètres!$A$1:$I$89,3,0)*VLOOKUP('Données projet'!$B$18,Paramètres!$A$1:$I$89,5,0)</f>
        <v>1.1439169611549005E-13</v>
      </c>
      <c r="GW145" s="14">
        <f t="shared" si="159"/>
        <v>1.6918016515029816E-12</v>
      </c>
      <c r="GX145" s="22">
        <f t="shared" si="136"/>
        <v>3.1457867471021712E-12</v>
      </c>
      <c r="GY145" s="62">
        <f t="shared" si="137"/>
        <v>293.33333333333644</v>
      </c>
      <c r="GZ145" s="62">
        <f ca="1">AVERAGE(OFFSET($GY$3,0,0,'Données projet'!$E$18+1,1))-AVERAGE(OFFSET($H$3,0,0,'Données projet'!$E$18+1,1))</f>
        <v>312.06797204903796</v>
      </c>
      <c r="HA145" s="62">
        <f t="shared" si="160"/>
        <v>258.20189001775151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>
        <f>EXP(-LN(2)/35)*HG144+(1-EXP(-LN(2)/35))/(LN(2)/35)*HC145*HD145*VLOOKUP('Données projet'!$B$18,Paramètres!$A$1:$I$89,3,0)*0.475*44/12</f>
        <v>0</v>
      </c>
      <c r="HH145" s="23">
        <f>EXP(-LN(2)/25)*HH144+(1-EXP(-LN(2)/25))/(LN(2)/25)*Calculateur!HC145*Calculateur!HE145*VLOOKUP('Données projet'!$B$18,Paramètres!$A$1:$I$89,3,0)*0.475*44/12</f>
        <v>0</v>
      </c>
      <c r="HI145" s="23">
        <f>EXP(-LN(2)/2)*HI144+(1-EXP(-LN(2)/2))/(LN(2)/2)*HC145*HF145*VLOOKUP('Données projet'!$B$18,Paramètres!$A$1:$I$89,3,0)*0.475*44/12</f>
        <v>0</v>
      </c>
      <c r="HJ145" s="24">
        <f t="shared" si="138"/>
        <v>0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3.6</v>
      </c>
      <c r="N146" s="14">
        <f>IF('Données projet'!$A$36&gt;35,N145+M146-V145,IF(A146&lt;'Données projet'!$A$36,$K$205^A146,IF(A146='Données projet'!$A$36,'Données projet'!$B$36,N145+M146-V145)))</f>
        <v>329.7999999999999</v>
      </c>
      <c r="O146" s="14">
        <f>N146*VLOOKUP('Données projet'!$B$9,Paramètres!$A$1:$I$89,3,0)*VLOOKUP('Données projet'!$B$9,Paramètres!$A$1:$I$89,5,0)</f>
        <v>298.40303999999992</v>
      </c>
      <c r="P146" s="14">
        <f t="shared" si="141"/>
        <v>70.841575394175464</v>
      </c>
      <c r="Q146" s="22">
        <f t="shared" si="108"/>
        <v>643.1010384781888</v>
      </c>
      <c r="R146" s="62">
        <f t="shared" si="109"/>
        <v>936.43437181152217</v>
      </c>
      <c r="S146" s="62">
        <f ca="1">AVERAGE(OFFSET($R$3,0,0,'Données projet'!$E$9+1,1))-AVERAGE(OFFSET($H$3,0,0,'Données projet'!$E$9+1,1))</f>
        <v>512.84819850818667</v>
      </c>
      <c r="T146" s="62">
        <f t="shared" si="142"/>
        <v>332.61387922152159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-5.6843418860808015E-14</v>
      </c>
      <c r="AJ146" s="14">
        <f>AI146*VLOOKUP('Données projet'!$B$10,Paramètres!$A$1:$I$89,3,0)*VLOOKUP('Données projet'!$B$10,Paramètres!$A$1:$I$89,5,0)</f>
        <v>-4.1677594708744434E-14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344.45199703750711</v>
      </c>
      <c r="AO146" s="62">
        <f t="shared" si="144"/>
        <v>376.41441893222185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3.6</v>
      </c>
      <c r="BD146" s="13">
        <f>IF('Données projet'!$A$88&gt;35,BD145+BC146-BL145,IF(A146&lt;'Données projet'!$A$88,$BA$205^A146,IF(A146='Données projet'!$A$88,'Données projet'!$B$88,BD145+BC146-BL145)))</f>
        <v>329.7999999999999</v>
      </c>
      <c r="BE146" s="14">
        <f>BD146*VLOOKUP('Données projet'!$B$11,Paramètres!$A$1:$I$89,3,0)*VLOOKUP('Données projet'!$B$11,Paramètres!$A$1:$I$89,5,0)</f>
        <v>334.41719999999992</v>
      </c>
      <c r="BF146" s="14">
        <f t="shared" si="145"/>
        <v>78.345395520860905</v>
      </c>
      <c r="BG146" s="22">
        <f t="shared" si="115"/>
        <v>718.89485386549916</v>
      </c>
      <c r="BH146" s="62">
        <f t="shared" si="116"/>
        <v>1012.2281871988325</v>
      </c>
      <c r="BI146" s="62">
        <f ca="1">AVERAGE(OFFSET($BH$3,0,0,'Données projet'!$E$11+1,1))-AVERAGE(OFFSET($H$3,0,0,'Données projet'!$E$11+1,1))</f>
        <v>569.39473185784823</v>
      </c>
      <c r="BJ146" s="62">
        <f t="shared" si="146"/>
        <v>367.42881145517066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4</v>
      </c>
      <c r="BY146" s="13">
        <f>IF('Données projet'!$A$114&gt;35,BY145+BX146-CG145,IF(A146&lt;'Données projet'!$A$114,$BV$205^A146,IF(A146='Données projet'!$A$114,'Données projet'!$B$114,BY145+BX146-CG145)))</f>
        <v>439.00000000000023</v>
      </c>
      <c r="BZ146" s="14">
        <f>BY146*VLOOKUP('Données projet'!$B$12,Paramètres!$A$1:$I$89,3,0)*VLOOKUP('Données projet'!$B$12,Paramètres!$A$1:$I$89,5,0)</f>
        <v>376.66200000000021</v>
      </c>
      <c r="CA146" s="14">
        <f t="shared" si="147"/>
        <v>87.028817478400569</v>
      </c>
      <c r="CB146" s="22">
        <f t="shared" si="118"/>
        <v>807.59484044154794</v>
      </c>
      <c r="CC146" s="62">
        <f t="shared" si="119"/>
        <v>1100.9281737748813</v>
      </c>
      <c r="CD146" s="62">
        <f ca="1">AVERAGE(OFFSET($CC$3,0,0,'Données projet'!$E$12+1,1))-AVERAGE(OFFSET($H$3,0,0,'Données projet'!$E$12+1,1))</f>
        <v>554.06253050955502</v>
      </c>
      <c r="CE146" s="62">
        <f t="shared" si="148"/>
        <v>269.71949336355789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1.1368683772161603E-13</v>
      </c>
      <c r="CU146" s="18">
        <f>CT146*VLOOKUP('Données projet'!$B$13,Paramètres!$A$1:$I$89,3,0)*VLOOKUP('Données projet'!$B$13,Paramètres!$A$1:$I$89,5,0)</f>
        <v>8.8675733422860506E-14</v>
      </c>
      <c r="CV146" s="14">
        <f t="shared" si="149"/>
        <v>1.3509285393066301E-12</v>
      </c>
      <c r="CW146" s="22">
        <f t="shared" si="121"/>
        <v>2.5073107750038623E-12</v>
      </c>
      <c r="CX146" s="62">
        <f t="shared" si="122"/>
        <v>293.33333333333582</v>
      </c>
      <c r="CY146" s="62">
        <f ca="1">AVERAGE(OFFSET($CX$3,0,0,'Données projet'!$E$13+1,1))-AVERAGE(OFFSET($H$3,0,0,'Données projet'!$E$13+1,1))</f>
        <v>292.21364130214391</v>
      </c>
      <c r="CZ146" s="62">
        <f t="shared" si="150"/>
        <v>283.48738729114024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5.6843418860808015E-14</v>
      </c>
      <c r="DP146" s="18">
        <f>DO146*VLOOKUP('Données projet'!$B$14,Paramètres!$A$1:$I$89,3,0)*VLOOKUP('Données projet'!$B$14,Paramètres!$A$1:$I$89,5,0)</f>
        <v>5.4092197387944907E-14</v>
      </c>
      <c r="DQ146" s="14">
        <f t="shared" si="151"/>
        <v>8.7287050538073676E-13</v>
      </c>
      <c r="DR146" s="22">
        <f t="shared" si="124"/>
        <v>1.6144600406554537E-12</v>
      </c>
      <c r="DS146" s="62">
        <f t="shared" si="125"/>
        <v>293.33333333333491</v>
      </c>
      <c r="DT146" s="62">
        <f ca="1">AVERAGE(OFFSET($DS$3,0,0,'Données projet'!$E$14+1,1))-AVERAGE(OFFSET($H$3,0,0,'Données projet'!$E$14+1,1))</f>
        <v>427.47603885390191</v>
      </c>
      <c r="DU146" s="62">
        <f t="shared" si="152"/>
        <v>350.88664394632116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2.4</v>
      </c>
      <c r="EJ146" s="13">
        <f>IF('Données projet'!$A$192&gt;35,EJ145+EI146-ER145,IF(A146&lt;'Données projet'!$A$192,$EG$205^A146,IF(A146='Données projet'!$A$192,'Données projet'!$B$192,EJ145+EI146-ER145)))</f>
        <v>276.19999999999919</v>
      </c>
      <c r="EK146" s="18">
        <f>EJ146*VLOOKUP('Données projet'!$B$15,Paramètres!$A$1:$I$89,3,0)*VLOOKUP('Données projet'!$B$15,Paramètres!$A$1:$I$89,5,0)</f>
        <v>267.14063999999922</v>
      </c>
      <c r="EL146" s="14">
        <f t="shared" si="153"/>
        <v>64.242065428895785</v>
      </c>
      <c r="EM146" s="22">
        <f t="shared" si="127"/>
        <v>577.15821195532533</v>
      </c>
      <c r="EN146" s="62">
        <f t="shared" si="128"/>
        <v>870.4915452886587</v>
      </c>
      <c r="EO146" s="62">
        <f ca="1">AVERAGE(OFFSET($EN$3,0,0,'Données projet'!$E$15+1,1))-AVERAGE(OFFSET($H$3,0,0,'Données projet'!$E$15+1,1))</f>
        <v>455.50822833641354</v>
      </c>
      <c r="EP146" s="62">
        <f t="shared" si="154"/>
        <v>261.14722581688039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243</v>
      </c>
      <c r="FF146" s="18">
        <f>FE146*VLOOKUP('Données projet'!$B$16,Paramètres!$A$1:$I$89,3,0)*VLOOKUP('Données projet'!$B$16,Paramètres!$A$1:$I$89,5,0)</f>
        <v>212.28480000000002</v>
      </c>
      <c r="FG146" s="14">
        <f t="shared" si="155"/>
        <v>52.434557099704193</v>
      </c>
      <c r="FH146" s="22">
        <f t="shared" si="130"/>
        <v>461.05288028198476</v>
      </c>
      <c r="FI146" s="62">
        <f t="shared" si="131"/>
        <v>754.38621361531807</v>
      </c>
      <c r="FJ146" s="62">
        <f ca="1">AVERAGE(OFFSET($FI$3,0,0,'Données projet'!$E$16+1,1))-AVERAGE(OFFSET($H$3,0,0,'Données projet'!$E$16+1,1))</f>
        <v>369.34989412920129</v>
      </c>
      <c r="FK146" s="62">
        <f t="shared" si="156"/>
        <v>371.26234252426553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0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>
        <f>FZ146*VLOOKUP('Données projet'!$B$17,Paramètres!$A$1:$I$89,3,0)*VLOOKUP('Données projet'!$B$17,Paramètres!$A$1:$I$89,5,0)</f>
        <v>0</v>
      </c>
      <c r="GB146" s="14" t="e">
        <f t="shared" si="157"/>
        <v>#NUM!</v>
      </c>
      <c r="GC146" s="22" t="e">
        <f t="shared" si="133"/>
        <v>#NUM!</v>
      </c>
      <c r="GD146" s="62" t="e">
        <f t="shared" si="134"/>
        <v>#NUM!</v>
      </c>
      <c r="GE146" s="62">
        <f ca="1">AVERAGE(OFFSET($GD$3,0,0,'Données projet'!$E$17+1,1))-AVERAGE(OFFSET($H$3,0,0,'Données projet'!$E$17+1,1))</f>
        <v>324.4489531703187</v>
      </c>
      <c r="GF146" s="62">
        <f t="shared" si="158"/>
        <v>446.55019360848706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projet'!$B$17,Paramètres!$A$1:$I$89,3,0)*0.475*44/12</f>
        <v>0</v>
      </c>
      <c r="GM146" s="23">
        <f>EXP(-LN(2)/25)*GM145+(1-EXP(-LN(2)/25))/(LN(2)/25)*Calculateur!GH146*Calculateur!GJ146*VLOOKUP('Données projet'!$B$17,Paramètres!$A$1:$I$89,3,0)*0.475*44/12</f>
        <v>0</v>
      </c>
      <c r="GN146" s="23">
        <f>EXP(-LN(2)/2)*GN145+(1-EXP(-LN(2)/2))/(LN(2)/2)*GH146*GK146*VLOOKUP('Données projet'!$B$17,Paramètres!$A$1:$I$89,3,0)*0.475*44/12</f>
        <v>0</v>
      </c>
      <c r="GO146" s="23">
        <f t="shared" si="135"/>
        <v>0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1.7053025658242404E-13</v>
      </c>
      <c r="GV146" s="18">
        <f>GU146*VLOOKUP('Données projet'!$B$18,Paramètres!$A$1:$I$89,3,0)*VLOOKUP('Données projet'!$B$18,Paramètres!$A$1:$I$89,5,0)</f>
        <v>1.1439169611549005E-13</v>
      </c>
      <c r="GW146" s="14">
        <f t="shared" si="159"/>
        <v>1.6918016515029816E-12</v>
      </c>
      <c r="GX146" s="22">
        <f t="shared" si="136"/>
        <v>3.1457867471021712E-12</v>
      </c>
      <c r="GY146" s="62">
        <f t="shared" si="137"/>
        <v>293.33333333333644</v>
      </c>
      <c r="GZ146" s="62">
        <f ca="1">AVERAGE(OFFSET($GY$3,0,0,'Données projet'!$E$18+1,1))-AVERAGE(OFFSET($H$3,0,0,'Données projet'!$E$18+1,1))</f>
        <v>312.06797204903796</v>
      </c>
      <c r="HA146" s="62">
        <f t="shared" si="160"/>
        <v>258.20189001775151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>
        <f>EXP(-LN(2)/35)*HG145+(1-EXP(-LN(2)/35))/(LN(2)/35)*HC146*HD146*VLOOKUP('Données projet'!$B$18,Paramètres!$A$1:$I$89,3,0)*0.475*44/12</f>
        <v>0</v>
      </c>
      <c r="HH146" s="23">
        <f>EXP(-LN(2)/25)*HH145+(1-EXP(-LN(2)/25))/(LN(2)/25)*Calculateur!HC146*Calculateur!HE146*VLOOKUP('Données projet'!$B$18,Paramètres!$A$1:$I$89,3,0)*0.475*44/12</f>
        <v>0</v>
      </c>
      <c r="HI146" s="23">
        <f>EXP(-LN(2)/2)*HI145+(1-EXP(-LN(2)/2))/(LN(2)/2)*HC146*HF146*VLOOKUP('Données projet'!$B$18,Paramètres!$A$1:$I$89,3,0)*0.475*44/12</f>
        <v>0</v>
      </c>
      <c r="HJ146" s="24">
        <f t="shared" si="138"/>
        <v>0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3.6</v>
      </c>
      <c r="N147" s="14">
        <f>IF('Données projet'!$A$36&gt;35,N146+M147-V146,IF(A147&lt;'Données projet'!$A$36,$K$205^A147,IF(A147='Données projet'!$A$36,'Données projet'!$B$36,N146+M147-V146)))</f>
        <v>333.39999999999992</v>
      </c>
      <c r="O147" s="14">
        <f>N147*VLOOKUP('Données projet'!$B$9,Paramètres!$A$1:$I$89,3,0)*VLOOKUP('Données projet'!$B$9,Paramètres!$A$1:$I$89,5,0)</f>
        <v>301.6603199999999</v>
      </c>
      <c r="P147" s="14">
        <f t="shared" si="141"/>
        <v>71.524418438455001</v>
      </c>
      <c r="Q147" s="22">
        <f t="shared" si="108"/>
        <v>649.96341944697565</v>
      </c>
      <c r="R147" s="62">
        <f t="shared" si="109"/>
        <v>943.29675278030891</v>
      </c>
      <c r="S147" s="62">
        <f ca="1">AVERAGE(OFFSET($R$3,0,0,'Données projet'!$E$9+1,1))-AVERAGE(OFFSET($H$3,0,0,'Données projet'!$E$9+1,1))</f>
        <v>512.84819850818667</v>
      </c>
      <c r="T147" s="62">
        <f t="shared" si="142"/>
        <v>332.61387922152159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-5.6843418860808015E-14</v>
      </c>
      <c r="AJ147" s="14">
        <f>AI147*VLOOKUP('Données projet'!$B$10,Paramètres!$A$1:$I$89,3,0)*VLOOKUP('Données projet'!$B$10,Paramètres!$A$1:$I$89,5,0)</f>
        <v>-4.1677594708744434E-14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344.45199703750711</v>
      </c>
      <c r="AO147" s="62">
        <f t="shared" si="144"/>
        <v>376.41441893222185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3.6</v>
      </c>
      <c r="BD147" s="13">
        <f>IF('Données projet'!$A$88&gt;35,BD146+BC147-BL146,IF(A147&lt;'Données projet'!$A$88,$BA$205^A147,IF(A147='Données projet'!$A$88,'Données projet'!$B$88,BD146+BC147-BL146)))</f>
        <v>333.39999999999992</v>
      </c>
      <c r="BE147" s="14">
        <f>BD147*VLOOKUP('Données projet'!$B$11,Paramètres!$A$1:$I$89,3,0)*VLOOKUP('Données projet'!$B$11,Paramètres!$A$1:$I$89,5,0)</f>
        <v>338.06759999999991</v>
      </c>
      <c r="BF147" s="14">
        <f t="shared" si="145"/>
        <v>79.100568003757829</v>
      </c>
      <c r="BG147" s="22">
        <f t="shared" si="115"/>
        <v>726.56789260654466</v>
      </c>
      <c r="BH147" s="62">
        <f t="shared" si="116"/>
        <v>1019.901225939878</v>
      </c>
      <c r="BI147" s="62">
        <f ca="1">AVERAGE(OFFSET($BH$3,0,0,'Données projet'!$E$11+1,1))-AVERAGE(OFFSET($H$3,0,0,'Données projet'!$E$11+1,1))</f>
        <v>569.39473185784823</v>
      </c>
      <c r="BJ147" s="62">
        <f t="shared" si="146"/>
        <v>367.42881145517066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4</v>
      </c>
      <c r="BY147" s="13">
        <f>IF('Données projet'!$A$114&gt;35,BY146+BX147-CG146,IF(A147&lt;'Données projet'!$A$114,$BV$205^A147,IF(A147='Données projet'!$A$114,'Données projet'!$B$114,BY146+BX147-CG146)))</f>
        <v>443.00000000000023</v>
      </c>
      <c r="BZ147" s="14">
        <f>BY147*VLOOKUP('Données projet'!$B$12,Paramètres!$A$1:$I$89,3,0)*VLOOKUP('Données projet'!$B$12,Paramètres!$A$1:$I$89,5,0)</f>
        <v>380.09400000000022</v>
      </c>
      <c r="CA147" s="14">
        <f t="shared" si="147"/>
        <v>87.729118359210247</v>
      </c>
      <c r="CB147" s="22">
        <f t="shared" si="118"/>
        <v>814.79193114229156</v>
      </c>
      <c r="CC147" s="62">
        <f t="shared" si="119"/>
        <v>1108.1252644756248</v>
      </c>
      <c r="CD147" s="62">
        <f ca="1">AVERAGE(OFFSET($CC$3,0,0,'Données projet'!$E$12+1,1))-AVERAGE(OFFSET($H$3,0,0,'Données projet'!$E$12+1,1))</f>
        <v>554.06253050955502</v>
      </c>
      <c r="CE147" s="62">
        <f t="shared" si="148"/>
        <v>269.71949336355789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1.1368683772161603E-13</v>
      </c>
      <c r="CU147" s="18">
        <f>CT147*VLOOKUP('Données projet'!$B$13,Paramètres!$A$1:$I$89,3,0)*VLOOKUP('Données projet'!$B$13,Paramètres!$A$1:$I$89,5,0)</f>
        <v>8.8675733422860506E-14</v>
      </c>
      <c r="CV147" s="14">
        <f t="shared" si="149"/>
        <v>1.3509285393066301E-12</v>
      </c>
      <c r="CW147" s="22">
        <f t="shared" si="121"/>
        <v>2.5073107750038623E-12</v>
      </c>
      <c r="CX147" s="62">
        <f t="shared" si="122"/>
        <v>293.33333333333582</v>
      </c>
      <c r="CY147" s="62">
        <f ca="1">AVERAGE(OFFSET($CX$3,0,0,'Données projet'!$E$13+1,1))-AVERAGE(OFFSET($H$3,0,0,'Données projet'!$E$13+1,1))</f>
        <v>292.21364130214391</v>
      </c>
      <c r="CZ147" s="62">
        <f t="shared" si="150"/>
        <v>283.48738729114024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5.6843418860808015E-14</v>
      </c>
      <c r="DP147" s="18">
        <f>DO147*VLOOKUP('Données projet'!$B$14,Paramètres!$A$1:$I$89,3,0)*VLOOKUP('Données projet'!$B$14,Paramètres!$A$1:$I$89,5,0)</f>
        <v>5.4092197387944907E-14</v>
      </c>
      <c r="DQ147" s="14">
        <f t="shared" si="151"/>
        <v>8.7287050538073676E-13</v>
      </c>
      <c r="DR147" s="22">
        <f t="shared" si="124"/>
        <v>1.6144600406554537E-12</v>
      </c>
      <c r="DS147" s="62">
        <f t="shared" si="125"/>
        <v>293.33333333333491</v>
      </c>
      <c r="DT147" s="62">
        <f ca="1">AVERAGE(OFFSET($DS$3,0,0,'Données projet'!$E$14+1,1))-AVERAGE(OFFSET($H$3,0,0,'Données projet'!$E$14+1,1))</f>
        <v>427.47603885390191</v>
      </c>
      <c r="DU147" s="62">
        <f t="shared" si="152"/>
        <v>350.88664394632116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2.4</v>
      </c>
      <c r="EJ147" s="13">
        <f>IF('Données projet'!$A$192&gt;35,EJ146+EI147-ER146,IF(A147&lt;'Données projet'!$A$192,$EG$205^A147,IF(A147='Données projet'!$A$192,'Données projet'!$B$192,EJ146+EI147-ER146)))</f>
        <v>278.59999999999917</v>
      </c>
      <c r="EK147" s="18">
        <f>EJ147*VLOOKUP('Données projet'!$B$15,Paramètres!$A$1:$I$89,3,0)*VLOOKUP('Données projet'!$B$15,Paramètres!$A$1:$I$89,5,0)</f>
        <v>269.46191999999922</v>
      </c>
      <c r="EL147" s="14">
        <f t="shared" si="153"/>
        <v>64.735061876838927</v>
      </c>
      <c r="EM147" s="22">
        <f t="shared" si="127"/>
        <v>582.05974343549315</v>
      </c>
      <c r="EN147" s="62">
        <f t="shared" si="128"/>
        <v>875.3930767688264</v>
      </c>
      <c r="EO147" s="62">
        <f ca="1">AVERAGE(OFFSET($EN$3,0,0,'Données projet'!$E$15+1,1))-AVERAGE(OFFSET($H$3,0,0,'Données projet'!$E$15+1,1))</f>
        <v>455.50822833641354</v>
      </c>
      <c r="EP147" s="62">
        <f t="shared" si="154"/>
        <v>261.14722581688039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243</v>
      </c>
      <c r="FF147" s="18">
        <f>FE147*VLOOKUP('Données projet'!$B$16,Paramètres!$A$1:$I$89,3,0)*VLOOKUP('Données projet'!$B$16,Paramètres!$A$1:$I$89,5,0)</f>
        <v>212.28480000000002</v>
      </c>
      <c r="FG147" s="14">
        <f t="shared" si="155"/>
        <v>52.434557099704193</v>
      </c>
      <c r="FH147" s="22">
        <f t="shared" si="130"/>
        <v>461.05288028198476</v>
      </c>
      <c r="FI147" s="62">
        <f t="shared" si="131"/>
        <v>754.38621361531807</v>
      </c>
      <c r="FJ147" s="62">
        <f ca="1">AVERAGE(OFFSET($FI$3,0,0,'Données projet'!$E$16+1,1))-AVERAGE(OFFSET($H$3,0,0,'Données projet'!$E$16+1,1))</f>
        <v>369.34989412920129</v>
      </c>
      <c r="FK147" s="62">
        <f t="shared" si="156"/>
        <v>371.26234252426553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0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>
        <f>FZ147*VLOOKUP('Données projet'!$B$17,Paramètres!$A$1:$I$89,3,0)*VLOOKUP('Données projet'!$B$17,Paramètres!$A$1:$I$89,5,0)</f>
        <v>0</v>
      </c>
      <c r="GB147" s="14" t="e">
        <f t="shared" si="157"/>
        <v>#NUM!</v>
      </c>
      <c r="GC147" s="22" t="e">
        <f t="shared" si="133"/>
        <v>#NUM!</v>
      </c>
      <c r="GD147" s="62" t="e">
        <f t="shared" si="134"/>
        <v>#NUM!</v>
      </c>
      <c r="GE147" s="62">
        <f ca="1">AVERAGE(OFFSET($GD$3,0,0,'Données projet'!$E$17+1,1))-AVERAGE(OFFSET($H$3,0,0,'Données projet'!$E$17+1,1))</f>
        <v>324.4489531703187</v>
      </c>
      <c r="GF147" s="62">
        <f t="shared" si="158"/>
        <v>446.55019360848706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projet'!$B$17,Paramètres!$A$1:$I$89,3,0)*0.475*44/12</f>
        <v>0</v>
      </c>
      <c r="GM147" s="23">
        <f>EXP(-LN(2)/25)*GM146+(1-EXP(-LN(2)/25))/(LN(2)/25)*Calculateur!GH147*Calculateur!GJ147*VLOOKUP('Données projet'!$B$17,Paramètres!$A$1:$I$89,3,0)*0.475*44/12</f>
        <v>0</v>
      </c>
      <c r="GN147" s="23">
        <f>EXP(-LN(2)/2)*GN146+(1-EXP(-LN(2)/2))/(LN(2)/2)*GH147*GK147*VLOOKUP('Données projet'!$B$17,Paramètres!$A$1:$I$89,3,0)*0.475*44/12</f>
        <v>0</v>
      </c>
      <c r="GO147" s="23">
        <f t="shared" si="135"/>
        <v>0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1.7053025658242404E-13</v>
      </c>
      <c r="GV147" s="18">
        <f>GU147*VLOOKUP('Données projet'!$B$18,Paramètres!$A$1:$I$89,3,0)*VLOOKUP('Données projet'!$B$18,Paramètres!$A$1:$I$89,5,0)</f>
        <v>1.1439169611549005E-13</v>
      </c>
      <c r="GW147" s="14">
        <f t="shared" si="159"/>
        <v>1.6918016515029816E-12</v>
      </c>
      <c r="GX147" s="22">
        <f t="shared" si="136"/>
        <v>3.1457867471021712E-12</v>
      </c>
      <c r="GY147" s="62">
        <f t="shared" si="137"/>
        <v>293.33333333333644</v>
      </c>
      <c r="GZ147" s="62">
        <f ca="1">AVERAGE(OFFSET($GY$3,0,0,'Données projet'!$E$18+1,1))-AVERAGE(OFFSET($H$3,0,0,'Données projet'!$E$18+1,1))</f>
        <v>312.06797204903796</v>
      </c>
      <c r="HA147" s="62">
        <f t="shared" si="160"/>
        <v>258.20189001775151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>
        <f>EXP(-LN(2)/35)*HG146+(1-EXP(-LN(2)/35))/(LN(2)/35)*HC147*HD147*VLOOKUP('Données projet'!$B$18,Paramètres!$A$1:$I$89,3,0)*0.475*44/12</f>
        <v>0</v>
      </c>
      <c r="HH147" s="23">
        <f>EXP(-LN(2)/25)*HH146+(1-EXP(-LN(2)/25))/(LN(2)/25)*Calculateur!HC147*Calculateur!HE147*VLOOKUP('Données projet'!$B$18,Paramètres!$A$1:$I$89,3,0)*0.475*44/12</f>
        <v>0</v>
      </c>
      <c r="HI147" s="23">
        <f>EXP(-LN(2)/2)*HI146+(1-EXP(-LN(2)/2))/(LN(2)/2)*HC147*HF147*VLOOKUP('Données projet'!$B$18,Paramètres!$A$1:$I$89,3,0)*0.475*44/12</f>
        <v>0</v>
      </c>
      <c r="HJ147" s="24">
        <f t="shared" si="138"/>
        <v>0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3.6</v>
      </c>
      <c r="N148" s="14">
        <f>IF('Données projet'!$A$36&gt;35,N147+M148-V147,IF(A148&lt;'Données projet'!$A$36,$K$205^A148,IF(A148='Données projet'!$A$36,'Données projet'!$B$36,N147+M148-V147)))</f>
        <v>336.99999999999994</v>
      </c>
      <c r="O148" s="14">
        <f>N148*VLOOKUP('Données projet'!$B$9,Paramètres!$A$1:$I$89,3,0)*VLOOKUP('Données projet'!$B$9,Paramètres!$A$1:$I$89,5,0)</f>
        <v>304.91759999999994</v>
      </c>
      <c r="P148" s="14">
        <f t="shared" si="141"/>
        <v>72.20640376023259</v>
      </c>
      <c r="Q148" s="22">
        <f t="shared" si="108"/>
        <v>656.82430654907159</v>
      </c>
      <c r="R148" s="62">
        <f t="shared" si="109"/>
        <v>950.15763988240496</v>
      </c>
      <c r="S148" s="62">
        <f ca="1">AVERAGE(OFFSET($R$3,0,0,'Données projet'!$E$9+1,1))-AVERAGE(OFFSET($H$3,0,0,'Données projet'!$E$9+1,1))</f>
        <v>512.84819850818667</v>
      </c>
      <c r="T148" s="62">
        <f t="shared" si="142"/>
        <v>332.61387922152159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-5.6843418860808015E-14</v>
      </c>
      <c r="AJ148" s="14">
        <f>AI148*VLOOKUP('Données projet'!$B$10,Paramètres!$A$1:$I$89,3,0)*VLOOKUP('Données projet'!$B$10,Paramètres!$A$1:$I$89,5,0)</f>
        <v>-4.1677594708744434E-14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344.45199703750711</v>
      </c>
      <c r="AO148" s="62">
        <f t="shared" si="144"/>
        <v>376.41441893222185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3.6</v>
      </c>
      <c r="BD148" s="13">
        <f>IF('Données projet'!$A$88&gt;35,BD147+BC148-BL147,IF(A148&lt;'Données projet'!$A$88,$BA$205^A148,IF(A148='Données projet'!$A$88,'Données projet'!$B$88,BD147+BC148-BL147)))</f>
        <v>336.99999999999994</v>
      </c>
      <c r="BE148" s="14">
        <f>BD148*VLOOKUP('Données projet'!$B$11,Paramètres!$A$1:$I$89,3,0)*VLOOKUP('Données projet'!$B$11,Paramètres!$A$1:$I$89,5,0)</f>
        <v>341.71799999999996</v>
      </c>
      <c r="BF148" s="14">
        <f t="shared" si="145"/>
        <v>79.854791910789757</v>
      </c>
      <c r="BG148" s="22">
        <f t="shared" si="115"/>
        <v>734.23927924462532</v>
      </c>
      <c r="BH148" s="62">
        <f t="shared" si="116"/>
        <v>1027.5726125779586</v>
      </c>
      <c r="BI148" s="62">
        <f ca="1">AVERAGE(OFFSET($BH$3,0,0,'Données projet'!$E$11+1,1))-AVERAGE(OFFSET($H$3,0,0,'Données projet'!$E$11+1,1))</f>
        <v>569.39473185784823</v>
      </c>
      <c r="BJ148" s="62">
        <f t="shared" si="146"/>
        <v>367.42881145517066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4</v>
      </c>
      <c r="BY148" s="13">
        <f>IF('Données projet'!$A$114&gt;35,BY147+BX148-CG147,IF(A148&lt;'Données projet'!$A$114,$BV$205^A148,IF(A148='Données projet'!$A$114,'Données projet'!$B$114,BY147+BX148-CG147)))</f>
        <v>447.00000000000023</v>
      </c>
      <c r="BZ148" s="14">
        <f>BY148*VLOOKUP('Données projet'!$B$12,Paramètres!$A$1:$I$89,3,0)*VLOOKUP('Données projet'!$B$12,Paramètres!$A$1:$I$89,5,0)</f>
        <v>383.52600000000024</v>
      </c>
      <c r="CA148" s="14">
        <f t="shared" si="147"/>
        <v>88.428683588808639</v>
      </c>
      <c r="CB148" s="22">
        <f t="shared" si="118"/>
        <v>821.98774058384197</v>
      </c>
      <c r="CC148" s="62">
        <f t="shared" si="119"/>
        <v>1115.3210739171752</v>
      </c>
      <c r="CD148" s="62">
        <f ca="1">AVERAGE(OFFSET($CC$3,0,0,'Données projet'!$E$12+1,1))-AVERAGE(OFFSET($H$3,0,0,'Données projet'!$E$12+1,1))</f>
        <v>554.06253050955502</v>
      </c>
      <c r="CE148" s="62">
        <f t="shared" si="148"/>
        <v>269.71949336355789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1.1368683772161603E-13</v>
      </c>
      <c r="CU148" s="18">
        <f>CT148*VLOOKUP('Données projet'!$B$13,Paramètres!$A$1:$I$89,3,0)*VLOOKUP('Données projet'!$B$13,Paramètres!$A$1:$I$89,5,0)</f>
        <v>8.8675733422860506E-14</v>
      </c>
      <c r="CV148" s="14">
        <f t="shared" si="149"/>
        <v>1.3509285393066301E-12</v>
      </c>
      <c r="CW148" s="22">
        <f t="shared" si="121"/>
        <v>2.5073107750038623E-12</v>
      </c>
      <c r="CX148" s="62">
        <f t="shared" si="122"/>
        <v>293.33333333333582</v>
      </c>
      <c r="CY148" s="62">
        <f ca="1">AVERAGE(OFFSET($CX$3,0,0,'Données projet'!$E$13+1,1))-AVERAGE(OFFSET($H$3,0,0,'Données projet'!$E$13+1,1))</f>
        <v>292.21364130214391</v>
      </c>
      <c r="CZ148" s="62">
        <f t="shared" si="150"/>
        <v>283.48738729114024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5.6843418860808015E-14</v>
      </c>
      <c r="DP148" s="18">
        <f>DO148*VLOOKUP('Données projet'!$B$14,Paramètres!$A$1:$I$89,3,0)*VLOOKUP('Données projet'!$B$14,Paramètres!$A$1:$I$89,5,0)</f>
        <v>5.4092197387944907E-14</v>
      </c>
      <c r="DQ148" s="14">
        <f t="shared" si="151"/>
        <v>8.7287050538073676E-13</v>
      </c>
      <c r="DR148" s="22">
        <f t="shared" si="124"/>
        <v>1.6144600406554537E-12</v>
      </c>
      <c r="DS148" s="62">
        <f t="shared" si="125"/>
        <v>293.33333333333491</v>
      </c>
      <c r="DT148" s="62">
        <f ca="1">AVERAGE(OFFSET($DS$3,0,0,'Données projet'!$E$14+1,1))-AVERAGE(OFFSET($H$3,0,0,'Données projet'!$E$14+1,1))</f>
        <v>427.47603885390191</v>
      </c>
      <c r="DU148" s="62">
        <f t="shared" si="152"/>
        <v>350.88664394632116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2.4</v>
      </c>
      <c r="EJ148" s="13">
        <f>IF('Données projet'!$A$192&gt;35,EJ147+EI148-ER147,IF(A148&lt;'Données projet'!$A$192,$EG$205^A148,IF(A148='Données projet'!$A$192,'Données projet'!$B$192,EJ147+EI148-ER147)))</f>
        <v>280.99999999999915</v>
      </c>
      <c r="EK148" s="18">
        <f>EJ148*VLOOKUP('Données projet'!$B$15,Paramètres!$A$1:$I$89,3,0)*VLOOKUP('Données projet'!$B$15,Paramètres!$A$1:$I$89,5,0)</f>
        <v>271.78319999999917</v>
      </c>
      <c r="EL148" s="14">
        <f t="shared" si="153"/>
        <v>65.227564224775008</v>
      </c>
      <c r="EM148" s="22">
        <f t="shared" si="127"/>
        <v>586.96041435814834</v>
      </c>
      <c r="EN148" s="62">
        <f t="shared" si="128"/>
        <v>880.29374769148171</v>
      </c>
      <c r="EO148" s="62">
        <f ca="1">AVERAGE(OFFSET($EN$3,0,0,'Données projet'!$E$15+1,1))-AVERAGE(OFFSET($H$3,0,0,'Données projet'!$E$15+1,1))</f>
        <v>455.50822833641354</v>
      </c>
      <c r="EP148" s="62">
        <f t="shared" si="154"/>
        <v>261.14722581688039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243</v>
      </c>
      <c r="FF148" s="18">
        <f>FE148*VLOOKUP('Données projet'!$B$16,Paramètres!$A$1:$I$89,3,0)*VLOOKUP('Données projet'!$B$16,Paramètres!$A$1:$I$89,5,0)</f>
        <v>212.28480000000002</v>
      </c>
      <c r="FG148" s="14">
        <f t="shared" si="155"/>
        <v>52.434557099704193</v>
      </c>
      <c r="FH148" s="22">
        <f t="shared" si="130"/>
        <v>461.05288028198476</v>
      </c>
      <c r="FI148" s="62">
        <f t="shared" si="131"/>
        <v>754.38621361531807</v>
      </c>
      <c r="FJ148" s="62">
        <f ca="1">AVERAGE(OFFSET($FI$3,0,0,'Données projet'!$E$16+1,1))-AVERAGE(OFFSET($H$3,0,0,'Données projet'!$E$16+1,1))</f>
        <v>369.34989412920129</v>
      </c>
      <c r="FK148" s="62">
        <f t="shared" si="156"/>
        <v>371.26234252426553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0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>
        <f>FZ148*VLOOKUP('Données projet'!$B$17,Paramètres!$A$1:$I$89,3,0)*VLOOKUP('Données projet'!$B$17,Paramètres!$A$1:$I$89,5,0)</f>
        <v>0</v>
      </c>
      <c r="GB148" s="14" t="e">
        <f t="shared" si="157"/>
        <v>#NUM!</v>
      </c>
      <c r="GC148" s="22" t="e">
        <f t="shared" si="133"/>
        <v>#NUM!</v>
      </c>
      <c r="GD148" s="62" t="e">
        <f t="shared" si="134"/>
        <v>#NUM!</v>
      </c>
      <c r="GE148" s="62">
        <f ca="1">AVERAGE(OFFSET($GD$3,0,0,'Données projet'!$E$17+1,1))-AVERAGE(OFFSET($H$3,0,0,'Données projet'!$E$17+1,1))</f>
        <v>324.4489531703187</v>
      </c>
      <c r="GF148" s="62">
        <f t="shared" si="158"/>
        <v>446.55019360848706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projet'!$B$17,Paramètres!$A$1:$I$89,3,0)*0.475*44/12</f>
        <v>0</v>
      </c>
      <c r="GM148" s="23">
        <f>EXP(-LN(2)/25)*GM147+(1-EXP(-LN(2)/25))/(LN(2)/25)*Calculateur!GH148*Calculateur!GJ148*VLOOKUP('Données projet'!$B$17,Paramètres!$A$1:$I$89,3,0)*0.475*44/12</f>
        <v>0</v>
      </c>
      <c r="GN148" s="23">
        <f>EXP(-LN(2)/2)*GN147+(1-EXP(-LN(2)/2))/(LN(2)/2)*GH148*GK148*VLOOKUP('Données projet'!$B$17,Paramètres!$A$1:$I$89,3,0)*0.475*44/12</f>
        <v>0</v>
      </c>
      <c r="GO148" s="23">
        <f t="shared" si="135"/>
        <v>0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1.7053025658242404E-13</v>
      </c>
      <c r="GV148" s="18">
        <f>GU148*VLOOKUP('Données projet'!$B$18,Paramètres!$A$1:$I$89,3,0)*VLOOKUP('Données projet'!$B$18,Paramètres!$A$1:$I$89,5,0)</f>
        <v>1.1439169611549005E-13</v>
      </c>
      <c r="GW148" s="14">
        <f t="shared" si="159"/>
        <v>1.6918016515029816E-12</v>
      </c>
      <c r="GX148" s="22">
        <f t="shared" si="136"/>
        <v>3.1457867471021712E-12</v>
      </c>
      <c r="GY148" s="62">
        <f t="shared" si="137"/>
        <v>293.33333333333644</v>
      </c>
      <c r="GZ148" s="62">
        <f ca="1">AVERAGE(OFFSET($GY$3,0,0,'Données projet'!$E$18+1,1))-AVERAGE(OFFSET($H$3,0,0,'Données projet'!$E$18+1,1))</f>
        <v>312.06797204903796</v>
      </c>
      <c r="HA148" s="62">
        <f t="shared" si="160"/>
        <v>258.20189001775151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>
        <f>EXP(-LN(2)/35)*HG147+(1-EXP(-LN(2)/35))/(LN(2)/35)*HC148*HD148*VLOOKUP('Données projet'!$B$18,Paramètres!$A$1:$I$89,3,0)*0.475*44/12</f>
        <v>0</v>
      </c>
      <c r="HH148" s="23">
        <f>EXP(-LN(2)/25)*HH147+(1-EXP(-LN(2)/25))/(LN(2)/25)*Calculateur!HC148*Calculateur!HE148*VLOOKUP('Données projet'!$B$18,Paramètres!$A$1:$I$89,3,0)*0.475*44/12</f>
        <v>0</v>
      </c>
      <c r="HI148" s="23">
        <f>EXP(-LN(2)/2)*HI147+(1-EXP(-LN(2)/2))/(LN(2)/2)*HC148*HF148*VLOOKUP('Données projet'!$B$18,Paramètres!$A$1:$I$89,3,0)*0.475*44/12</f>
        <v>0</v>
      </c>
      <c r="HJ148" s="24">
        <f t="shared" si="138"/>
        <v>0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3.6</v>
      </c>
      <c r="N149" s="14">
        <f>IF('Données projet'!$A$36&gt;35,N148+M149-V148,IF(A149&lt;'Données projet'!$A$36,$K$205^A149,IF(A149='Données projet'!$A$36,'Données projet'!$B$36,N148+M149-V148)))</f>
        <v>340.59999999999997</v>
      </c>
      <c r="O149" s="14">
        <f>N149*VLOOKUP('Données projet'!$B$9,Paramètres!$A$1:$I$89,3,0)*VLOOKUP('Données projet'!$B$9,Paramètres!$A$1:$I$89,5,0)</f>
        <v>308.17487999999997</v>
      </c>
      <c r="P149" s="14">
        <f t="shared" si="141"/>
        <v>72.887541582684676</v>
      </c>
      <c r="Q149" s="22">
        <f t="shared" si="108"/>
        <v>663.68371758984233</v>
      </c>
      <c r="R149" s="62">
        <f t="shared" si="109"/>
        <v>957.0170509231757</v>
      </c>
      <c r="S149" s="62">
        <f ca="1">AVERAGE(OFFSET($R$3,0,0,'Données projet'!$E$9+1,1))-AVERAGE(OFFSET($H$3,0,0,'Données projet'!$E$9+1,1))</f>
        <v>512.84819850818667</v>
      </c>
      <c r="T149" s="62">
        <f t="shared" si="142"/>
        <v>332.61387922152159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-5.6843418860808015E-14</v>
      </c>
      <c r="AJ149" s="14">
        <f>AI149*VLOOKUP('Données projet'!$B$10,Paramètres!$A$1:$I$89,3,0)*VLOOKUP('Données projet'!$B$10,Paramètres!$A$1:$I$89,5,0)</f>
        <v>-4.1677594708744434E-14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344.45199703750711</v>
      </c>
      <c r="AO149" s="62">
        <f t="shared" si="144"/>
        <v>376.41441893222185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3.6</v>
      </c>
      <c r="BD149" s="13">
        <f>IF('Données projet'!$A$88&gt;35,BD148+BC149-BL148,IF(A149&lt;'Données projet'!$A$88,$BA$205^A149,IF(A149='Données projet'!$A$88,'Données projet'!$B$88,BD148+BC149-BL148)))</f>
        <v>340.59999999999997</v>
      </c>
      <c r="BE149" s="14">
        <f>BD149*VLOOKUP('Données projet'!$B$11,Paramètres!$A$1:$I$89,3,0)*VLOOKUP('Données projet'!$B$11,Paramètres!$A$1:$I$89,5,0)</f>
        <v>345.36840000000001</v>
      </c>
      <c r="BF149" s="14">
        <f t="shared" si="145"/>
        <v>80.60807854801223</v>
      </c>
      <c r="BG149" s="22">
        <f t="shared" si="115"/>
        <v>741.90903347112123</v>
      </c>
      <c r="BH149" s="62">
        <f t="shared" si="116"/>
        <v>1035.2423668044546</v>
      </c>
      <c r="BI149" s="62">
        <f ca="1">AVERAGE(OFFSET($BH$3,0,0,'Données projet'!$E$11+1,1))-AVERAGE(OFFSET($H$3,0,0,'Données projet'!$E$11+1,1))</f>
        <v>569.39473185784823</v>
      </c>
      <c r="BJ149" s="62">
        <f t="shared" si="146"/>
        <v>367.42881145517066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4</v>
      </c>
      <c r="BY149" s="13">
        <f>IF('Données projet'!$A$114&gt;35,BY148+BX149-CG148,IF(A149&lt;'Données projet'!$A$114,$BV$205^A149,IF(A149='Données projet'!$A$114,'Données projet'!$B$114,BY148+BX149-CG148)))</f>
        <v>451.00000000000023</v>
      </c>
      <c r="BZ149" s="14">
        <f>BY149*VLOOKUP('Données projet'!$B$12,Paramètres!$A$1:$I$89,3,0)*VLOOKUP('Données projet'!$B$12,Paramètres!$A$1:$I$89,5,0)</f>
        <v>386.95800000000025</v>
      </c>
      <c r="CA149" s="14">
        <f t="shared" si="147"/>
        <v>89.127520512837165</v>
      </c>
      <c r="CB149" s="22">
        <f t="shared" si="118"/>
        <v>829.18228155985844</v>
      </c>
      <c r="CC149" s="62">
        <f t="shared" si="119"/>
        <v>1122.5156148931917</v>
      </c>
      <c r="CD149" s="62">
        <f ca="1">AVERAGE(OFFSET($CC$3,0,0,'Données projet'!$E$12+1,1))-AVERAGE(OFFSET($H$3,0,0,'Données projet'!$E$12+1,1))</f>
        <v>554.06253050955502</v>
      </c>
      <c r="CE149" s="62">
        <f t="shared" si="148"/>
        <v>269.71949336355789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1.1368683772161603E-13</v>
      </c>
      <c r="CU149" s="18">
        <f>CT149*VLOOKUP('Données projet'!$B$13,Paramètres!$A$1:$I$89,3,0)*VLOOKUP('Données projet'!$B$13,Paramètres!$A$1:$I$89,5,0)</f>
        <v>8.8675733422860506E-14</v>
      </c>
      <c r="CV149" s="14">
        <f t="shared" si="149"/>
        <v>1.3509285393066301E-12</v>
      </c>
      <c r="CW149" s="22">
        <f t="shared" si="121"/>
        <v>2.5073107750038623E-12</v>
      </c>
      <c r="CX149" s="62">
        <f t="shared" si="122"/>
        <v>293.33333333333582</v>
      </c>
      <c r="CY149" s="62">
        <f ca="1">AVERAGE(OFFSET($CX$3,0,0,'Données projet'!$E$13+1,1))-AVERAGE(OFFSET($H$3,0,0,'Données projet'!$E$13+1,1))</f>
        <v>292.21364130214391</v>
      </c>
      <c r="CZ149" s="62">
        <f t="shared" si="150"/>
        <v>283.48738729114024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5.6843418860808015E-14</v>
      </c>
      <c r="DP149" s="18">
        <f>DO149*VLOOKUP('Données projet'!$B$14,Paramètres!$A$1:$I$89,3,0)*VLOOKUP('Données projet'!$B$14,Paramètres!$A$1:$I$89,5,0)</f>
        <v>5.4092197387944907E-14</v>
      </c>
      <c r="DQ149" s="14">
        <f t="shared" si="151"/>
        <v>8.7287050538073676E-13</v>
      </c>
      <c r="DR149" s="22">
        <f t="shared" si="124"/>
        <v>1.6144600406554537E-12</v>
      </c>
      <c r="DS149" s="62">
        <f t="shared" si="125"/>
        <v>293.33333333333491</v>
      </c>
      <c r="DT149" s="62">
        <f ca="1">AVERAGE(OFFSET($DS$3,0,0,'Données projet'!$E$14+1,1))-AVERAGE(OFFSET($H$3,0,0,'Données projet'!$E$14+1,1))</f>
        <v>427.47603885390191</v>
      </c>
      <c r="DU149" s="62">
        <f t="shared" si="152"/>
        <v>350.88664394632116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2.4</v>
      </c>
      <c r="EJ149" s="13">
        <f>IF('Données projet'!$A$192&gt;35,EJ148+EI149-ER148,IF(A149&lt;'Données projet'!$A$192,$EG$205^A149,IF(A149='Données projet'!$A$192,'Données projet'!$B$192,EJ148+EI149-ER148)))</f>
        <v>283.39999999999912</v>
      </c>
      <c r="EK149" s="18">
        <f>EJ149*VLOOKUP('Données projet'!$B$15,Paramètres!$A$1:$I$89,3,0)*VLOOKUP('Données projet'!$B$15,Paramètres!$A$1:$I$89,5,0)</f>
        <v>274.10447999999917</v>
      </c>
      <c r="EL149" s="14">
        <f t="shared" si="153"/>
        <v>65.719577181765331</v>
      </c>
      <c r="EM149" s="22">
        <f t="shared" si="127"/>
        <v>591.86023292490643</v>
      </c>
      <c r="EN149" s="62">
        <f t="shared" si="128"/>
        <v>885.1935662582398</v>
      </c>
      <c r="EO149" s="62">
        <f ca="1">AVERAGE(OFFSET($EN$3,0,0,'Données projet'!$E$15+1,1))-AVERAGE(OFFSET($H$3,0,0,'Données projet'!$E$15+1,1))</f>
        <v>455.50822833641354</v>
      </c>
      <c r="EP149" s="62">
        <f t="shared" si="154"/>
        <v>261.14722581688039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243</v>
      </c>
      <c r="FF149" s="18">
        <f>FE149*VLOOKUP('Données projet'!$B$16,Paramètres!$A$1:$I$89,3,0)*VLOOKUP('Données projet'!$B$16,Paramètres!$A$1:$I$89,5,0)</f>
        <v>212.28480000000002</v>
      </c>
      <c r="FG149" s="14">
        <f t="shared" si="155"/>
        <v>52.434557099704193</v>
      </c>
      <c r="FH149" s="22">
        <f t="shared" si="130"/>
        <v>461.05288028198476</v>
      </c>
      <c r="FI149" s="62">
        <f t="shared" si="131"/>
        <v>754.38621361531807</v>
      </c>
      <c r="FJ149" s="62">
        <f ca="1">AVERAGE(OFFSET($FI$3,0,0,'Données projet'!$E$16+1,1))-AVERAGE(OFFSET($H$3,0,0,'Données projet'!$E$16+1,1))</f>
        <v>369.34989412920129</v>
      </c>
      <c r="FK149" s="62">
        <f t="shared" si="156"/>
        <v>371.26234252426553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0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>
        <f>FZ149*VLOOKUP('Données projet'!$B$17,Paramètres!$A$1:$I$89,3,0)*VLOOKUP('Données projet'!$B$17,Paramètres!$A$1:$I$89,5,0)</f>
        <v>0</v>
      </c>
      <c r="GB149" s="14" t="e">
        <f t="shared" si="157"/>
        <v>#NUM!</v>
      </c>
      <c r="GC149" s="22" t="e">
        <f t="shared" si="133"/>
        <v>#NUM!</v>
      </c>
      <c r="GD149" s="62" t="e">
        <f t="shared" si="134"/>
        <v>#NUM!</v>
      </c>
      <c r="GE149" s="62">
        <f ca="1">AVERAGE(OFFSET($GD$3,0,0,'Données projet'!$E$17+1,1))-AVERAGE(OFFSET($H$3,0,0,'Données projet'!$E$17+1,1))</f>
        <v>324.4489531703187</v>
      </c>
      <c r="GF149" s="62">
        <f t="shared" si="158"/>
        <v>446.55019360848706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projet'!$B$17,Paramètres!$A$1:$I$89,3,0)*0.475*44/12</f>
        <v>0</v>
      </c>
      <c r="GM149" s="23">
        <f>EXP(-LN(2)/25)*GM148+(1-EXP(-LN(2)/25))/(LN(2)/25)*Calculateur!GH149*Calculateur!GJ149*VLOOKUP('Données projet'!$B$17,Paramètres!$A$1:$I$89,3,0)*0.475*44/12</f>
        <v>0</v>
      </c>
      <c r="GN149" s="23">
        <f>EXP(-LN(2)/2)*GN148+(1-EXP(-LN(2)/2))/(LN(2)/2)*GH149*GK149*VLOOKUP('Données projet'!$B$17,Paramètres!$A$1:$I$89,3,0)*0.475*44/12</f>
        <v>0</v>
      </c>
      <c r="GO149" s="23">
        <f t="shared" si="135"/>
        <v>0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1.7053025658242404E-13</v>
      </c>
      <c r="GV149" s="18">
        <f>GU149*VLOOKUP('Données projet'!$B$18,Paramètres!$A$1:$I$89,3,0)*VLOOKUP('Données projet'!$B$18,Paramètres!$A$1:$I$89,5,0)</f>
        <v>1.1439169611549005E-13</v>
      </c>
      <c r="GW149" s="14">
        <f t="shared" si="159"/>
        <v>1.6918016515029816E-12</v>
      </c>
      <c r="GX149" s="22">
        <f t="shared" si="136"/>
        <v>3.1457867471021712E-12</v>
      </c>
      <c r="GY149" s="62">
        <f t="shared" si="137"/>
        <v>293.33333333333644</v>
      </c>
      <c r="GZ149" s="62">
        <f ca="1">AVERAGE(OFFSET($GY$3,0,0,'Données projet'!$E$18+1,1))-AVERAGE(OFFSET($H$3,0,0,'Données projet'!$E$18+1,1))</f>
        <v>312.06797204903796</v>
      </c>
      <c r="HA149" s="62">
        <f t="shared" si="160"/>
        <v>258.20189001775151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>
        <f>EXP(-LN(2)/35)*HG148+(1-EXP(-LN(2)/35))/(LN(2)/35)*HC149*HD149*VLOOKUP('Données projet'!$B$18,Paramètres!$A$1:$I$89,3,0)*0.475*44/12</f>
        <v>0</v>
      </c>
      <c r="HH149" s="23">
        <f>EXP(-LN(2)/25)*HH148+(1-EXP(-LN(2)/25))/(LN(2)/25)*Calculateur!HC149*Calculateur!HE149*VLOOKUP('Données projet'!$B$18,Paramètres!$A$1:$I$89,3,0)*0.475*44/12</f>
        <v>0</v>
      </c>
      <c r="HI149" s="23">
        <f>EXP(-LN(2)/2)*HI148+(1-EXP(-LN(2)/2))/(LN(2)/2)*HC149*HF149*VLOOKUP('Données projet'!$B$18,Paramètres!$A$1:$I$89,3,0)*0.475*44/12</f>
        <v>0</v>
      </c>
      <c r="HJ149" s="24">
        <f t="shared" si="138"/>
        <v>0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3.6</v>
      </c>
      <c r="N150" s="14">
        <f>IF('Données projet'!$A$36&gt;35,N149+M150-V149,IF(A150&lt;'Données projet'!$A$36,$K$205^A150,IF(A150='Données projet'!$A$36,'Données projet'!$B$36,N149+M150-V149)))</f>
        <v>344.2</v>
      </c>
      <c r="O150" s="14">
        <f>N150*VLOOKUP('Données projet'!$B$9,Paramètres!$A$1:$I$89,3,0)*VLOOKUP('Données projet'!$B$9,Paramètres!$A$1:$I$89,5,0)</f>
        <v>311.43215999999995</v>
      </c>
      <c r="P150" s="14">
        <f t="shared" si="141"/>
        <v>73.567841900428377</v>
      </c>
      <c r="Q150" s="22">
        <f t="shared" si="108"/>
        <v>670.54166997657933</v>
      </c>
      <c r="R150" s="62">
        <f t="shared" si="109"/>
        <v>963.8750033099127</v>
      </c>
      <c r="S150" s="62">
        <f ca="1">AVERAGE(OFFSET($R$3,0,0,'Données projet'!$E$9+1,1))-AVERAGE(OFFSET($H$3,0,0,'Données projet'!$E$9+1,1))</f>
        <v>512.84819850818667</v>
      </c>
      <c r="T150" s="62">
        <f t="shared" si="142"/>
        <v>332.61387922152159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-5.6843418860808015E-14</v>
      </c>
      <c r="AJ150" s="14">
        <f>AI150*VLOOKUP('Données projet'!$B$10,Paramètres!$A$1:$I$89,3,0)*VLOOKUP('Données projet'!$B$10,Paramètres!$A$1:$I$89,5,0)</f>
        <v>-4.1677594708744434E-14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344.45199703750711</v>
      </c>
      <c r="AO150" s="62">
        <f t="shared" si="144"/>
        <v>376.41441893222185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3.6</v>
      </c>
      <c r="BD150" s="13">
        <f>IF('Données projet'!$A$88&gt;35,BD149+BC150-BL149,IF(A150&lt;'Données projet'!$A$88,$BA$205^A150,IF(A150='Données projet'!$A$88,'Données projet'!$B$88,BD149+BC150-BL149)))</f>
        <v>344.2</v>
      </c>
      <c r="BE150" s="14">
        <f>BD150*VLOOKUP('Données projet'!$B$11,Paramètres!$A$1:$I$89,3,0)*VLOOKUP('Données projet'!$B$11,Paramètres!$A$1:$I$89,5,0)</f>
        <v>349.0188</v>
      </c>
      <c r="BF150" s="14">
        <f t="shared" si="145"/>
        <v>81.360438968712018</v>
      </c>
      <c r="BG150" s="22">
        <f t="shared" si="115"/>
        <v>749.57717453717339</v>
      </c>
      <c r="BH150" s="62">
        <f t="shared" si="116"/>
        <v>1042.9105078705068</v>
      </c>
      <c r="BI150" s="62">
        <f ca="1">AVERAGE(OFFSET($BH$3,0,0,'Données projet'!$E$11+1,1))-AVERAGE(OFFSET($H$3,0,0,'Données projet'!$E$11+1,1))</f>
        <v>569.39473185784823</v>
      </c>
      <c r="BJ150" s="62">
        <f t="shared" si="146"/>
        <v>367.42881145517066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4</v>
      </c>
      <c r="BY150" s="13">
        <f>IF('Données projet'!$A$114&gt;35,BY149+BX150-CG149,IF(A150&lt;'Données projet'!$A$114,$BV$205^A150,IF(A150='Données projet'!$A$114,'Données projet'!$B$114,BY149+BX150-CG149)))</f>
        <v>455.00000000000023</v>
      </c>
      <c r="BZ150" s="14">
        <f>BY150*VLOOKUP('Données projet'!$B$12,Paramètres!$A$1:$I$89,3,0)*VLOOKUP('Données projet'!$B$12,Paramètres!$A$1:$I$89,5,0)</f>
        <v>390.39000000000021</v>
      </c>
      <c r="CA150" s="14">
        <f t="shared" si="147"/>
        <v>89.825636339119924</v>
      </c>
      <c r="CB150" s="22">
        <f t="shared" si="118"/>
        <v>836.37556662396753</v>
      </c>
      <c r="CC150" s="62">
        <f t="shared" si="119"/>
        <v>1129.7088999573009</v>
      </c>
      <c r="CD150" s="62">
        <f ca="1">AVERAGE(OFFSET($CC$3,0,0,'Données projet'!$E$12+1,1))-AVERAGE(OFFSET($H$3,0,0,'Données projet'!$E$12+1,1))</f>
        <v>554.06253050955502</v>
      </c>
      <c r="CE150" s="62">
        <f t="shared" si="148"/>
        <v>269.71949336355789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1.1368683772161603E-13</v>
      </c>
      <c r="CU150" s="18">
        <f>CT150*VLOOKUP('Données projet'!$B$13,Paramètres!$A$1:$I$89,3,0)*VLOOKUP('Données projet'!$B$13,Paramètres!$A$1:$I$89,5,0)</f>
        <v>8.8675733422860506E-14</v>
      </c>
      <c r="CV150" s="14">
        <f t="shared" si="149"/>
        <v>1.3509285393066301E-12</v>
      </c>
      <c r="CW150" s="22">
        <f t="shared" si="121"/>
        <v>2.5073107750038623E-12</v>
      </c>
      <c r="CX150" s="62">
        <f t="shared" si="122"/>
        <v>293.33333333333582</v>
      </c>
      <c r="CY150" s="62">
        <f ca="1">AVERAGE(OFFSET($CX$3,0,0,'Données projet'!$E$13+1,1))-AVERAGE(OFFSET($H$3,0,0,'Données projet'!$E$13+1,1))</f>
        <v>292.21364130214391</v>
      </c>
      <c r="CZ150" s="62">
        <f t="shared" si="150"/>
        <v>283.48738729114024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5.6843418860808015E-14</v>
      </c>
      <c r="DP150" s="18">
        <f>DO150*VLOOKUP('Données projet'!$B$14,Paramètres!$A$1:$I$89,3,0)*VLOOKUP('Données projet'!$B$14,Paramètres!$A$1:$I$89,5,0)</f>
        <v>5.4092197387944907E-14</v>
      </c>
      <c r="DQ150" s="14">
        <f t="shared" si="151"/>
        <v>8.7287050538073676E-13</v>
      </c>
      <c r="DR150" s="22">
        <f t="shared" si="124"/>
        <v>1.6144600406554537E-12</v>
      </c>
      <c r="DS150" s="62">
        <f t="shared" si="125"/>
        <v>293.33333333333491</v>
      </c>
      <c r="DT150" s="62">
        <f ca="1">AVERAGE(OFFSET($DS$3,0,0,'Données projet'!$E$14+1,1))-AVERAGE(OFFSET($H$3,0,0,'Données projet'!$E$14+1,1))</f>
        <v>427.47603885390191</v>
      </c>
      <c r="DU150" s="62">
        <f t="shared" si="152"/>
        <v>350.88664394632116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2.4</v>
      </c>
      <c r="EJ150" s="13">
        <f>IF('Données projet'!$A$192&gt;35,EJ149+EI150-ER149,IF(A150&lt;'Données projet'!$A$192,$EG$205^A150,IF(A150='Données projet'!$A$192,'Données projet'!$B$192,EJ149+EI150-ER149)))</f>
        <v>285.7999999999991</v>
      </c>
      <c r="EK150" s="18">
        <f>EJ150*VLOOKUP('Données projet'!$B$15,Paramètres!$A$1:$I$89,3,0)*VLOOKUP('Données projet'!$B$15,Paramètres!$A$1:$I$89,5,0)</f>
        <v>276.42575999999912</v>
      </c>
      <c r="EL150" s="14">
        <f t="shared" si="153"/>
        <v>66.211105372509707</v>
      </c>
      <c r="EM150" s="22">
        <f t="shared" si="127"/>
        <v>596.75920719045291</v>
      </c>
      <c r="EN150" s="62">
        <f t="shared" si="128"/>
        <v>890.09254052378628</v>
      </c>
      <c r="EO150" s="62">
        <f ca="1">AVERAGE(OFFSET($EN$3,0,0,'Données projet'!$E$15+1,1))-AVERAGE(OFFSET($H$3,0,0,'Données projet'!$E$15+1,1))</f>
        <v>455.50822833641354</v>
      </c>
      <c r="EP150" s="62">
        <f t="shared" si="154"/>
        <v>261.14722581688039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243</v>
      </c>
      <c r="FF150" s="18">
        <f>FE150*VLOOKUP('Données projet'!$B$16,Paramètres!$A$1:$I$89,3,0)*VLOOKUP('Données projet'!$B$16,Paramètres!$A$1:$I$89,5,0)</f>
        <v>212.28480000000002</v>
      </c>
      <c r="FG150" s="14">
        <f t="shared" si="155"/>
        <v>52.434557099704193</v>
      </c>
      <c r="FH150" s="22">
        <f t="shared" si="130"/>
        <v>461.05288028198476</v>
      </c>
      <c r="FI150" s="62">
        <f t="shared" si="131"/>
        <v>754.38621361531807</v>
      </c>
      <c r="FJ150" s="62">
        <f ca="1">AVERAGE(OFFSET($FI$3,0,0,'Données projet'!$E$16+1,1))-AVERAGE(OFFSET($H$3,0,0,'Données projet'!$E$16+1,1))</f>
        <v>369.34989412920129</v>
      </c>
      <c r="FK150" s="62">
        <f t="shared" si="156"/>
        <v>371.26234252426553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0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>
        <f>FZ150*VLOOKUP('Données projet'!$B$17,Paramètres!$A$1:$I$89,3,0)*VLOOKUP('Données projet'!$B$17,Paramètres!$A$1:$I$89,5,0)</f>
        <v>0</v>
      </c>
      <c r="GB150" s="14" t="e">
        <f t="shared" si="157"/>
        <v>#NUM!</v>
      </c>
      <c r="GC150" s="22" t="e">
        <f t="shared" si="133"/>
        <v>#NUM!</v>
      </c>
      <c r="GD150" s="62" t="e">
        <f t="shared" si="134"/>
        <v>#NUM!</v>
      </c>
      <c r="GE150" s="62">
        <f ca="1">AVERAGE(OFFSET($GD$3,0,0,'Données projet'!$E$17+1,1))-AVERAGE(OFFSET($H$3,0,0,'Données projet'!$E$17+1,1))</f>
        <v>324.4489531703187</v>
      </c>
      <c r="GF150" s="62">
        <f t="shared" si="158"/>
        <v>446.55019360848706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projet'!$B$17,Paramètres!$A$1:$I$89,3,0)*0.475*44/12</f>
        <v>0</v>
      </c>
      <c r="GM150" s="23">
        <f>EXP(-LN(2)/25)*GM149+(1-EXP(-LN(2)/25))/(LN(2)/25)*Calculateur!GH150*Calculateur!GJ150*VLOOKUP('Données projet'!$B$17,Paramètres!$A$1:$I$89,3,0)*0.475*44/12</f>
        <v>0</v>
      </c>
      <c r="GN150" s="23">
        <f>EXP(-LN(2)/2)*GN149+(1-EXP(-LN(2)/2))/(LN(2)/2)*GH150*GK150*VLOOKUP('Données projet'!$B$17,Paramètres!$A$1:$I$89,3,0)*0.475*44/12</f>
        <v>0</v>
      </c>
      <c r="GO150" s="23">
        <f t="shared" si="135"/>
        <v>0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1.7053025658242404E-13</v>
      </c>
      <c r="GV150" s="18">
        <f>GU150*VLOOKUP('Données projet'!$B$18,Paramètres!$A$1:$I$89,3,0)*VLOOKUP('Données projet'!$B$18,Paramètres!$A$1:$I$89,5,0)</f>
        <v>1.1439169611549005E-13</v>
      </c>
      <c r="GW150" s="14">
        <f t="shared" si="159"/>
        <v>1.6918016515029816E-12</v>
      </c>
      <c r="GX150" s="22">
        <f t="shared" si="136"/>
        <v>3.1457867471021712E-12</v>
      </c>
      <c r="GY150" s="62">
        <f t="shared" si="137"/>
        <v>293.33333333333644</v>
      </c>
      <c r="GZ150" s="62">
        <f ca="1">AVERAGE(OFFSET($GY$3,0,0,'Données projet'!$E$18+1,1))-AVERAGE(OFFSET($H$3,0,0,'Données projet'!$E$18+1,1))</f>
        <v>312.06797204903796</v>
      </c>
      <c r="HA150" s="62">
        <f t="shared" si="160"/>
        <v>258.20189001775151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>
        <f>EXP(-LN(2)/35)*HG149+(1-EXP(-LN(2)/35))/(LN(2)/35)*HC150*HD150*VLOOKUP('Données projet'!$B$18,Paramètres!$A$1:$I$89,3,0)*0.475*44/12</f>
        <v>0</v>
      </c>
      <c r="HH150" s="23">
        <f>EXP(-LN(2)/25)*HH149+(1-EXP(-LN(2)/25))/(LN(2)/25)*Calculateur!HC150*Calculateur!HE150*VLOOKUP('Données projet'!$B$18,Paramètres!$A$1:$I$89,3,0)*0.475*44/12</f>
        <v>0</v>
      </c>
      <c r="HI150" s="23">
        <f>EXP(-LN(2)/2)*HI149+(1-EXP(-LN(2)/2))/(LN(2)/2)*HC150*HF150*VLOOKUP('Données projet'!$B$18,Paramètres!$A$1:$I$89,3,0)*0.475*44/12</f>
        <v>0</v>
      </c>
      <c r="HJ150" s="24">
        <f t="shared" si="138"/>
        <v>0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3.6</v>
      </c>
      <c r="N151" s="14">
        <f>IF('Données projet'!$A$36&gt;35,N150+M151-V150,IF(A151&lt;'Données projet'!$A$36,$K$205^A151,IF(A151='Données projet'!$A$36,'Données projet'!$B$36,N150+M151-V150)))</f>
        <v>347.8</v>
      </c>
      <c r="O151" s="14">
        <f>N151*VLOOKUP('Données projet'!$B$9,Paramètres!$A$1:$I$89,3,0)*VLOOKUP('Données projet'!$B$9,Paramètres!$A$1:$I$89,5,0)</f>
        <v>314.68943999999999</v>
      </c>
      <c r="P151" s="14">
        <f t="shared" si="141"/>
        <v>74.247314486967753</v>
      </c>
      <c r="Q151" s="22">
        <f t="shared" si="108"/>
        <v>677.39818073146876</v>
      </c>
      <c r="R151" s="62">
        <f t="shared" si="109"/>
        <v>970.73151406480201</v>
      </c>
      <c r="S151" s="62">
        <f ca="1">AVERAGE(OFFSET($R$3,0,0,'Données projet'!$E$9+1,1))-AVERAGE(OFFSET($H$3,0,0,'Données projet'!$E$9+1,1))</f>
        <v>512.84819850818667</v>
      </c>
      <c r="T151" s="62">
        <f t="shared" si="142"/>
        <v>332.61387922152159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-5.6843418860808015E-14</v>
      </c>
      <c r="AJ151" s="14">
        <f>AI151*VLOOKUP('Données projet'!$B$10,Paramètres!$A$1:$I$89,3,0)*VLOOKUP('Données projet'!$B$10,Paramètres!$A$1:$I$89,5,0)</f>
        <v>-4.1677594708744434E-14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344.45199703750711</v>
      </c>
      <c r="AO151" s="62">
        <f t="shared" si="144"/>
        <v>376.41441893222185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3.6</v>
      </c>
      <c r="BD151" s="13">
        <f>IF('Données projet'!$A$88&gt;35,BD150+BC151-BL150,IF(A151&lt;'Données projet'!$A$88,$BA$205^A151,IF(A151='Données projet'!$A$88,'Données projet'!$B$88,BD150+BC151-BL150)))</f>
        <v>347.8</v>
      </c>
      <c r="BE151" s="14">
        <f>BD151*VLOOKUP('Données projet'!$B$11,Paramètres!$A$1:$I$89,3,0)*VLOOKUP('Données projet'!$B$11,Paramètres!$A$1:$I$89,5,0)</f>
        <v>352.66920000000005</v>
      </c>
      <c r="BF151" s="14">
        <f t="shared" si="145"/>
        <v>82.111883981641355</v>
      </c>
      <c r="BG151" s="22">
        <f t="shared" si="115"/>
        <v>757.24372126802552</v>
      </c>
      <c r="BH151" s="62">
        <f t="shared" si="116"/>
        <v>1050.5770546013589</v>
      </c>
      <c r="BI151" s="62">
        <f ca="1">AVERAGE(OFFSET($BH$3,0,0,'Données projet'!$E$11+1,1))-AVERAGE(OFFSET($H$3,0,0,'Données projet'!$E$11+1,1))</f>
        <v>569.39473185784823</v>
      </c>
      <c r="BJ151" s="62">
        <f t="shared" si="146"/>
        <v>367.42881145517066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4</v>
      </c>
      <c r="BY151" s="13">
        <f>IF('Données projet'!$A$114&gt;35,BY150+BX151-CG150,IF(A151&lt;'Données projet'!$A$114,$BV$205^A151,IF(A151='Données projet'!$A$114,'Données projet'!$B$114,BY150+BX151-CG150)))</f>
        <v>459.00000000000023</v>
      </c>
      <c r="BZ151" s="14">
        <f>BY151*VLOOKUP('Données projet'!$B$12,Paramètres!$A$1:$I$89,3,0)*VLOOKUP('Données projet'!$B$12,Paramètres!$A$1:$I$89,5,0)</f>
        <v>393.82200000000029</v>
      </c>
      <c r="CA151" s="14">
        <f t="shared" si="147"/>
        <v>90.523038141437951</v>
      </c>
      <c r="CB151" s="22">
        <f t="shared" si="118"/>
        <v>843.56760809633818</v>
      </c>
      <c r="CC151" s="62">
        <f t="shared" si="119"/>
        <v>1136.9009414296715</v>
      </c>
      <c r="CD151" s="62">
        <f ca="1">AVERAGE(OFFSET($CC$3,0,0,'Données projet'!$E$12+1,1))-AVERAGE(OFFSET($H$3,0,0,'Données projet'!$E$12+1,1))</f>
        <v>554.06253050955502</v>
      </c>
      <c r="CE151" s="62">
        <f t="shared" si="148"/>
        <v>269.71949336355789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1.1368683772161603E-13</v>
      </c>
      <c r="CU151" s="18">
        <f>CT151*VLOOKUP('Données projet'!$B$13,Paramètres!$A$1:$I$89,3,0)*VLOOKUP('Données projet'!$B$13,Paramètres!$A$1:$I$89,5,0)</f>
        <v>8.8675733422860506E-14</v>
      </c>
      <c r="CV151" s="14">
        <f t="shared" si="149"/>
        <v>1.3509285393066301E-12</v>
      </c>
      <c r="CW151" s="22">
        <f t="shared" si="121"/>
        <v>2.5073107750038623E-12</v>
      </c>
      <c r="CX151" s="62">
        <f t="shared" si="122"/>
        <v>293.33333333333582</v>
      </c>
      <c r="CY151" s="62">
        <f ca="1">AVERAGE(OFFSET($CX$3,0,0,'Données projet'!$E$13+1,1))-AVERAGE(OFFSET($H$3,0,0,'Données projet'!$E$13+1,1))</f>
        <v>292.21364130214391</v>
      </c>
      <c r="CZ151" s="62">
        <f t="shared" si="150"/>
        <v>283.48738729114024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5.6843418860808015E-14</v>
      </c>
      <c r="DP151" s="18">
        <f>DO151*VLOOKUP('Données projet'!$B$14,Paramètres!$A$1:$I$89,3,0)*VLOOKUP('Données projet'!$B$14,Paramètres!$A$1:$I$89,5,0)</f>
        <v>5.4092197387944907E-14</v>
      </c>
      <c r="DQ151" s="14">
        <f t="shared" si="151"/>
        <v>8.7287050538073676E-13</v>
      </c>
      <c r="DR151" s="22">
        <f t="shared" si="124"/>
        <v>1.6144600406554537E-12</v>
      </c>
      <c r="DS151" s="62">
        <f t="shared" si="125"/>
        <v>293.33333333333491</v>
      </c>
      <c r="DT151" s="62">
        <f ca="1">AVERAGE(OFFSET($DS$3,0,0,'Données projet'!$E$14+1,1))-AVERAGE(OFFSET($H$3,0,0,'Données projet'!$E$14+1,1))</f>
        <v>427.47603885390191</v>
      </c>
      <c r="DU151" s="62">
        <f t="shared" si="152"/>
        <v>350.88664394632116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2.4</v>
      </c>
      <c r="EJ151" s="13">
        <f>IF('Données projet'!$A$192&gt;35,EJ150+EI151-ER150,IF(A151&lt;'Données projet'!$A$192,$EG$205^A151,IF(A151='Données projet'!$A$192,'Données projet'!$B$192,EJ150+EI151-ER150)))</f>
        <v>288.19999999999908</v>
      </c>
      <c r="EK151" s="18">
        <f>EJ151*VLOOKUP('Données projet'!$B$15,Paramètres!$A$1:$I$89,3,0)*VLOOKUP('Données projet'!$B$15,Paramètres!$A$1:$I$89,5,0)</f>
        <v>278.74703999999912</v>
      </c>
      <c r="EL151" s="14">
        <f t="shared" si="153"/>
        <v>66.702153339553078</v>
      </c>
      <c r="EM151" s="22">
        <f t="shared" si="127"/>
        <v>601.65734506638671</v>
      </c>
      <c r="EN151" s="62">
        <f t="shared" si="128"/>
        <v>894.99067839972008</v>
      </c>
      <c r="EO151" s="62">
        <f ca="1">AVERAGE(OFFSET($EN$3,0,0,'Données projet'!$E$15+1,1))-AVERAGE(OFFSET($H$3,0,0,'Données projet'!$E$15+1,1))</f>
        <v>455.50822833641354</v>
      </c>
      <c r="EP151" s="62">
        <f t="shared" si="154"/>
        <v>261.14722581688039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243</v>
      </c>
      <c r="FF151" s="18">
        <f>FE151*VLOOKUP('Données projet'!$B$16,Paramètres!$A$1:$I$89,3,0)*VLOOKUP('Données projet'!$B$16,Paramètres!$A$1:$I$89,5,0)</f>
        <v>212.28480000000002</v>
      </c>
      <c r="FG151" s="14">
        <f t="shared" si="155"/>
        <v>52.434557099704193</v>
      </c>
      <c r="FH151" s="22">
        <f t="shared" si="130"/>
        <v>461.05288028198476</v>
      </c>
      <c r="FI151" s="62">
        <f t="shared" si="131"/>
        <v>754.38621361531807</v>
      </c>
      <c r="FJ151" s="62">
        <f ca="1">AVERAGE(OFFSET($FI$3,0,0,'Données projet'!$E$16+1,1))-AVERAGE(OFFSET($H$3,0,0,'Données projet'!$E$16+1,1))</f>
        <v>369.34989412920129</v>
      </c>
      <c r="FK151" s="62">
        <f t="shared" si="156"/>
        <v>371.26234252426553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0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>
        <f>FZ151*VLOOKUP('Données projet'!$B$17,Paramètres!$A$1:$I$89,3,0)*VLOOKUP('Données projet'!$B$17,Paramètres!$A$1:$I$89,5,0)</f>
        <v>0</v>
      </c>
      <c r="GB151" s="14" t="e">
        <f t="shared" si="157"/>
        <v>#NUM!</v>
      </c>
      <c r="GC151" s="22" t="e">
        <f t="shared" si="133"/>
        <v>#NUM!</v>
      </c>
      <c r="GD151" s="62" t="e">
        <f t="shared" si="134"/>
        <v>#NUM!</v>
      </c>
      <c r="GE151" s="62">
        <f ca="1">AVERAGE(OFFSET($GD$3,0,0,'Données projet'!$E$17+1,1))-AVERAGE(OFFSET($H$3,0,0,'Données projet'!$E$17+1,1))</f>
        <v>324.4489531703187</v>
      </c>
      <c r="GF151" s="62">
        <f t="shared" si="158"/>
        <v>446.55019360848706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projet'!$B$17,Paramètres!$A$1:$I$89,3,0)*0.475*44/12</f>
        <v>0</v>
      </c>
      <c r="GM151" s="23">
        <f>EXP(-LN(2)/25)*GM150+(1-EXP(-LN(2)/25))/(LN(2)/25)*Calculateur!GH151*Calculateur!GJ151*VLOOKUP('Données projet'!$B$17,Paramètres!$A$1:$I$89,3,0)*0.475*44/12</f>
        <v>0</v>
      </c>
      <c r="GN151" s="23">
        <f>EXP(-LN(2)/2)*GN150+(1-EXP(-LN(2)/2))/(LN(2)/2)*GH151*GK151*VLOOKUP('Données projet'!$B$17,Paramètres!$A$1:$I$89,3,0)*0.475*44/12</f>
        <v>0</v>
      </c>
      <c r="GO151" s="23">
        <f t="shared" si="135"/>
        <v>0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1.7053025658242404E-13</v>
      </c>
      <c r="GV151" s="18">
        <f>GU151*VLOOKUP('Données projet'!$B$18,Paramètres!$A$1:$I$89,3,0)*VLOOKUP('Données projet'!$B$18,Paramètres!$A$1:$I$89,5,0)</f>
        <v>1.1439169611549005E-13</v>
      </c>
      <c r="GW151" s="14">
        <f t="shared" si="159"/>
        <v>1.6918016515029816E-12</v>
      </c>
      <c r="GX151" s="22">
        <f t="shared" si="136"/>
        <v>3.1457867471021712E-12</v>
      </c>
      <c r="GY151" s="62">
        <f t="shared" si="137"/>
        <v>293.33333333333644</v>
      </c>
      <c r="GZ151" s="62">
        <f ca="1">AVERAGE(OFFSET($GY$3,0,0,'Données projet'!$E$18+1,1))-AVERAGE(OFFSET($H$3,0,0,'Données projet'!$E$18+1,1))</f>
        <v>312.06797204903796</v>
      </c>
      <c r="HA151" s="62">
        <f t="shared" si="160"/>
        <v>258.20189001775151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>
        <f>EXP(-LN(2)/35)*HG150+(1-EXP(-LN(2)/35))/(LN(2)/35)*HC151*HD151*VLOOKUP('Données projet'!$B$18,Paramètres!$A$1:$I$89,3,0)*0.475*44/12</f>
        <v>0</v>
      </c>
      <c r="HH151" s="23">
        <f>EXP(-LN(2)/25)*HH150+(1-EXP(-LN(2)/25))/(LN(2)/25)*Calculateur!HC151*Calculateur!HE151*VLOOKUP('Données projet'!$B$18,Paramètres!$A$1:$I$89,3,0)*0.475*44/12</f>
        <v>0</v>
      </c>
      <c r="HI151" s="23">
        <f>EXP(-LN(2)/2)*HI150+(1-EXP(-LN(2)/2))/(LN(2)/2)*HC151*HF151*VLOOKUP('Données projet'!$B$18,Paramètres!$A$1:$I$89,3,0)*0.475*44/12</f>
        <v>0</v>
      </c>
      <c r="HJ151" s="24">
        <f t="shared" si="138"/>
        <v>0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3.6</v>
      </c>
      <c r="N152" s="14">
        <f>IF('Données projet'!$A$36&gt;35,N151+M152-V151,IF(A152&lt;'Données projet'!$A$36,$K$205^A152,IF(A152='Données projet'!$A$36,'Données projet'!$B$36,N151+M152-V151)))</f>
        <v>351.40000000000003</v>
      </c>
      <c r="O152" s="14">
        <f>N152*VLOOKUP('Données projet'!$B$9,Paramètres!$A$1:$I$89,3,0)*VLOOKUP('Données projet'!$B$9,Paramètres!$A$1:$I$89,5,0)</f>
        <v>317.94672000000003</v>
      </c>
      <c r="P152" s="14">
        <f t="shared" si="141"/>
        <v>74.925968901822259</v>
      </c>
      <c r="Q152" s="22">
        <f t="shared" si="108"/>
        <v>684.25326650400712</v>
      </c>
      <c r="R152" s="62">
        <f t="shared" si="109"/>
        <v>977.58659983734037</v>
      </c>
      <c r="S152" s="62">
        <f ca="1">AVERAGE(OFFSET($R$3,0,0,'Données projet'!$E$9+1,1))-AVERAGE(OFFSET($H$3,0,0,'Données projet'!$E$9+1,1))</f>
        <v>512.84819850818667</v>
      </c>
      <c r="T152" s="62">
        <f t="shared" si="142"/>
        <v>332.61387922152159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-5.6843418860808015E-14</v>
      </c>
      <c r="AJ152" s="14">
        <f>AI152*VLOOKUP('Données projet'!$B$10,Paramètres!$A$1:$I$89,3,0)*VLOOKUP('Données projet'!$B$10,Paramètres!$A$1:$I$89,5,0)</f>
        <v>-4.1677594708744434E-14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344.45199703750711</v>
      </c>
      <c r="AO152" s="62">
        <f t="shared" si="144"/>
        <v>376.41441893222185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3.6</v>
      </c>
      <c r="BD152" s="13">
        <f>IF('Données projet'!$A$88&gt;35,BD151+BC152-BL151,IF(A152&lt;'Données projet'!$A$88,$BA$205^A152,IF(A152='Données projet'!$A$88,'Données projet'!$B$88,BD151+BC152-BL151)))</f>
        <v>351.40000000000003</v>
      </c>
      <c r="BE152" s="14">
        <f>BD152*VLOOKUP('Données projet'!$B$11,Paramètres!$A$1:$I$89,3,0)*VLOOKUP('Données projet'!$B$11,Paramètres!$A$1:$I$89,5,0)</f>
        <v>356.31960000000004</v>
      </c>
      <c r="BF152" s="14">
        <f t="shared" si="145"/>
        <v>82.862424158901803</v>
      </c>
      <c r="BG152" s="22">
        <f t="shared" si="115"/>
        <v>764.90869207675405</v>
      </c>
      <c r="BH152" s="62">
        <f t="shared" si="116"/>
        <v>1058.2420254100873</v>
      </c>
      <c r="BI152" s="62">
        <f ca="1">AVERAGE(OFFSET($BH$3,0,0,'Données projet'!$E$11+1,1))-AVERAGE(OFFSET($H$3,0,0,'Données projet'!$E$11+1,1))</f>
        <v>569.39473185784823</v>
      </c>
      <c r="BJ152" s="62">
        <f t="shared" si="146"/>
        <v>367.42881145517066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4</v>
      </c>
      <c r="BY152" s="13">
        <f>IF('Données projet'!$A$114&gt;35,BY151+BX152-CG151,IF(A152&lt;'Données projet'!$A$114,$BV$205^A152,IF(A152='Données projet'!$A$114,'Données projet'!$B$114,BY151+BX152-CG151)))</f>
        <v>463.00000000000023</v>
      </c>
      <c r="BZ152" s="14">
        <f>BY152*VLOOKUP('Données projet'!$B$12,Paramètres!$A$1:$I$89,3,0)*VLOOKUP('Données projet'!$B$12,Paramètres!$A$1:$I$89,5,0)</f>
        <v>397.25400000000025</v>
      </c>
      <c r="CA152" s="14">
        <f t="shared" si="147"/>
        <v>91.219732863167494</v>
      </c>
      <c r="CB152" s="22">
        <f t="shared" si="118"/>
        <v>850.75841807001723</v>
      </c>
      <c r="CC152" s="62">
        <f t="shared" si="119"/>
        <v>1144.0917514033506</v>
      </c>
      <c r="CD152" s="62">
        <f ca="1">AVERAGE(OFFSET($CC$3,0,0,'Données projet'!$E$12+1,1))-AVERAGE(OFFSET($H$3,0,0,'Données projet'!$E$12+1,1))</f>
        <v>554.06253050955502</v>
      </c>
      <c r="CE152" s="62">
        <f t="shared" si="148"/>
        <v>269.71949336355789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1.1368683772161603E-13</v>
      </c>
      <c r="CU152" s="18">
        <f>CT152*VLOOKUP('Données projet'!$B$13,Paramètres!$A$1:$I$89,3,0)*VLOOKUP('Données projet'!$B$13,Paramètres!$A$1:$I$89,5,0)</f>
        <v>8.8675733422860506E-14</v>
      </c>
      <c r="CV152" s="14">
        <f t="shared" si="149"/>
        <v>1.3509285393066301E-12</v>
      </c>
      <c r="CW152" s="22">
        <f t="shared" si="121"/>
        <v>2.5073107750038623E-12</v>
      </c>
      <c r="CX152" s="62">
        <f t="shared" si="122"/>
        <v>293.33333333333582</v>
      </c>
      <c r="CY152" s="62">
        <f ca="1">AVERAGE(OFFSET($CX$3,0,0,'Données projet'!$E$13+1,1))-AVERAGE(OFFSET($H$3,0,0,'Données projet'!$E$13+1,1))</f>
        <v>292.21364130214391</v>
      </c>
      <c r="CZ152" s="62">
        <f t="shared" si="150"/>
        <v>283.48738729114024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5.6843418860808015E-14</v>
      </c>
      <c r="DP152" s="18">
        <f>DO152*VLOOKUP('Données projet'!$B$14,Paramètres!$A$1:$I$89,3,0)*VLOOKUP('Données projet'!$B$14,Paramètres!$A$1:$I$89,5,0)</f>
        <v>5.4092197387944907E-14</v>
      </c>
      <c r="DQ152" s="14">
        <f t="shared" si="151"/>
        <v>8.7287050538073676E-13</v>
      </c>
      <c r="DR152" s="22">
        <f t="shared" si="124"/>
        <v>1.6144600406554537E-12</v>
      </c>
      <c r="DS152" s="62">
        <f t="shared" si="125"/>
        <v>293.33333333333491</v>
      </c>
      <c r="DT152" s="62">
        <f ca="1">AVERAGE(OFFSET($DS$3,0,0,'Données projet'!$E$14+1,1))-AVERAGE(OFFSET($H$3,0,0,'Données projet'!$E$14+1,1))</f>
        <v>427.47603885390191</v>
      </c>
      <c r="DU152" s="62">
        <f t="shared" si="152"/>
        <v>350.88664394632116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2.4</v>
      </c>
      <c r="EJ152" s="13">
        <f>IF('Données projet'!$A$192&gt;35,EJ151+EI152-ER151,IF(A152&lt;'Données projet'!$A$192,$EG$205^A152,IF(A152='Données projet'!$A$192,'Données projet'!$B$192,EJ151+EI152-ER151)))</f>
        <v>290.59999999999906</v>
      </c>
      <c r="EK152" s="18">
        <f>EJ152*VLOOKUP('Données projet'!$B$15,Paramètres!$A$1:$I$89,3,0)*VLOOKUP('Données projet'!$B$15,Paramètres!$A$1:$I$89,5,0)</f>
        <v>281.06831999999906</v>
      </c>
      <c r="EL152" s="14">
        <f t="shared" si="153"/>
        <v>67.192725545416479</v>
      </c>
      <c r="EM152" s="22">
        <f t="shared" si="127"/>
        <v>606.55465432493213</v>
      </c>
      <c r="EN152" s="62">
        <f t="shared" si="128"/>
        <v>899.8879876582655</v>
      </c>
      <c r="EO152" s="62">
        <f ca="1">AVERAGE(OFFSET($EN$3,0,0,'Données projet'!$E$15+1,1))-AVERAGE(OFFSET($H$3,0,0,'Données projet'!$E$15+1,1))</f>
        <v>455.50822833641354</v>
      </c>
      <c r="EP152" s="62">
        <f t="shared" si="154"/>
        <v>261.14722581688039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243</v>
      </c>
      <c r="FF152" s="18">
        <f>FE152*VLOOKUP('Données projet'!$B$16,Paramètres!$A$1:$I$89,3,0)*VLOOKUP('Données projet'!$B$16,Paramètres!$A$1:$I$89,5,0)</f>
        <v>212.28480000000002</v>
      </c>
      <c r="FG152" s="14">
        <f t="shared" si="155"/>
        <v>52.434557099704193</v>
      </c>
      <c r="FH152" s="22">
        <f t="shared" si="130"/>
        <v>461.05288028198476</v>
      </c>
      <c r="FI152" s="62">
        <f t="shared" si="131"/>
        <v>754.38621361531807</v>
      </c>
      <c r="FJ152" s="62">
        <f ca="1">AVERAGE(OFFSET($FI$3,0,0,'Données projet'!$E$16+1,1))-AVERAGE(OFFSET($H$3,0,0,'Données projet'!$E$16+1,1))</f>
        <v>369.34989412920129</v>
      </c>
      <c r="FK152" s="62">
        <f t="shared" si="156"/>
        <v>371.26234252426553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0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>
        <f>FZ152*VLOOKUP('Données projet'!$B$17,Paramètres!$A$1:$I$89,3,0)*VLOOKUP('Données projet'!$B$17,Paramètres!$A$1:$I$89,5,0)</f>
        <v>0</v>
      </c>
      <c r="GB152" s="14" t="e">
        <f t="shared" si="157"/>
        <v>#NUM!</v>
      </c>
      <c r="GC152" s="22" t="e">
        <f t="shared" si="133"/>
        <v>#NUM!</v>
      </c>
      <c r="GD152" s="62" t="e">
        <f t="shared" si="134"/>
        <v>#NUM!</v>
      </c>
      <c r="GE152" s="62">
        <f ca="1">AVERAGE(OFFSET($GD$3,0,0,'Données projet'!$E$17+1,1))-AVERAGE(OFFSET($H$3,0,0,'Données projet'!$E$17+1,1))</f>
        <v>324.4489531703187</v>
      </c>
      <c r="GF152" s="62">
        <f t="shared" si="158"/>
        <v>446.55019360848706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projet'!$B$17,Paramètres!$A$1:$I$89,3,0)*0.475*44/12</f>
        <v>0</v>
      </c>
      <c r="GM152" s="23">
        <f>EXP(-LN(2)/25)*GM151+(1-EXP(-LN(2)/25))/(LN(2)/25)*Calculateur!GH152*Calculateur!GJ152*VLOOKUP('Données projet'!$B$17,Paramètres!$A$1:$I$89,3,0)*0.475*44/12</f>
        <v>0</v>
      </c>
      <c r="GN152" s="23">
        <f>EXP(-LN(2)/2)*GN151+(1-EXP(-LN(2)/2))/(LN(2)/2)*GH152*GK152*VLOOKUP('Données projet'!$B$17,Paramètres!$A$1:$I$89,3,0)*0.475*44/12</f>
        <v>0</v>
      </c>
      <c r="GO152" s="23">
        <f t="shared" si="135"/>
        <v>0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1.7053025658242404E-13</v>
      </c>
      <c r="GV152" s="18">
        <f>GU152*VLOOKUP('Données projet'!$B$18,Paramètres!$A$1:$I$89,3,0)*VLOOKUP('Données projet'!$B$18,Paramètres!$A$1:$I$89,5,0)</f>
        <v>1.1439169611549005E-13</v>
      </c>
      <c r="GW152" s="14">
        <f t="shared" si="159"/>
        <v>1.6918016515029816E-12</v>
      </c>
      <c r="GX152" s="22">
        <f t="shared" si="136"/>
        <v>3.1457867471021712E-12</v>
      </c>
      <c r="GY152" s="62">
        <f t="shared" si="137"/>
        <v>293.33333333333644</v>
      </c>
      <c r="GZ152" s="62">
        <f ca="1">AVERAGE(OFFSET($GY$3,0,0,'Données projet'!$E$18+1,1))-AVERAGE(OFFSET($H$3,0,0,'Données projet'!$E$18+1,1))</f>
        <v>312.06797204903796</v>
      </c>
      <c r="HA152" s="62">
        <f t="shared" si="160"/>
        <v>258.20189001775151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>
        <f>EXP(-LN(2)/35)*HG151+(1-EXP(-LN(2)/35))/(LN(2)/35)*HC152*HD152*VLOOKUP('Données projet'!$B$18,Paramètres!$A$1:$I$89,3,0)*0.475*44/12</f>
        <v>0</v>
      </c>
      <c r="HH152" s="23">
        <f>EXP(-LN(2)/25)*HH151+(1-EXP(-LN(2)/25))/(LN(2)/25)*Calculateur!HC152*Calculateur!HE152*VLOOKUP('Données projet'!$B$18,Paramètres!$A$1:$I$89,3,0)*0.475*44/12</f>
        <v>0</v>
      </c>
      <c r="HI152" s="23">
        <f>EXP(-LN(2)/2)*HI151+(1-EXP(-LN(2)/2))/(LN(2)/2)*HC152*HF152*VLOOKUP('Données projet'!$B$18,Paramètres!$A$1:$I$89,3,0)*0.475*44/12</f>
        <v>0</v>
      </c>
      <c r="HJ152" s="24">
        <f t="shared" si="138"/>
        <v>0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355</v>
      </c>
      <c r="L153" s="13">
        <f>VLOOKUP(A153,'Données projet'!$A$35:$I$55,9,0)</f>
        <v>3.6</v>
      </c>
      <c r="M153" s="13">
        <f t="array" ref="M153">INDEX(L:L,MIN(IF(ISNUMBER(L153:L349),ROW(L153:L349),"")))</f>
        <v>3.6</v>
      </c>
      <c r="N153" s="14">
        <f>IF('Données projet'!$A$36&gt;35,N152+M153-V152,IF(A153&lt;'Données projet'!$A$36,$K$205^A153,IF(A153='Données projet'!$A$36,'Données projet'!$B$36,N152+M153-V152)))</f>
        <v>355.00000000000006</v>
      </c>
      <c r="O153" s="14">
        <f>N153*VLOOKUP('Données projet'!$B$9,Paramètres!$A$1:$I$89,3,0)*VLOOKUP('Données projet'!$B$9,Paramètres!$A$1:$I$89,5,0)</f>
        <v>321.20400000000001</v>
      </c>
      <c r="P153" s="14">
        <f t="shared" si="141"/>
        <v>75.603814497354989</v>
      </c>
      <c r="Q153" s="22">
        <f t="shared" si="108"/>
        <v>691.10694358289345</v>
      </c>
      <c r="R153" s="62">
        <f t="shared" si="109"/>
        <v>984.44027691622682</v>
      </c>
      <c r="S153" s="62">
        <f ca="1">AVERAGE(OFFSET($R$3,0,0,'Données projet'!$E$9+1,1))-AVERAGE(OFFSET($H$3,0,0,'Données projet'!$E$9+1,1))</f>
        <v>512.84819850818667</v>
      </c>
      <c r="T153" s="62">
        <f t="shared" si="142"/>
        <v>332.61387922152159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355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-5.6843418860808015E-14</v>
      </c>
      <c r="AJ153" s="14">
        <f>AI153*VLOOKUP('Données projet'!$B$10,Paramètres!$A$1:$I$89,3,0)*VLOOKUP('Données projet'!$B$10,Paramètres!$A$1:$I$89,5,0)</f>
        <v>-4.1677594708744434E-14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344.45199703750711</v>
      </c>
      <c r="AO153" s="62">
        <f t="shared" si="144"/>
        <v>376.41441893222185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>
        <f>VLOOKUP(A153,'Données projet'!$A$87:$I$107,2,0)</f>
        <v>355</v>
      </c>
      <c r="BB153" s="13">
        <f>VLOOKUP(A153,'Données projet'!$A$87:$I$107,9,0)</f>
        <v>3.6</v>
      </c>
      <c r="BC153" s="13">
        <f t="array" ref="BC153">INDEX(BB:BB,MIN(IF(ISNUMBER(BB153:BB349),ROW(BB153:BB349),"")))</f>
        <v>3.6</v>
      </c>
      <c r="BD153" s="13">
        <f>IF('Données projet'!$A$88&gt;35,BD152+BC153-BL152,IF(A153&lt;'Données projet'!$A$88,$BA$205^A153,IF(A153='Données projet'!$A$88,'Données projet'!$B$88,BD152+BC153-BL152)))</f>
        <v>355.00000000000006</v>
      </c>
      <c r="BE153" s="14">
        <f>BD153*VLOOKUP('Données projet'!$B$11,Paramètres!$A$1:$I$89,3,0)*VLOOKUP('Données projet'!$B$11,Paramètres!$A$1:$I$89,5,0)</f>
        <v>359.97000000000008</v>
      </c>
      <c r="BF153" s="14">
        <f t="shared" si="145"/>
        <v>83.612069843495831</v>
      </c>
      <c r="BG153" s="22">
        <f t="shared" si="115"/>
        <v>772.57210497742199</v>
      </c>
      <c r="BH153" s="62">
        <f t="shared" si="116"/>
        <v>1065.9054383107552</v>
      </c>
      <c r="BI153" s="62">
        <f ca="1">AVERAGE(OFFSET($BH$3,0,0,'Données projet'!$E$11+1,1))-AVERAGE(OFFSET($H$3,0,0,'Données projet'!$E$11+1,1))</f>
        <v>569.39473185784823</v>
      </c>
      <c r="BJ153" s="62">
        <f t="shared" si="146"/>
        <v>367.42881145517066</v>
      </c>
      <c r="BK153" s="16">
        <f>IF(ISNA(VLOOKUP(A153,'Données projet'!$A$87:$I$107,3,0)),0,VLOOKUP(A153,'Données projet'!$A$87:$I$107,3,0))</f>
        <v>13</v>
      </c>
      <c r="BL153" s="16">
        <f>IF(ISNA(VLOOKUP(A153,'Données projet'!$A$87:$I$107,4,0)),0,VLOOKUP(A153,'Données projet'!$A$87:$I$107,4,0))</f>
        <v>355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>
        <f>VLOOKUP(A153,'Données projet'!$A$113:$I$133,2,0)</f>
        <v>467</v>
      </c>
      <c r="BW153" s="13">
        <f>VLOOKUP(A153,'Données projet'!$A$113:$I$133,9,0)</f>
        <v>4</v>
      </c>
      <c r="BX153" s="13">
        <f t="array" ref="BX153">INDEX(BW:BW,MIN(IF(ISNUMBER(BW153:BW349),ROW(BW153:BW349),"")))</f>
        <v>4</v>
      </c>
      <c r="BY153" s="13">
        <f>IF('Données projet'!$A$114&gt;35,BY152+BX153-CG152,IF(A153&lt;'Données projet'!$A$114,$BV$205^A153,IF(A153='Données projet'!$A$114,'Données projet'!$B$114,BY152+BX153-CG152)))</f>
        <v>467.00000000000023</v>
      </c>
      <c r="BZ153" s="14">
        <f>BY153*VLOOKUP('Données projet'!$B$12,Paramètres!$A$1:$I$89,3,0)*VLOOKUP('Données projet'!$B$12,Paramètres!$A$1:$I$89,5,0)</f>
        <v>400.68600000000021</v>
      </c>
      <c r="CA153" s="14">
        <f t="shared" si="147"/>
        <v>91.915727320789969</v>
      </c>
      <c r="CB153" s="22">
        <f t="shared" si="118"/>
        <v>857.94800841704284</v>
      </c>
      <c r="CC153" s="62">
        <f t="shared" si="119"/>
        <v>1151.2813417503762</v>
      </c>
      <c r="CD153" s="62">
        <f ca="1">AVERAGE(OFFSET($CC$3,0,0,'Données projet'!$E$12+1,1))-AVERAGE(OFFSET($H$3,0,0,'Données projet'!$E$12+1,1))</f>
        <v>554.06253050955502</v>
      </c>
      <c r="CE153" s="62">
        <f t="shared" si="148"/>
        <v>269.71949336355789</v>
      </c>
      <c r="CF153" s="16">
        <f>IF(ISNA(VLOOKUP(A153,'Données projet'!$A$113:$I$133,3,0)),0,VLOOKUP(A153,'Données projet'!$A$113:$I$133,3,0))</f>
        <v>13</v>
      </c>
      <c r="CG153" s="16">
        <f>IF(ISNA(VLOOKUP(A153,'Données projet'!$A$113:$I$133,4,0)),0,VLOOKUP(A153,'Données projet'!$A$113:$I$133,4,0))</f>
        <v>467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1.1368683772161603E-13</v>
      </c>
      <c r="CU153" s="18">
        <f>CT153*VLOOKUP('Données projet'!$B$13,Paramètres!$A$1:$I$89,3,0)*VLOOKUP('Données projet'!$B$13,Paramètres!$A$1:$I$89,5,0)</f>
        <v>8.8675733422860506E-14</v>
      </c>
      <c r="CV153" s="14">
        <f t="shared" si="149"/>
        <v>1.3509285393066301E-12</v>
      </c>
      <c r="CW153" s="22">
        <f t="shared" si="121"/>
        <v>2.5073107750038623E-12</v>
      </c>
      <c r="CX153" s="62">
        <f t="shared" si="122"/>
        <v>293.33333333333582</v>
      </c>
      <c r="CY153" s="62">
        <f ca="1">AVERAGE(OFFSET($CX$3,0,0,'Données projet'!$E$13+1,1))-AVERAGE(OFFSET($H$3,0,0,'Données projet'!$E$13+1,1))</f>
        <v>292.21364130214391</v>
      </c>
      <c r="CZ153" s="62">
        <f t="shared" si="150"/>
        <v>283.48738729114024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5.6843418860808015E-14</v>
      </c>
      <c r="DP153" s="18">
        <f>DO153*VLOOKUP('Données projet'!$B$14,Paramètres!$A$1:$I$89,3,0)*VLOOKUP('Données projet'!$B$14,Paramètres!$A$1:$I$89,5,0)</f>
        <v>5.4092197387944907E-14</v>
      </c>
      <c r="DQ153" s="14">
        <f t="shared" si="151"/>
        <v>8.7287050538073676E-13</v>
      </c>
      <c r="DR153" s="22">
        <f t="shared" si="124"/>
        <v>1.6144600406554537E-12</v>
      </c>
      <c r="DS153" s="62">
        <f t="shared" si="125"/>
        <v>293.33333333333491</v>
      </c>
      <c r="DT153" s="62">
        <f ca="1">AVERAGE(OFFSET($DS$3,0,0,'Données projet'!$E$14+1,1))-AVERAGE(OFFSET($H$3,0,0,'Données projet'!$E$14+1,1))</f>
        <v>427.47603885390191</v>
      </c>
      <c r="DU153" s="62">
        <f t="shared" si="152"/>
        <v>350.88664394632116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>
        <f>VLOOKUP(A153,'Données projet'!$A$191:$I$211,2,0)</f>
        <v>293</v>
      </c>
      <c r="EH153" s="13">
        <f>VLOOKUP(A153,'Données projet'!$A$191:$I$211,9,0)</f>
        <v>2.4</v>
      </c>
      <c r="EI153" s="13">
        <f t="array" ref="EI153">INDEX(EH:EH,MIN(IF(ISNUMBER(EH153:EH349),ROW(EH153:EH349),"")))</f>
        <v>2.4</v>
      </c>
      <c r="EJ153" s="13">
        <f>IF('Données projet'!$A$192&gt;35,EJ152+EI153-ER152,IF(A153&lt;'Données projet'!$A$192,$EG$205^A153,IF(A153='Données projet'!$A$192,'Données projet'!$B$192,EJ152+EI153-ER152)))</f>
        <v>292.99999999999903</v>
      </c>
      <c r="EK153" s="18">
        <f>EJ153*VLOOKUP('Données projet'!$B$15,Paramètres!$A$1:$I$89,3,0)*VLOOKUP('Données projet'!$B$15,Paramètres!$A$1:$I$89,5,0)</f>
        <v>283.38959999999906</v>
      </c>
      <c r="EL153" s="14">
        <f t="shared" si="153"/>
        <v>67.682826374656187</v>
      </c>
      <c r="EM153" s="22">
        <f t="shared" si="127"/>
        <v>611.45114260252456</v>
      </c>
      <c r="EN153" s="62">
        <f t="shared" si="128"/>
        <v>904.78447593585793</v>
      </c>
      <c r="EO153" s="62">
        <f ca="1">AVERAGE(OFFSET($EN$3,0,0,'Données projet'!$E$15+1,1))-AVERAGE(OFFSET($H$3,0,0,'Données projet'!$E$15+1,1))</f>
        <v>455.50822833641354</v>
      </c>
      <c r="EP153" s="62">
        <f t="shared" si="154"/>
        <v>261.14722581688039</v>
      </c>
      <c r="EQ153" s="16">
        <f>IF(ISNA(VLOOKUP(A153,'Données projet'!$A$191:$I$211,3,0)),0,VLOOKUP(A153,'Données projet'!$A$191:$I$211,3,0))</f>
        <v>13</v>
      </c>
      <c r="ER153" s="16">
        <f>IF(ISNA(VLOOKUP(A153,'Données projet'!$A$191:$I$211,4,0)),0,VLOOKUP(A153,'Données projet'!$A$191:$I$211,4,0))</f>
        <v>293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243</v>
      </c>
      <c r="FF153" s="18">
        <f>FE153*VLOOKUP('Données projet'!$B$16,Paramètres!$A$1:$I$89,3,0)*VLOOKUP('Données projet'!$B$16,Paramètres!$A$1:$I$89,5,0)</f>
        <v>212.28480000000002</v>
      </c>
      <c r="FG153" s="14">
        <f t="shared" si="155"/>
        <v>52.434557099704193</v>
      </c>
      <c r="FH153" s="22">
        <f t="shared" si="130"/>
        <v>461.05288028198476</v>
      </c>
      <c r="FI153" s="62">
        <f t="shared" si="131"/>
        <v>754.38621361531807</v>
      </c>
      <c r="FJ153" s="62">
        <f ca="1">AVERAGE(OFFSET($FI$3,0,0,'Données projet'!$E$16+1,1))-AVERAGE(OFFSET($H$3,0,0,'Données projet'!$E$16+1,1))</f>
        <v>369.34989412920129</v>
      </c>
      <c r="FK153" s="62">
        <f t="shared" si="156"/>
        <v>371.26234252426553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0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>
        <f>FZ153*VLOOKUP('Données projet'!$B$17,Paramètres!$A$1:$I$89,3,0)*VLOOKUP('Données projet'!$B$17,Paramètres!$A$1:$I$89,5,0)</f>
        <v>0</v>
      </c>
      <c r="GB153" s="14" t="e">
        <f t="shared" si="157"/>
        <v>#NUM!</v>
      </c>
      <c r="GC153" s="22" t="e">
        <f t="shared" si="133"/>
        <v>#NUM!</v>
      </c>
      <c r="GD153" s="62" t="e">
        <f t="shared" si="134"/>
        <v>#NUM!</v>
      </c>
      <c r="GE153" s="62">
        <f ca="1">AVERAGE(OFFSET($GD$3,0,0,'Données projet'!$E$17+1,1))-AVERAGE(OFFSET($H$3,0,0,'Données projet'!$E$17+1,1))</f>
        <v>324.4489531703187</v>
      </c>
      <c r="GF153" s="62">
        <f t="shared" si="158"/>
        <v>446.55019360848706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projet'!$B$17,Paramètres!$A$1:$I$89,3,0)*0.475*44/12</f>
        <v>0</v>
      </c>
      <c r="GM153" s="23">
        <f>EXP(-LN(2)/25)*GM152+(1-EXP(-LN(2)/25))/(LN(2)/25)*Calculateur!GH153*Calculateur!GJ153*VLOOKUP('Données projet'!$B$17,Paramètres!$A$1:$I$89,3,0)*0.475*44/12</f>
        <v>0</v>
      </c>
      <c r="GN153" s="23">
        <f>EXP(-LN(2)/2)*GN152+(1-EXP(-LN(2)/2))/(LN(2)/2)*GH153*GK153*VLOOKUP('Données projet'!$B$17,Paramètres!$A$1:$I$89,3,0)*0.475*44/12</f>
        <v>0</v>
      </c>
      <c r="GO153" s="23">
        <f t="shared" si="135"/>
        <v>0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1.7053025658242404E-13</v>
      </c>
      <c r="GV153" s="18">
        <f>GU153*VLOOKUP('Données projet'!$B$18,Paramètres!$A$1:$I$89,3,0)*VLOOKUP('Données projet'!$B$18,Paramètres!$A$1:$I$89,5,0)</f>
        <v>1.1439169611549005E-13</v>
      </c>
      <c r="GW153" s="14">
        <f t="shared" si="159"/>
        <v>1.6918016515029816E-12</v>
      </c>
      <c r="GX153" s="22">
        <f t="shared" si="136"/>
        <v>3.1457867471021712E-12</v>
      </c>
      <c r="GY153" s="62">
        <f t="shared" si="137"/>
        <v>293.33333333333644</v>
      </c>
      <c r="GZ153" s="62">
        <f ca="1">AVERAGE(OFFSET($GY$3,0,0,'Données projet'!$E$18+1,1))-AVERAGE(OFFSET($H$3,0,0,'Données projet'!$E$18+1,1))</f>
        <v>312.06797204903796</v>
      </c>
      <c r="HA153" s="62">
        <f t="shared" si="160"/>
        <v>258.20189001775151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>
        <f>EXP(-LN(2)/35)*HG152+(1-EXP(-LN(2)/35))/(LN(2)/35)*HC153*HD153*VLOOKUP('Données projet'!$B$18,Paramètres!$A$1:$I$89,3,0)*0.475*44/12</f>
        <v>0</v>
      </c>
      <c r="HH153" s="23">
        <f>EXP(-LN(2)/25)*HH152+(1-EXP(-LN(2)/25))/(LN(2)/25)*Calculateur!HC153*Calculateur!HE153*VLOOKUP('Données projet'!$B$18,Paramètres!$A$1:$I$89,3,0)*0.475*44/12</f>
        <v>0</v>
      </c>
      <c r="HI153" s="23">
        <f>EXP(-LN(2)/2)*HI152+(1-EXP(-LN(2)/2))/(LN(2)/2)*HC153*HF153*VLOOKUP('Données projet'!$B$18,Paramètres!$A$1:$I$89,3,0)*0.475*44/12</f>
        <v>0</v>
      </c>
      <c r="HJ153" s="24">
        <f t="shared" si="138"/>
        <v>0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5.1431925385259088E-14</v>
      </c>
      <c r="P154" s="14">
        <f t="shared" si="141"/>
        <v>8.3482866290946129E-13</v>
      </c>
      <c r="Q154" s="22">
        <f t="shared" ref="Q154:Q203" si="162">(O154+P154)*0.475*44/12</f>
        <v>1.5435705246133045E-12</v>
      </c>
      <c r="R154" s="62">
        <f t="shared" si="109"/>
        <v>293.33333333333485</v>
      </c>
      <c r="S154" s="62">
        <f ca="1">AVERAGE(OFFSET($R$3,0,0,'Données projet'!$E$9+1,1))-AVERAGE(OFFSET($H$3,0,0,'Données projet'!$E$9+1,1))</f>
        <v>512.84819850818667</v>
      </c>
      <c r="T154" s="62">
        <f t="shared" si="142"/>
        <v>332.61387922152159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-5.6843418860808015E-14</v>
      </c>
      <c r="AJ154" s="14">
        <f>AI154*VLOOKUP('Données projet'!$B$10,Paramètres!$A$1:$I$89,3,0)*VLOOKUP('Données projet'!$B$10,Paramètres!$A$1:$I$89,5,0)</f>
        <v>-4.1677594708744434E-14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344.45199703750711</v>
      </c>
      <c r="AO154" s="62">
        <f t="shared" si="144"/>
        <v>376.41441893222185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5.6843418860808015E-14</v>
      </c>
      <c r="BE154" s="14">
        <f>BD154*VLOOKUP('Données projet'!$B$11,Paramètres!$A$1:$I$89,3,0)*VLOOKUP('Données projet'!$B$11,Paramètres!$A$1:$I$89,5,0)</f>
        <v>5.7639226724859328E-14</v>
      </c>
      <c r="BF154" s="14">
        <f t="shared" ref="BF154:BF203" si="167">EXP(-1.0587+0.8836*LN(BE154)+0.284)</f>
        <v>9.2325701996134334E-13</v>
      </c>
      <c r="BG154" s="22">
        <f t="shared" ref="BG154:BG203" si="168">(BE154+BF154)*0.475*44/12</f>
        <v>1.708394296311803E-12</v>
      </c>
      <c r="BH154" s="62">
        <f t="shared" si="116"/>
        <v>293.33333333333502</v>
      </c>
      <c r="BI154" s="62">
        <f ca="1">AVERAGE(OFFSET($BH$3,0,0,'Données projet'!$E$11+1,1))-AVERAGE(OFFSET($H$3,0,0,'Données projet'!$E$11+1,1))</f>
        <v>569.39473185784823</v>
      </c>
      <c r="BJ154" s="62">
        <f t="shared" si="146"/>
        <v>367.42881145517066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2.2737367544323206E-13</v>
      </c>
      <c r="BZ154" s="14">
        <f>BY154*VLOOKUP('Données projet'!$B$12,Paramètres!$A$1:$I$89,3,0)*VLOOKUP('Données projet'!$B$12,Paramètres!$A$1:$I$89,5,0)</f>
        <v>1.9508661353029313E-13</v>
      </c>
      <c r="CA154" s="14">
        <f t="shared" ref="CA154:CA203" si="170">EXP(-1.0587+0.8836*LN(BZ154)+0.284)</f>
        <v>2.711421636700695E-12</v>
      </c>
      <c r="CB154" s="22">
        <f t="shared" ref="CB154:CB203" si="171">(BZ154+CA154)*0.475*44/12</f>
        <v>5.0621685358189711E-12</v>
      </c>
      <c r="CC154" s="62">
        <f t="shared" si="119"/>
        <v>293.33333333333837</v>
      </c>
      <c r="CD154" s="62">
        <f ca="1">AVERAGE(OFFSET($CC$3,0,0,'Données projet'!$E$12+1,1))-AVERAGE(OFFSET($H$3,0,0,'Données projet'!$E$12+1,1))</f>
        <v>554.06253050955502</v>
      </c>
      <c r="CE154" s="62">
        <f t="shared" si="148"/>
        <v>269.71949336355789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1.1368683772161603E-13</v>
      </c>
      <c r="CU154" s="18">
        <f>CT154*VLOOKUP('Données projet'!$B$13,Paramètres!$A$1:$I$89,3,0)*VLOOKUP('Données projet'!$B$13,Paramètres!$A$1:$I$89,5,0)</f>
        <v>8.8675733422860506E-14</v>
      </c>
      <c r="CV154" s="14">
        <f t="shared" ref="CV154:CV203" si="173">EXP(-1.0587+0.8836*LN(CU154)+0.284)</f>
        <v>1.3509285393066301E-12</v>
      </c>
      <c r="CW154" s="22">
        <f t="shared" ref="CW154:CW203" si="174">(CU154+CV154)*0.475*44/12</f>
        <v>2.5073107750038623E-12</v>
      </c>
      <c r="CX154" s="62">
        <f t="shared" si="122"/>
        <v>293.33333333333582</v>
      </c>
      <c r="CY154" s="62">
        <f ca="1">AVERAGE(OFFSET($CX$3,0,0,'Données projet'!$E$13+1,1))-AVERAGE(OFFSET($H$3,0,0,'Données projet'!$E$13+1,1))</f>
        <v>292.21364130214391</v>
      </c>
      <c r="CZ154" s="62">
        <f t="shared" si="150"/>
        <v>283.48738729114024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5.6843418860808015E-14</v>
      </c>
      <c r="DP154" s="18">
        <f>DO154*VLOOKUP('Données projet'!$B$14,Paramètres!$A$1:$I$89,3,0)*VLOOKUP('Données projet'!$B$14,Paramètres!$A$1:$I$89,5,0)</f>
        <v>5.4092197387944907E-14</v>
      </c>
      <c r="DQ154" s="14">
        <f t="shared" ref="DQ154:DQ203" si="176">EXP(-1.0587+0.8836*LN(DP154)+0.284)</f>
        <v>8.7287050538073676E-13</v>
      </c>
      <c r="DR154" s="22">
        <f t="shared" ref="DR154:DR203" si="177">(DP154+DQ154)*0.475*44/12</f>
        <v>1.6144600406554537E-12</v>
      </c>
      <c r="DS154" s="62">
        <f t="shared" si="125"/>
        <v>293.33333333333491</v>
      </c>
      <c r="DT154" s="62">
        <f ca="1">AVERAGE(OFFSET($DS$3,0,0,'Données projet'!$E$14+1,1))-AVERAGE(OFFSET($H$3,0,0,'Données projet'!$E$14+1,1))</f>
        <v>427.47603885390191</v>
      </c>
      <c r="DU154" s="62">
        <f t="shared" si="152"/>
        <v>350.88664394632116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-9.6633812063373625E-13</v>
      </c>
      <c r="EK154" s="18">
        <f>EJ154*VLOOKUP('Données projet'!$B$15,Paramètres!$A$1:$I$89,3,0)*VLOOKUP('Données projet'!$B$15,Paramètres!$A$1:$I$89,5,0)</f>
        <v>-9.3464223027694966E-13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2" t="e">
        <f t="shared" si="128"/>
        <v>#NUM!</v>
      </c>
      <c r="EO154" s="62">
        <f ca="1">AVERAGE(OFFSET($EN$3,0,0,'Données projet'!$E$15+1,1))-AVERAGE(OFFSET($H$3,0,0,'Données projet'!$E$15+1,1))</f>
        <v>455.50822833641354</v>
      </c>
      <c r="EP154" s="62">
        <f t="shared" si="154"/>
        <v>261.14722581688039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243</v>
      </c>
      <c r="FF154" s="18">
        <f>FE154*VLOOKUP('Données projet'!$B$16,Paramètres!$A$1:$I$89,3,0)*VLOOKUP('Données projet'!$B$16,Paramètres!$A$1:$I$89,5,0)</f>
        <v>212.28480000000002</v>
      </c>
      <c r="FG154" s="14">
        <f t="shared" ref="FG154:FG203" si="182">EXP(-1.0587+0.8836*LN(FF154)+0.284)</f>
        <v>52.434557099704193</v>
      </c>
      <c r="FH154" s="22">
        <f t="shared" ref="FH154:FH203" si="183">(FF154+FG154)*0.475*44/12</f>
        <v>461.05288028198476</v>
      </c>
      <c r="FI154" s="62">
        <f t="shared" si="131"/>
        <v>754.38621361531807</v>
      </c>
      <c r="FJ154" s="62">
        <f ca="1">AVERAGE(OFFSET($FI$3,0,0,'Données projet'!$E$16+1,1))-AVERAGE(OFFSET($H$3,0,0,'Données projet'!$E$16+1,1))</f>
        <v>369.34989412920129</v>
      </c>
      <c r="FK154" s="62">
        <f t="shared" si="156"/>
        <v>371.26234252426553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0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>
        <f>FZ154*VLOOKUP('Données projet'!$B$17,Paramètres!$A$1:$I$89,3,0)*VLOOKUP('Données projet'!$B$17,Paramètres!$A$1:$I$89,5,0)</f>
        <v>0</v>
      </c>
      <c r="GB154" s="14" t="e">
        <f t="shared" ref="GB154:GB203" si="185">EXP(-1.0587+0.8836*LN(GA154)+0.284)</f>
        <v>#NUM!</v>
      </c>
      <c r="GC154" s="22" t="e">
        <f t="shared" ref="GC154:GC203" si="186">(GA154+GB154)*0.475*44/12</f>
        <v>#NUM!</v>
      </c>
      <c r="GD154" s="62" t="e">
        <f t="shared" si="134"/>
        <v>#NUM!</v>
      </c>
      <c r="GE154" s="62">
        <f ca="1">AVERAGE(OFFSET($GD$3,0,0,'Données projet'!$E$17+1,1))-AVERAGE(OFFSET($H$3,0,0,'Données projet'!$E$17+1,1))</f>
        <v>324.4489531703187</v>
      </c>
      <c r="GF154" s="62">
        <f t="shared" si="158"/>
        <v>446.55019360848706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projet'!$B$17,Paramètres!$A$1:$I$89,3,0)*0.475*44/12</f>
        <v>0</v>
      </c>
      <c r="GM154" s="23">
        <f>EXP(-LN(2)/25)*GM153+(1-EXP(-LN(2)/25))/(LN(2)/25)*Calculateur!GH154*Calculateur!GJ154*VLOOKUP('Données projet'!$B$17,Paramètres!$A$1:$I$89,3,0)*0.475*44/12</f>
        <v>0</v>
      </c>
      <c r="GN154" s="23">
        <f>EXP(-LN(2)/2)*GN153+(1-EXP(-LN(2)/2))/(LN(2)/2)*GH154*GK154*VLOOKUP('Données projet'!$B$17,Paramètres!$A$1:$I$89,3,0)*0.475*44/12</f>
        <v>0</v>
      </c>
      <c r="GO154" s="23">
        <f t="shared" ref="GO154:GO203" si="187">SUM(GL154:GN154)</f>
        <v>0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1.7053025658242404E-13</v>
      </c>
      <c r="GV154" s="18">
        <f>GU154*VLOOKUP('Données projet'!$B$18,Paramètres!$A$1:$I$89,3,0)*VLOOKUP('Données projet'!$B$18,Paramètres!$A$1:$I$89,5,0)</f>
        <v>1.1439169611549005E-13</v>
      </c>
      <c r="GW154" s="14">
        <f t="shared" ref="GW154:GW203" si="188">EXP(-1.0587+0.8836*LN(GV154)+0.284)</f>
        <v>1.6918016515029816E-12</v>
      </c>
      <c r="GX154" s="22">
        <f t="shared" ref="GX154:GX203" si="189">(GV154+GW154)*0.475*44/12</f>
        <v>3.1457867471021712E-12</v>
      </c>
      <c r="GY154" s="62">
        <f t="shared" si="137"/>
        <v>293.33333333333644</v>
      </c>
      <c r="GZ154" s="62">
        <f ca="1">AVERAGE(OFFSET($GY$3,0,0,'Données projet'!$E$18+1,1))-AVERAGE(OFFSET($H$3,0,0,'Données projet'!$E$18+1,1))</f>
        <v>312.06797204903796</v>
      </c>
      <c r="HA154" s="62">
        <f t="shared" si="160"/>
        <v>258.20189001775151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>
        <f>EXP(-LN(2)/35)*HG153+(1-EXP(-LN(2)/35))/(LN(2)/35)*HC154*HD154*VLOOKUP('Données projet'!$B$18,Paramètres!$A$1:$I$89,3,0)*0.475*44/12</f>
        <v>0</v>
      </c>
      <c r="HH154" s="23">
        <f>EXP(-LN(2)/25)*HH153+(1-EXP(-LN(2)/25))/(LN(2)/25)*Calculateur!HC154*Calculateur!HE154*VLOOKUP('Données projet'!$B$18,Paramètres!$A$1:$I$89,3,0)*0.475*44/12</f>
        <v>0</v>
      </c>
      <c r="HI154" s="23">
        <f>EXP(-LN(2)/2)*HI153+(1-EXP(-LN(2)/2))/(LN(2)/2)*HC154*HF154*VLOOKUP('Données projet'!$B$18,Paramètres!$A$1:$I$89,3,0)*0.475*44/12</f>
        <v>0</v>
      </c>
      <c r="HJ154" s="24">
        <f t="shared" ref="HJ154:HJ203" si="190">SUM(HG154:HI154)</f>
        <v>0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5.1431925385259088E-14</v>
      </c>
      <c r="P155" s="14">
        <f t="shared" si="141"/>
        <v>8.3482866290946129E-13</v>
      </c>
      <c r="Q155" s="22">
        <f t="shared" si="162"/>
        <v>1.5435705246133045E-12</v>
      </c>
      <c r="R155" s="62">
        <f t="shared" si="109"/>
        <v>293.33333333333485</v>
      </c>
      <c r="S155" s="62">
        <f ca="1">AVERAGE(OFFSET($R$3,0,0,'Données projet'!$E$9+1,1))-AVERAGE(OFFSET($H$3,0,0,'Données projet'!$E$9+1,1))</f>
        <v>512.84819850818667</v>
      </c>
      <c r="T155" s="62">
        <f t="shared" si="142"/>
        <v>332.61387922152159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-5.6843418860808015E-14</v>
      </c>
      <c r="AJ155" s="14">
        <f>AI155*VLOOKUP('Données projet'!$B$10,Paramètres!$A$1:$I$89,3,0)*VLOOKUP('Données projet'!$B$10,Paramètres!$A$1:$I$89,5,0)</f>
        <v>-4.1677594708744434E-14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344.45199703750711</v>
      </c>
      <c r="AO155" s="62">
        <f t="shared" si="144"/>
        <v>376.41441893222185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5.6843418860808015E-14</v>
      </c>
      <c r="BE155" s="14">
        <f>BD155*VLOOKUP('Données projet'!$B$11,Paramètres!$A$1:$I$89,3,0)*VLOOKUP('Données projet'!$B$11,Paramètres!$A$1:$I$89,5,0)</f>
        <v>5.7639226724859328E-14</v>
      </c>
      <c r="BF155" s="14">
        <f t="shared" si="167"/>
        <v>9.2325701996134334E-13</v>
      </c>
      <c r="BG155" s="22">
        <f t="shared" si="168"/>
        <v>1.708394296311803E-12</v>
      </c>
      <c r="BH155" s="62">
        <f t="shared" si="116"/>
        <v>293.33333333333502</v>
      </c>
      <c r="BI155" s="62">
        <f ca="1">AVERAGE(OFFSET($BH$3,0,0,'Données projet'!$E$11+1,1))-AVERAGE(OFFSET($H$3,0,0,'Données projet'!$E$11+1,1))</f>
        <v>569.39473185784823</v>
      </c>
      <c r="BJ155" s="62">
        <f t="shared" si="146"/>
        <v>367.42881145517066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2.2737367544323206E-13</v>
      </c>
      <c r="BZ155" s="14">
        <f>BY155*VLOOKUP('Données projet'!$B$12,Paramètres!$A$1:$I$89,3,0)*VLOOKUP('Données projet'!$B$12,Paramètres!$A$1:$I$89,5,0)</f>
        <v>1.9508661353029313E-13</v>
      </c>
      <c r="CA155" s="14">
        <f t="shared" si="170"/>
        <v>2.711421636700695E-12</v>
      </c>
      <c r="CB155" s="22">
        <f t="shared" si="171"/>
        <v>5.0621685358189711E-12</v>
      </c>
      <c r="CC155" s="62">
        <f t="shared" si="119"/>
        <v>293.33333333333837</v>
      </c>
      <c r="CD155" s="62">
        <f ca="1">AVERAGE(OFFSET($CC$3,0,0,'Données projet'!$E$12+1,1))-AVERAGE(OFFSET($H$3,0,0,'Données projet'!$E$12+1,1))</f>
        <v>554.06253050955502</v>
      </c>
      <c r="CE155" s="62">
        <f t="shared" si="148"/>
        <v>269.71949336355789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1.1368683772161603E-13</v>
      </c>
      <c r="CU155" s="18">
        <f>CT155*VLOOKUP('Données projet'!$B$13,Paramètres!$A$1:$I$89,3,0)*VLOOKUP('Données projet'!$B$13,Paramètres!$A$1:$I$89,5,0)</f>
        <v>8.8675733422860506E-14</v>
      </c>
      <c r="CV155" s="14">
        <f t="shared" si="173"/>
        <v>1.3509285393066301E-12</v>
      </c>
      <c r="CW155" s="22">
        <f t="shared" si="174"/>
        <v>2.5073107750038623E-12</v>
      </c>
      <c r="CX155" s="62">
        <f t="shared" si="122"/>
        <v>293.33333333333582</v>
      </c>
      <c r="CY155" s="62">
        <f ca="1">AVERAGE(OFFSET($CX$3,0,0,'Données projet'!$E$13+1,1))-AVERAGE(OFFSET($H$3,0,0,'Données projet'!$E$13+1,1))</f>
        <v>292.21364130214391</v>
      </c>
      <c r="CZ155" s="62">
        <f t="shared" si="150"/>
        <v>283.48738729114024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5.6843418860808015E-14</v>
      </c>
      <c r="DP155" s="18">
        <f>DO155*VLOOKUP('Données projet'!$B$14,Paramètres!$A$1:$I$89,3,0)*VLOOKUP('Données projet'!$B$14,Paramètres!$A$1:$I$89,5,0)</f>
        <v>5.4092197387944907E-14</v>
      </c>
      <c r="DQ155" s="14">
        <f t="shared" si="176"/>
        <v>8.7287050538073676E-13</v>
      </c>
      <c r="DR155" s="22">
        <f t="shared" si="177"/>
        <v>1.6144600406554537E-12</v>
      </c>
      <c r="DS155" s="62">
        <f t="shared" si="125"/>
        <v>293.33333333333491</v>
      </c>
      <c r="DT155" s="62">
        <f ca="1">AVERAGE(OFFSET($DS$3,0,0,'Données projet'!$E$14+1,1))-AVERAGE(OFFSET($H$3,0,0,'Données projet'!$E$14+1,1))</f>
        <v>427.47603885390191</v>
      </c>
      <c r="DU155" s="62">
        <f t="shared" si="152"/>
        <v>350.88664394632116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-9.6633812063373625E-13</v>
      </c>
      <c r="EK155" s="18">
        <f>EJ155*VLOOKUP('Données projet'!$B$15,Paramètres!$A$1:$I$89,3,0)*VLOOKUP('Données projet'!$B$15,Paramètres!$A$1:$I$89,5,0)</f>
        <v>-9.3464223027694966E-13</v>
      </c>
      <c r="EL155" s="14" t="e">
        <f t="shared" si="179"/>
        <v>#NUM!</v>
      </c>
      <c r="EM155" s="22" t="e">
        <f t="shared" si="180"/>
        <v>#NUM!</v>
      </c>
      <c r="EN155" s="62" t="e">
        <f t="shared" si="128"/>
        <v>#NUM!</v>
      </c>
      <c r="EO155" s="62">
        <f ca="1">AVERAGE(OFFSET($EN$3,0,0,'Données projet'!$E$15+1,1))-AVERAGE(OFFSET($H$3,0,0,'Données projet'!$E$15+1,1))</f>
        <v>455.50822833641354</v>
      </c>
      <c r="EP155" s="62">
        <f t="shared" si="154"/>
        <v>261.14722581688039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243</v>
      </c>
      <c r="FF155" s="18">
        <f>FE155*VLOOKUP('Données projet'!$B$16,Paramètres!$A$1:$I$89,3,0)*VLOOKUP('Données projet'!$B$16,Paramètres!$A$1:$I$89,5,0)</f>
        <v>212.28480000000002</v>
      </c>
      <c r="FG155" s="14">
        <f t="shared" si="182"/>
        <v>52.434557099704193</v>
      </c>
      <c r="FH155" s="22">
        <f t="shared" si="183"/>
        <v>461.05288028198476</v>
      </c>
      <c r="FI155" s="62">
        <f t="shared" si="131"/>
        <v>754.38621361531807</v>
      </c>
      <c r="FJ155" s="62">
        <f ca="1">AVERAGE(OFFSET($FI$3,0,0,'Données projet'!$E$16+1,1))-AVERAGE(OFFSET($H$3,0,0,'Données projet'!$E$16+1,1))</f>
        <v>369.34989412920129</v>
      </c>
      <c r="FK155" s="62">
        <f t="shared" si="156"/>
        <v>371.26234252426553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0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>
        <f>FZ155*VLOOKUP('Données projet'!$B$17,Paramètres!$A$1:$I$89,3,0)*VLOOKUP('Données projet'!$B$17,Paramètres!$A$1:$I$89,5,0)</f>
        <v>0</v>
      </c>
      <c r="GB155" s="14" t="e">
        <f t="shared" si="185"/>
        <v>#NUM!</v>
      </c>
      <c r="GC155" s="22" t="e">
        <f t="shared" si="186"/>
        <v>#NUM!</v>
      </c>
      <c r="GD155" s="62" t="e">
        <f t="shared" si="134"/>
        <v>#NUM!</v>
      </c>
      <c r="GE155" s="62">
        <f ca="1">AVERAGE(OFFSET($GD$3,0,0,'Données projet'!$E$17+1,1))-AVERAGE(OFFSET($H$3,0,0,'Données projet'!$E$17+1,1))</f>
        <v>324.4489531703187</v>
      </c>
      <c r="GF155" s="62">
        <f t="shared" si="158"/>
        <v>446.55019360848706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projet'!$B$17,Paramètres!$A$1:$I$89,3,0)*0.475*44/12</f>
        <v>0</v>
      </c>
      <c r="GM155" s="23">
        <f>EXP(-LN(2)/25)*GM154+(1-EXP(-LN(2)/25))/(LN(2)/25)*Calculateur!GH155*Calculateur!GJ155*VLOOKUP('Données projet'!$B$17,Paramètres!$A$1:$I$89,3,0)*0.475*44/12</f>
        <v>0</v>
      </c>
      <c r="GN155" s="23">
        <f>EXP(-LN(2)/2)*GN154+(1-EXP(-LN(2)/2))/(LN(2)/2)*GH155*GK155*VLOOKUP('Données projet'!$B$17,Paramètres!$A$1:$I$89,3,0)*0.475*44/12</f>
        <v>0</v>
      </c>
      <c r="GO155" s="23">
        <f t="shared" si="187"/>
        <v>0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1.7053025658242404E-13</v>
      </c>
      <c r="GV155" s="18">
        <f>GU155*VLOOKUP('Données projet'!$B$18,Paramètres!$A$1:$I$89,3,0)*VLOOKUP('Données projet'!$B$18,Paramètres!$A$1:$I$89,5,0)</f>
        <v>1.1439169611549005E-13</v>
      </c>
      <c r="GW155" s="14">
        <f t="shared" si="188"/>
        <v>1.6918016515029816E-12</v>
      </c>
      <c r="GX155" s="22">
        <f t="shared" si="189"/>
        <v>3.1457867471021712E-12</v>
      </c>
      <c r="GY155" s="62">
        <f t="shared" si="137"/>
        <v>293.33333333333644</v>
      </c>
      <c r="GZ155" s="62">
        <f ca="1">AVERAGE(OFFSET($GY$3,0,0,'Données projet'!$E$18+1,1))-AVERAGE(OFFSET($H$3,0,0,'Données projet'!$E$18+1,1))</f>
        <v>312.06797204903796</v>
      </c>
      <c r="HA155" s="62">
        <f t="shared" si="160"/>
        <v>258.20189001775151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>
        <f>EXP(-LN(2)/35)*HG154+(1-EXP(-LN(2)/35))/(LN(2)/35)*HC155*HD155*VLOOKUP('Données projet'!$B$18,Paramètres!$A$1:$I$89,3,0)*0.475*44/12</f>
        <v>0</v>
      </c>
      <c r="HH155" s="23">
        <f>EXP(-LN(2)/25)*HH154+(1-EXP(-LN(2)/25))/(LN(2)/25)*Calculateur!HC155*Calculateur!HE155*VLOOKUP('Données projet'!$B$18,Paramètres!$A$1:$I$89,3,0)*0.475*44/12</f>
        <v>0</v>
      </c>
      <c r="HI155" s="23">
        <f>EXP(-LN(2)/2)*HI154+(1-EXP(-LN(2)/2))/(LN(2)/2)*HC155*HF155*VLOOKUP('Données projet'!$B$18,Paramètres!$A$1:$I$89,3,0)*0.475*44/12</f>
        <v>0</v>
      </c>
      <c r="HJ155" s="24">
        <f t="shared" si="190"/>
        <v>0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5.1431925385259088E-14</v>
      </c>
      <c r="P156" s="14">
        <f t="shared" si="141"/>
        <v>8.3482866290946129E-13</v>
      </c>
      <c r="Q156" s="22">
        <f t="shared" si="162"/>
        <v>1.5435705246133045E-12</v>
      </c>
      <c r="R156" s="62">
        <f t="shared" si="109"/>
        <v>293.33333333333485</v>
      </c>
      <c r="S156" s="62">
        <f ca="1">AVERAGE(OFFSET($R$3,0,0,'Données projet'!$E$9+1,1))-AVERAGE(OFFSET($H$3,0,0,'Données projet'!$E$9+1,1))</f>
        <v>512.84819850818667</v>
      </c>
      <c r="T156" s="62">
        <f t="shared" si="142"/>
        <v>332.61387922152159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-5.6843418860808015E-14</v>
      </c>
      <c r="AJ156" s="14">
        <f>AI156*VLOOKUP('Données projet'!$B$10,Paramètres!$A$1:$I$89,3,0)*VLOOKUP('Données projet'!$B$10,Paramètres!$A$1:$I$89,5,0)</f>
        <v>-4.1677594708744434E-14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344.45199703750711</v>
      </c>
      <c r="AO156" s="62">
        <f t="shared" si="144"/>
        <v>376.41441893222185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5.6843418860808015E-14</v>
      </c>
      <c r="BE156" s="14">
        <f>BD156*VLOOKUP('Données projet'!$B$11,Paramètres!$A$1:$I$89,3,0)*VLOOKUP('Données projet'!$B$11,Paramètres!$A$1:$I$89,5,0)</f>
        <v>5.7639226724859328E-14</v>
      </c>
      <c r="BF156" s="14">
        <f t="shared" si="167"/>
        <v>9.2325701996134334E-13</v>
      </c>
      <c r="BG156" s="22">
        <f t="shared" si="168"/>
        <v>1.708394296311803E-12</v>
      </c>
      <c r="BH156" s="62">
        <f t="shared" si="116"/>
        <v>293.33333333333502</v>
      </c>
      <c r="BI156" s="62">
        <f ca="1">AVERAGE(OFFSET($BH$3,0,0,'Données projet'!$E$11+1,1))-AVERAGE(OFFSET($H$3,0,0,'Données projet'!$E$11+1,1))</f>
        <v>569.39473185784823</v>
      </c>
      <c r="BJ156" s="62">
        <f t="shared" si="146"/>
        <v>367.42881145517066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2.2737367544323206E-13</v>
      </c>
      <c r="BZ156" s="14">
        <f>BY156*VLOOKUP('Données projet'!$B$12,Paramètres!$A$1:$I$89,3,0)*VLOOKUP('Données projet'!$B$12,Paramètres!$A$1:$I$89,5,0)</f>
        <v>1.9508661353029313E-13</v>
      </c>
      <c r="CA156" s="14">
        <f t="shared" si="170"/>
        <v>2.711421636700695E-12</v>
      </c>
      <c r="CB156" s="22">
        <f t="shared" si="171"/>
        <v>5.0621685358189711E-12</v>
      </c>
      <c r="CC156" s="62">
        <f t="shared" si="119"/>
        <v>293.33333333333837</v>
      </c>
      <c r="CD156" s="62">
        <f ca="1">AVERAGE(OFFSET($CC$3,0,0,'Données projet'!$E$12+1,1))-AVERAGE(OFFSET($H$3,0,0,'Données projet'!$E$12+1,1))</f>
        <v>554.06253050955502</v>
      </c>
      <c r="CE156" s="62">
        <f t="shared" si="148"/>
        <v>269.71949336355789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1.1368683772161603E-13</v>
      </c>
      <c r="CU156" s="18">
        <f>CT156*VLOOKUP('Données projet'!$B$13,Paramètres!$A$1:$I$89,3,0)*VLOOKUP('Données projet'!$B$13,Paramètres!$A$1:$I$89,5,0)</f>
        <v>8.8675733422860506E-14</v>
      </c>
      <c r="CV156" s="14">
        <f t="shared" si="173"/>
        <v>1.3509285393066301E-12</v>
      </c>
      <c r="CW156" s="22">
        <f t="shared" si="174"/>
        <v>2.5073107750038623E-12</v>
      </c>
      <c r="CX156" s="62">
        <f t="shared" si="122"/>
        <v>293.33333333333582</v>
      </c>
      <c r="CY156" s="62">
        <f ca="1">AVERAGE(OFFSET($CX$3,0,0,'Données projet'!$E$13+1,1))-AVERAGE(OFFSET($H$3,0,0,'Données projet'!$E$13+1,1))</f>
        <v>292.21364130214391</v>
      </c>
      <c r="CZ156" s="62">
        <f t="shared" si="150"/>
        <v>283.48738729114024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5.6843418860808015E-14</v>
      </c>
      <c r="DP156" s="18">
        <f>DO156*VLOOKUP('Données projet'!$B$14,Paramètres!$A$1:$I$89,3,0)*VLOOKUP('Données projet'!$B$14,Paramètres!$A$1:$I$89,5,0)</f>
        <v>5.4092197387944907E-14</v>
      </c>
      <c r="DQ156" s="14">
        <f t="shared" si="176"/>
        <v>8.7287050538073676E-13</v>
      </c>
      <c r="DR156" s="22">
        <f t="shared" si="177"/>
        <v>1.6144600406554537E-12</v>
      </c>
      <c r="DS156" s="62">
        <f t="shared" si="125"/>
        <v>293.33333333333491</v>
      </c>
      <c r="DT156" s="62">
        <f ca="1">AVERAGE(OFFSET($DS$3,0,0,'Données projet'!$E$14+1,1))-AVERAGE(OFFSET($H$3,0,0,'Données projet'!$E$14+1,1))</f>
        <v>427.47603885390191</v>
      </c>
      <c r="DU156" s="62">
        <f t="shared" si="152"/>
        <v>350.88664394632116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-9.6633812063373625E-13</v>
      </c>
      <c r="EK156" s="18">
        <f>EJ156*VLOOKUP('Données projet'!$B$15,Paramètres!$A$1:$I$89,3,0)*VLOOKUP('Données projet'!$B$15,Paramètres!$A$1:$I$89,5,0)</f>
        <v>-9.3464223027694966E-13</v>
      </c>
      <c r="EL156" s="14" t="e">
        <f t="shared" si="179"/>
        <v>#NUM!</v>
      </c>
      <c r="EM156" s="22" t="e">
        <f t="shared" si="180"/>
        <v>#NUM!</v>
      </c>
      <c r="EN156" s="62" t="e">
        <f t="shared" si="128"/>
        <v>#NUM!</v>
      </c>
      <c r="EO156" s="62">
        <f ca="1">AVERAGE(OFFSET($EN$3,0,0,'Données projet'!$E$15+1,1))-AVERAGE(OFFSET($H$3,0,0,'Données projet'!$E$15+1,1))</f>
        <v>455.50822833641354</v>
      </c>
      <c r="EP156" s="62">
        <f t="shared" si="154"/>
        <v>261.14722581688039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243</v>
      </c>
      <c r="FF156" s="18">
        <f>FE156*VLOOKUP('Données projet'!$B$16,Paramètres!$A$1:$I$89,3,0)*VLOOKUP('Données projet'!$B$16,Paramètres!$A$1:$I$89,5,0)</f>
        <v>212.28480000000002</v>
      </c>
      <c r="FG156" s="14">
        <f t="shared" si="182"/>
        <v>52.434557099704193</v>
      </c>
      <c r="FH156" s="22">
        <f t="shared" si="183"/>
        <v>461.05288028198476</v>
      </c>
      <c r="FI156" s="62">
        <f t="shared" si="131"/>
        <v>754.38621361531807</v>
      </c>
      <c r="FJ156" s="62">
        <f ca="1">AVERAGE(OFFSET($FI$3,0,0,'Données projet'!$E$16+1,1))-AVERAGE(OFFSET($H$3,0,0,'Données projet'!$E$16+1,1))</f>
        <v>369.34989412920129</v>
      </c>
      <c r="FK156" s="62">
        <f t="shared" si="156"/>
        <v>371.26234252426553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0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>
        <f>FZ156*VLOOKUP('Données projet'!$B$17,Paramètres!$A$1:$I$89,3,0)*VLOOKUP('Données projet'!$B$17,Paramètres!$A$1:$I$89,5,0)</f>
        <v>0</v>
      </c>
      <c r="GB156" s="14" t="e">
        <f t="shared" si="185"/>
        <v>#NUM!</v>
      </c>
      <c r="GC156" s="22" t="e">
        <f t="shared" si="186"/>
        <v>#NUM!</v>
      </c>
      <c r="GD156" s="62" t="e">
        <f t="shared" si="134"/>
        <v>#NUM!</v>
      </c>
      <c r="GE156" s="62">
        <f ca="1">AVERAGE(OFFSET($GD$3,0,0,'Données projet'!$E$17+1,1))-AVERAGE(OFFSET($H$3,0,0,'Données projet'!$E$17+1,1))</f>
        <v>324.4489531703187</v>
      </c>
      <c r="GF156" s="62">
        <f t="shared" si="158"/>
        <v>446.55019360848706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projet'!$B$17,Paramètres!$A$1:$I$89,3,0)*0.475*44/12</f>
        <v>0</v>
      </c>
      <c r="GM156" s="23">
        <f>EXP(-LN(2)/25)*GM155+(1-EXP(-LN(2)/25))/(LN(2)/25)*Calculateur!GH156*Calculateur!GJ156*VLOOKUP('Données projet'!$B$17,Paramètres!$A$1:$I$89,3,0)*0.475*44/12</f>
        <v>0</v>
      </c>
      <c r="GN156" s="23">
        <f>EXP(-LN(2)/2)*GN155+(1-EXP(-LN(2)/2))/(LN(2)/2)*GH156*GK156*VLOOKUP('Données projet'!$B$17,Paramètres!$A$1:$I$89,3,0)*0.475*44/12</f>
        <v>0</v>
      </c>
      <c r="GO156" s="23">
        <f t="shared" si="187"/>
        <v>0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1.7053025658242404E-13</v>
      </c>
      <c r="GV156" s="18">
        <f>GU156*VLOOKUP('Données projet'!$B$18,Paramètres!$A$1:$I$89,3,0)*VLOOKUP('Données projet'!$B$18,Paramètres!$A$1:$I$89,5,0)</f>
        <v>1.1439169611549005E-13</v>
      </c>
      <c r="GW156" s="14">
        <f t="shared" si="188"/>
        <v>1.6918016515029816E-12</v>
      </c>
      <c r="GX156" s="22">
        <f t="shared" si="189"/>
        <v>3.1457867471021712E-12</v>
      </c>
      <c r="GY156" s="62">
        <f t="shared" si="137"/>
        <v>293.33333333333644</v>
      </c>
      <c r="GZ156" s="62">
        <f ca="1">AVERAGE(OFFSET($GY$3,0,0,'Données projet'!$E$18+1,1))-AVERAGE(OFFSET($H$3,0,0,'Données projet'!$E$18+1,1))</f>
        <v>312.06797204903796</v>
      </c>
      <c r="HA156" s="62">
        <f t="shared" si="160"/>
        <v>258.20189001775151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>
        <f>EXP(-LN(2)/35)*HG155+(1-EXP(-LN(2)/35))/(LN(2)/35)*HC156*HD156*VLOOKUP('Données projet'!$B$18,Paramètres!$A$1:$I$89,3,0)*0.475*44/12</f>
        <v>0</v>
      </c>
      <c r="HH156" s="23">
        <f>EXP(-LN(2)/25)*HH155+(1-EXP(-LN(2)/25))/(LN(2)/25)*Calculateur!HC156*Calculateur!HE156*VLOOKUP('Données projet'!$B$18,Paramètres!$A$1:$I$89,3,0)*0.475*44/12</f>
        <v>0</v>
      </c>
      <c r="HI156" s="23">
        <f>EXP(-LN(2)/2)*HI155+(1-EXP(-LN(2)/2))/(LN(2)/2)*HC156*HF156*VLOOKUP('Données projet'!$B$18,Paramètres!$A$1:$I$89,3,0)*0.475*44/12</f>
        <v>0</v>
      </c>
      <c r="HJ156" s="24">
        <f t="shared" si="190"/>
        <v>0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5.1431925385259088E-14</v>
      </c>
      <c r="P157" s="14">
        <f t="shared" si="141"/>
        <v>8.3482866290946129E-13</v>
      </c>
      <c r="Q157" s="22">
        <f t="shared" si="162"/>
        <v>1.5435705246133045E-12</v>
      </c>
      <c r="R157" s="62">
        <f t="shared" si="109"/>
        <v>293.33333333333485</v>
      </c>
      <c r="S157" s="62">
        <f ca="1">AVERAGE(OFFSET($R$3,0,0,'Données projet'!$E$9+1,1))-AVERAGE(OFFSET($H$3,0,0,'Données projet'!$E$9+1,1))</f>
        <v>512.84819850818667</v>
      </c>
      <c r="T157" s="62">
        <f t="shared" si="142"/>
        <v>332.61387922152159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-5.6843418860808015E-14</v>
      </c>
      <c r="AJ157" s="14">
        <f>AI157*VLOOKUP('Données projet'!$B$10,Paramètres!$A$1:$I$89,3,0)*VLOOKUP('Données projet'!$B$10,Paramètres!$A$1:$I$89,5,0)</f>
        <v>-4.1677594708744434E-14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344.45199703750711</v>
      </c>
      <c r="AO157" s="62">
        <f t="shared" si="144"/>
        <v>376.41441893222185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5.6843418860808015E-14</v>
      </c>
      <c r="BE157" s="14">
        <f>BD157*VLOOKUP('Données projet'!$B$11,Paramètres!$A$1:$I$89,3,0)*VLOOKUP('Données projet'!$B$11,Paramètres!$A$1:$I$89,5,0)</f>
        <v>5.7639226724859328E-14</v>
      </c>
      <c r="BF157" s="14">
        <f t="shared" si="167"/>
        <v>9.2325701996134334E-13</v>
      </c>
      <c r="BG157" s="22">
        <f t="shared" si="168"/>
        <v>1.708394296311803E-12</v>
      </c>
      <c r="BH157" s="62">
        <f t="shared" si="116"/>
        <v>293.33333333333502</v>
      </c>
      <c r="BI157" s="62">
        <f ca="1">AVERAGE(OFFSET($BH$3,0,0,'Données projet'!$E$11+1,1))-AVERAGE(OFFSET($H$3,0,0,'Données projet'!$E$11+1,1))</f>
        <v>569.39473185784823</v>
      </c>
      <c r="BJ157" s="62">
        <f t="shared" si="146"/>
        <v>367.42881145517066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2.2737367544323206E-13</v>
      </c>
      <c r="BZ157" s="14">
        <f>BY157*VLOOKUP('Données projet'!$B$12,Paramètres!$A$1:$I$89,3,0)*VLOOKUP('Données projet'!$B$12,Paramètres!$A$1:$I$89,5,0)</f>
        <v>1.9508661353029313E-13</v>
      </c>
      <c r="CA157" s="14">
        <f t="shared" si="170"/>
        <v>2.711421636700695E-12</v>
      </c>
      <c r="CB157" s="22">
        <f t="shared" si="171"/>
        <v>5.0621685358189711E-12</v>
      </c>
      <c r="CC157" s="62">
        <f t="shared" si="119"/>
        <v>293.33333333333837</v>
      </c>
      <c r="CD157" s="62">
        <f ca="1">AVERAGE(OFFSET($CC$3,0,0,'Données projet'!$E$12+1,1))-AVERAGE(OFFSET($H$3,0,0,'Données projet'!$E$12+1,1))</f>
        <v>554.06253050955502</v>
      </c>
      <c r="CE157" s="62">
        <f t="shared" si="148"/>
        <v>269.71949336355789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1.1368683772161603E-13</v>
      </c>
      <c r="CU157" s="18">
        <f>CT157*VLOOKUP('Données projet'!$B$13,Paramètres!$A$1:$I$89,3,0)*VLOOKUP('Données projet'!$B$13,Paramètres!$A$1:$I$89,5,0)</f>
        <v>8.8675733422860506E-14</v>
      </c>
      <c r="CV157" s="14">
        <f t="shared" si="173"/>
        <v>1.3509285393066301E-12</v>
      </c>
      <c r="CW157" s="22">
        <f t="shared" si="174"/>
        <v>2.5073107750038623E-12</v>
      </c>
      <c r="CX157" s="62">
        <f t="shared" si="122"/>
        <v>293.33333333333582</v>
      </c>
      <c r="CY157" s="62">
        <f ca="1">AVERAGE(OFFSET($CX$3,0,0,'Données projet'!$E$13+1,1))-AVERAGE(OFFSET($H$3,0,0,'Données projet'!$E$13+1,1))</f>
        <v>292.21364130214391</v>
      </c>
      <c r="CZ157" s="62">
        <f t="shared" si="150"/>
        <v>283.48738729114024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5.6843418860808015E-14</v>
      </c>
      <c r="DP157" s="18">
        <f>DO157*VLOOKUP('Données projet'!$B$14,Paramètres!$A$1:$I$89,3,0)*VLOOKUP('Données projet'!$B$14,Paramètres!$A$1:$I$89,5,0)</f>
        <v>5.4092197387944907E-14</v>
      </c>
      <c r="DQ157" s="14">
        <f t="shared" si="176"/>
        <v>8.7287050538073676E-13</v>
      </c>
      <c r="DR157" s="22">
        <f t="shared" si="177"/>
        <v>1.6144600406554537E-12</v>
      </c>
      <c r="DS157" s="62">
        <f t="shared" si="125"/>
        <v>293.33333333333491</v>
      </c>
      <c r="DT157" s="62">
        <f ca="1">AVERAGE(OFFSET($DS$3,0,0,'Données projet'!$E$14+1,1))-AVERAGE(OFFSET($H$3,0,0,'Données projet'!$E$14+1,1))</f>
        <v>427.47603885390191</v>
      </c>
      <c r="DU157" s="62">
        <f t="shared" si="152"/>
        <v>350.88664394632116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-9.6633812063373625E-13</v>
      </c>
      <c r="EK157" s="18">
        <f>EJ157*VLOOKUP('Données projet'!$B$15,Paramètres!$A$1:$I$89,3,0)*VLOOKUP('Données projet'!$B$15,Paramètres!$A$1:$I$89,5,0)</f>
        <v>-9.3464223027694966E-13</v>
      </c>
      <c r="EL157" s="14" t="e">
        <f t="shared" si="179"/>
        <v>#NUM!</v>
      </c>
      <c r="EM157" s="22" t="e">
        <f t="shared" si="180"/>
        <v>#NUM!</v>
      </c>
      <c r="EN157" s="62" t="e">
        <f t="shared" si="128"/>
        <v>#NUM!</v>
      </c>
      <c r="EO157" s="62">
        <f ca="1">AVERAGE(OFFSET($EN$3,0,0,'Données projet'!$E$15+1,1))-AVERAGE(OFFSET($H$3,0,0,'Données projet'!$E$15+1,1))</f>
        <v>455.50822833641354</v>
      </c>
      <c r="EP157" s="62">
        <f t="shared" si="154"/>
        <v>261.14722581688039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243</v>
      </c>
      <c r="FF157" s="18">
        <f>FE157*VLOOKUP('Données projet'!$B$16,Paramètres!$A$1:$I$89,3,0)*VLOOKUP('Données projet'!$B$16,Paramètres!$A$1:$I$89,5,0)</f>
        <v>212.28480000000002</v>
      </c>
      <c r="FG157" s="14">
        <f t="shared" si="182"/>
        <v>52.434557099704193</v>
      </c>
      <c r="FH157" s="22">
        <f t="shared" si="183"/>
        <v>461.05288028198476</v>
      </c>
      <c r="FI157" s="62">
        <f t="shared" si="131"/>
        <v>754.38621361531807</v>
      </c>
      <c r="FJ157" s="62">
        <f ca="1">AVERAGE(OFFSET($FI$3,0,0,'Données projet'!$E$16+1,1))-AVERAGE(OFFSET($H$3,0,0,'Données projet'!$E$16+1,1))</f>
        <v>369.34989412920129</v>
      </c>
      <c r="FK157" s="62">
        <f t="shared" si="156"/>
        <v>371.26234252426553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0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>
        <f>FZ157*VLOOKUP('Données projet'!$B$17,Paramètres!$A$1:$I$89,3,0)*VLOOKUP('Données projet'!$B$17,Paramètres!$A$1:$I$89,5,0)</f>
        <v>0</v>
      </c>
      <c r="GB157" s="14" t="e">
        <f t="shared" si="185"/>
        <v>#NUM!</v>
      </c>
      <c r="GC157" s="22" t="e">
        <f t="shared" si="186"/>
        <v>#NUM!</v>
      </c>
      <c r="GD157" s="62" t="e">
        <f t="shared" si="134"/>
        <v>#NUM!</v>
      </c>
      <c r="GE157" s="62">
        <f ca="1">AVERAGE(OFFSET($GD$3,0,0,'Données projet'!$E$17+1,1))-AVERAGE(OFFSET($H$3,0,0,'Données projet'!$E$17+1,1))</f>
        <v>324.4489531703187</v>
      </c>
      <c r="GF157" s="62">
        <f t="shared" si="158"/>
        <v>446.55019360848706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projet'!$B$17,Paramètres!$A$1:$I$89,3,0)*0.475*44/12</f>
        <v>0</v>
      </c>
      <c r="GM157" s="23">
        <f>EXP(-LN(2)/25)*GM156+(1-EXP(-LN(2)/25))/(LN(2)/25)*Calculateur!GH157*Calculateur!GJ157*VLOOKUP('Données projet'!$B$17,Paramètres!$A$1:$I$89,3,0)*0.475*44/12</f>
        <v>0</v>
      </c>
      <c r="GN157" s="23">
        <f>EXP(-LN(2)/2)*GN156+(1-EXP(-LN(2)/2))/(LN(2)/2)*GH157*GK157*VLOOKUP('Données projet'!$B$17,Paramètres!$A$1:$I$89,3,0)*0.475*44/12</f>
        <v>0</v>
      </c>
      <c r="GO157" s="23">
        <f t="shared" si="187"/>
        <v>0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1.7053025658242404E-13</v>
      </c>
      <c r="GV157" s="18">
        <f>GU157*VLOOKUP('Données projet'!$B$18,Paramètres!$A$1:$I$89,3,0)*VLOOKUP('Données projet'!$B$18,Paramètres!$A$1:$I$89,5,0)</f>
        <v>1.1439169611549005E-13</v>
      </c>
      <c r="GW157" s="14">
        <f t="shared" si="188"/>
        <v>1.6918016515029816E-12</v>
      </c>
      <c r="GX157" s="22">
        <f t="shared" si="189"/>
        <v>3.1457867471021712E-12</v>
      </c>
      <c r="GY157" s="62">
        <f t="shared" si="137"/>
        <v>293.33333333333644</v>
      </c>
      <c r="GZ157" s="62">
        <f ca="1">AVERAGE(OFFSET($GY$3,0,0,'Données projet'!$E$18+1,1))-AVERAGE(OFFSET($H$3,0,0,'Données projet'!$E$18+1,1))</f>
        <v>312.06797204903796</v>
      </c>
      <c r="HA157" s="62">
        <f t="shared" si="160"/>
        <v>258.20189001775151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>
        <f>EXP(-LN(2)/35)*HG156+(1-EXP(-LN(2)/35))/(LN(2)/35)*HC157*HD157*VLOOKUP('Données projet'!$B$18,Paramètres!$A$1:$I$89,3,0)*0.475*44/12</f>
        <v>0</v>
      </c>
      <c r="HH157" s="23">
        <f>EXP(-LN(2)/25)*HH156+(1-EXP(-LN(2)/25))/(LN(2)/25)*Calculateur!HC157*Calculateur!HE157*VLOOKUP('Données projet'!$B$18,Paramètres!$A$1:$I$89,3,0)*0.475*44/12</f>
        <v>0</v>
      </c>
      <c r="HI157" s="23">
        <f>EXP(-LN(2)/2)*HI156+(1-EXP(-LN(2)/2))/(LN(2)/2)*HC157*HF157*VLOOKUP('Données projet'!$B$18,Paramètres!$A$1:$I$89,3,0)*0.475*44/12</f>
        <v>0</v>
      </c>
      <c r="HJ157" s="24">
        <f t="shared" si="190"/>
        <v>0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5.1431925385259088E-14</v>
      </c>
      <c r="P158" s="14">
        <f t="shared" si="141"/>
        <v>8.3482866290946129E-13</v>
      </c>
      <c r="Q158" s="22">
        <f t="shared" si="162"/>
        <v>1.5435705246133045E-12</v>
      </c>
      <c r="R158" s="62">
        <f t="shared" si="109"/>
        <v>293.33333333333485</v>
      </c>
      <c r="S158" s="62">
        <f ca="1">AVERAGE(OFFSET($R$3,0,0,'Données projet'!$E$9+1,1))-AVERAGE(OFFSET($H$3,0,0,'Données projet'!$E$9+1,1))</f>
        <v>512.84819850818667</v>
      </c>
      <c r="T158" s="62">
        <f t="shared" si="142"/>
        <v>332.61387922152159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-5.6843418860808015E-14</v>
      </c>
      <c r="AJ158" s="14">
        <f>AI158*VLOOKUP('Données projet'!$B$10,Paramètres!$A$1:$I$89,3,0)*VLOOKUP('Données projet'!$B$10,Paramètres!$A$1:$I$89,5,0)</f>
        <v>-4.1677594708744434E-14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344.45199703750711</v>
      </c>
      <c r="AO158" s="62">
        <f t="shared" si="144"/>
        <v>376.41441893222185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5.6843418860808015E-14</v>
      </c>
      <c r="BE158" s="14">
        <f>BD158*VLOOKUP('Données projet'!$B$11,Paramètres!$A$1:$I$89,3,0)*VLOOKUP('Données projet'!$B$11,Paramètres!$A$1:$I$89,5,0)</f>
        <v>5.7639226724859328E-14</v>
      </c>
      <c r="BF158" s="14">
        <f t="shared" si="167"/>
        <v>9.2325701996134334E-13</v>
      </c>
      <c r="BG158" s="22">
        <f t="shared" si="168"/>
        <v>1.708394296311803E-12</v>
      </c>
      <c r="BH158" s="62">
        <f t="shared" si="116"/>
        <v>293.33333333333502</v>
      </c>
      <c r="BI158" s="62">
        <f ca="1">AVERAGE(OFFSET($BH$3,0,0,'Données projet'!$E$11+1,1))-AVERAGE(OFFSET($H$3,0,0,'Données projet'!$E$11+1,1))</f>
        <v>569.39473185784823</v>
      </c>
      <c r="BJ158" s="62">
        <f t="shared" si="146"/>
        <v>367.42881145517066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2.2737367544323206E-13</v>
      </c>
      <c r="BZ158" s="14">
        <f>BY158*VLOOKUP('Données projet'!$B$12,Paramètres!$A$1:$I$89,3,0)*VLOOKUP('Données projet'!$B$12,Paramètres!$A$1:$I$89,5,0)</f>
        <v>1.9508661353029313E-13</v>
      </c>
      <c r="CA158" s="14">
        <f t="shared" si="170"/>
        <v>2.711421636700695E-12</v>
      </c>
      <c r="CB158" s="22">
        <f t="shared" si="171"/>
        <v>5.0621685358189711E-12</v>
      </c>
      <c r="CC158" s="62">
        <f t="shared" si="119"/>
        <v>293.33333333333837</v>
      </c>
      <c r="CD158" s="62">
        <f ca="1">AVERAGE(OFFSET($CC$3,0,0,'Données projet'!$E$12+1,1))-AVERAGE(OFFSET($H$3,0,0,'Données projet'!$E$12+1,1))</f>
        <v>554.06253050955502</v>
      </c>
      <c r="CE158" s="62">
        <f t="shared" si="148"/>
        <v>269.71949336355789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1.1368683772161603E-13</v>
      </c>
      <c r="CU158" s="18">
        <f>CT158*VLOOKUP('Données projet'!$B$13,Paramètres!$A$1:$I$89,3,0)*VLOOKUP('Données projet'!$B$13,Paramètres!$A$1:$I$89,5,0)</f>
        <v>8.8675733422860506E-14</v>
      </c>
      <c r="CV158" s="14">
        <f t="shared" si="173"/>
        <v>1.3509285393066301E-12</v>
      </c>
      <c r="CW158" s="22">
        <f t="shared" si="174"/>
        <v>2.5073107750038623E-12</v>
      </c>
      <c r="CX158" s="62">
        <f t="shared" si="122"/>
        <v>293.33333333333582</v>
      </c>
      <c r="CY158" s="62">
        <f ca="1">AVERAGE(OFFSET($CX$3,0,0,'Données projet'!$E$13+1,1))-AVERAGE(OFFSET($H$3,0,0,'Données projet'!$E$13+1,1))</f>
        <v>292.21364130214391</v>
      </c>
      <c r="CZ158" s="62">
        <f t="shared" si="150"/>
        <v>283.48738729114024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5.6843418860808015E-14</v>
      </c>
      <c r="DP158" s="18">
        <f>DO158*VLOOKUP('Données projet'!$B$14,Paramètres!$A$1:$I$89,3,0)*VLOOKUP('Données projet'!$B$14,Paramètres!$A$1:$I$89,5,0)</f>
        <v>5.4092197387944907E-14</v>
      </c>
      <c r="DQ158" s="14">
        <f t="shared" si="176"/>
        <v>8.7287050538073676E-13</v>
      </c>
      <c r="DR158" s="22">
        <f t="shared" si="177"/>
        <v>1.6144600406554537E-12</v>
      </c>
      <c r="DS158" s="62">
        <f t="shared" si="125"/>
        <v>293.33333333333491</v>
      </c>
      <c r="DT158" s="62">
        <f ca="1">AVERAGE(OFFSET($DS$3,0,0,'Données projet'!$E$14+1,1))-AVERAGE(OFFSET($H$3,0,0,'Données projet'!$E$14+1,1))</f>
        <v>427.47603885390191</v>
      </c>
      <c r="DU158" s="62">
        <f t="shared" si="152"/>
        <v>350.88664394632116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-9.6633812063373625E-13</v>
      </c>
      <c r="EK158" s="18">
        <f>EJ158*VLOOKUP('Données projet'!$B$15,Paramètres!$A$1:$I$89,3,0)*VLOOKUP('Données projet'!$B$15,Paramètres!$A$1:$I$89,5,0)</f>
        <v>-9.3464223027694966E-13</v>
      </c>
      <c r="EL158" s="14" t="e">
        <f t="shared" si="179"/>
        <v>#NUM!</v>
      </c>
      <c r="EM158" s="22" t="e">
        <f t="shared" si="180"/>
        <v>#NUM!</v>
      </c>
      <c r="EN158" s="62" t="e">
        <f t="shared" si="128"/>
        <v>#NUM!</v>
      </c>
      <c r="EO158" s="62">
        <f ca="1">AVERAGE(OFFSET($EN$3,0,0,'Données projet'!$E$15+1,1))-AVERAGE(OFFSET($H$3,0,0,'Données projet'!$E$15+1,1))</f>
        <v>455.50822833641354</v>
      </c>
      <c r="EP158" s="62">
        <f t="shared" si="154"/>
        <v>261.14722581688039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243</v>
      </c>
      <c r="FF158" s="18">
        <f>FE158*VLOOKUP('Données projet'!$B$16,Paramètres!$A$1:$I$89,3,0)*VLOOKUP('Données projet'!$B$16,Paramètres!$A$1:$I$89,5,0)</f>
        <v>212.28480000000002</v>
      </c>
      <c r="FG158" s="14">
        <f t="shared" si="182"/>
        <v>52.434557099704193</v>
      </c>
      <c r="FH158" s="22">
        <f t="shared" si="183"/>
        <v>461.05288028198476</v>
      </c>
      <c r="FI158" s="62">
        <f t="shared" si="131"/>
        <v>754.38621361531807</v>
      </c>
      <c r="FJ158" s="62">
        <f ca="1">AVERAGE(OFFSET($FI$3,0,0,'Données projet'!$E$16+1,1))-AVERAGE(OFFSET($H$3,0,0,'Données projet'!$E$16+1,1))</f>
        <v>369.34989412920129</v>
      </c>
      <c r="FK158" s="62">
        <f t="shared" si="156"/>
        <v>371.26234252426553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0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>
        <f>FZ158*VLOOKUP('Données projet'!$B$17,Paramètres!$A$1:$I$89,3,0)*VLOOKUP('Données projet'!$B$17,Paramètres!$A$1:$I$89,5,0)</f>
        <v>0</v>
      </c>
      <c r="GB158" s="14" t="e">
        <f t="shared" si="185"/>
        <v>#NUM!</v>
      </c>
      <c r="GC158" s="22" t="e">
        <f t="shared" si="186"/>
        <v>#NUM!</v>
      </c>
      <c r="GD158" s="62" t="e">
        <f t="shared" si="134"/>
        <v>#NUM!</v>
      </c>
      <c r="GE158" s="62">
        <f ca="1">AVERAGE(OFFSET($GD$3,0,0,'Données projet'!$E$17+1,1))-AVERAGE(OFFSET($H$3,0,0,'Données projet'!$E$17+1,1))</f>
        <v>324.4489531703187</v>
      </c>
      <c r="GF158" s="62">
        <f t="shared" si="158"/>
        <v>446.55019360848706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projet'!$B$17,Paramètres!$A$1:$I$89,3,0)*0.475*44/12</f>
        <v>0</v>
      </c>
      <c r="GM158" s="23">
        <f>EXP(-LN(2)/25)*GM157+(1-EXP(-LN(2)/25))/(LN(2)/25)*Calculateur!GH158*Calculateur!GJ158*VLOOKUP('Données projet'!$B$17,Paramètres!$A$1:$I$89,3,0)*0.475*44/12</f>
        <v>0</v>
      </c>
      <c r="GN158" s="23">
        <f>EXP(-LN(2)/2)*GN157+(1-EXP(-LN(2)/2))/(LN(2)/2)*GH158*GK158*VLOOKUP('Données projet'!$B$17,Paramètres!$A$1:$I$89,3,0)*0.475*44/12</f>
        <v>0</v>
      </c>
      <c r="GO158" s="23">
        <f t="shared" si="187"/>
        <v>0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1.7053025658242404E-13</v>
      </c>
      <c r="GV158" s="18">
        <f>GU158*VLOOKUP('Données projet'!$B$18,Paramètres!$A$1:$I$89,3,0)*VLOOKUP('Données projet'!$B$18,Paramètres!$A$1:$I$89,5,0)</f>
        <v>1.1439169611549005E-13</v>
      </c>
      <c r="GW158" s="14">
        <f t="shared" si="188"/>
        <v>1.6918016515029816E-12</v>
      </c>
      <c r="GX158" s="22">
        <f t="shared" si="189"/>
        <v>3.1457867471021712E-12</v>
      </c>
      <c r="GY158" s="62">
        <f t="shared" si="137"/>
        <v>293.33333333333644</v>
      </c>
      <c r="GZ158" s="62">
        <f ca="1">AVERAGE(OFFSET($GY$3,0,0,'Données projet'!$E$18+1,1))-AVERAGE(OFFSET($H$3,0,0,'Données projet'!$E$18+1,1))</f>
        <v>312.06797204903796</v>
      </c>
      <c r="HA158" s="62">
        <f t="shared" si="160"/>
        <v>258.20189001775151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>
        <f>EXP(-LN(2)/35)*HG157+(1-EXP(-LN(2)/35))/(LN(2)/35)*HC158*HD158*VLOOKUP('Données projet'!$B$18,Paramètres!$A$1:$I$89,3,0)*0.475*44/12</f>
        <v>0</v>
      </c>
      <c r="HH158" s="23">
        <f>EXP(-LN(2)/25)*HH157+(1-EXP(-LN(2)/25))/(LN(2)/25)*Calculateur!HC158*Calculateur!HE158*VLOOKUP('Données projet'!$B$18,Paramètres!$A$1:$I$89,3,0)*0.475*44/12</f>
        <v>0</v>
      </c>
      <c r="HI158" s="23">
        <f>EXP(-LN(2)/2)*HI157+(1-EXP(-LN(2)/2))/(LN(2)/2)*HC158*HF158*VLOOKUP('Données projet'!$B$18,Paramètres!$A$1:$I$89,3,0)*0.475*44/12</f>
        <v>0</v>
      </c>
      <c r="HJ158" s="24">
        <f t="shared" si="190"/>
        <v>0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5.1431925385259088E-14</v>
      </c>
      <c r="P159" s="14">
        <f t="shared" si="141"/>
        <v>8.3482866290946129E-13</v>
      </c>
      <c r="Q159" s="22">
        <f t="shared" si="162"/>
        <v>1.5435705246133045E-12</v>
      </c>
      <c r="R159" s="62">
        <f t="shared" si="109"/>
        <v>293.33333333333485</v>
      </c>
      <c r="S159" s="62">
        <f ca="1">AVERAGE(OFFSET($R$3,0,0,'Données projet'!$E$9+1,1))-AVERAGE(OFFSET($H$3,0,0,'Données projet'!$E$9+1,1))</f>
        <v>512.84819850818667</v>
      </c>
      <c r="T159" s="62">
        <f t="shared" si="142"/>
        <v>332.61387922152159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-5.6843418860808015E-14</v>
      </c>
      <c r="AJ159" s="14">
        <f>AI159*VLOOKUP('Données projet'!$B$10,Paramètres!$A$1:$I$89,3,0)*VLOOKUP('Données projet'!$B$10,Paramètres!$A$1:$I$89,5,0)</f>
        <v>-4.1677594708744434E-14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344.45199703750711</v>
      </c>
      <c r="AO159" s="62">
        <f t="shared" si="144"/>
        <v>376.41441893222185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5.6843418860808015E-14</v>
      </c>
      <c r="BE159" s="14">
        <f>BD159*VLOOKUP('Données projet'!$B$11,Paramètres!$A$1:$I$89,3,0)*VLOOKUP('Données projet'!$B$11,Paramètres!$A$1:$I$89,5,0)</f>
        <v>5.7639226724859328E-14</v>
      </c>
      <c r="BF159" s="14">
        <f t="shared" si="167"/>
        <v>9.2325701996134334E-13</v>
      </c>
      <c r="BG159" s="22">
        <f t="shared" si="168"/>
        <v>1.708394296311803E-12</v>
      </c>
      <c r="BH159" s="62">
        <f t="shared" si="116"/>
        <v>293.33333333333502</v>
      </c>
      <c r="BI159" s="62">
        <f ca="1">AVERAGE(OFFSET($BH$3,0,0,'Données projet'!$E$11+1,1))-AVERAGE(OFFSET($H$3,0,0,'Données projet'!$E$11+1,1))</f>
        <v>569.39473185784823</v>
      </c>
      <c r="BJ159" s="62">
        <f t="shared" si="146"/>
        <v>367.42881145517066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2.2737367544323206E-13</v>
      </c>
      <c r="BZ159" s="14">
        <f>BY159*VLOOKUP('Données projet'!$B$12,Paramètres!$A$1:$I$89,3,0)*VLOOKUP('Données projet'!$B$12,Paramètres!$A$1:$I$89,5,0)</f>
        <v>1.9508661353029313E-13</v>
      </c>
      <c r="CA159" s="14">
        <f t="shared" si="170"/>
        <v>2.711421636700695E-12</v>
      </c>
      <c r="CB159" s="22">
        <f t="shared" si="171"/>
        <v>5.0621685358189711E-12</v>
      </c>
      <c r="CC159" s="62">
        <f t="shared" si="119"/>
        <v>293.33333333333837</v>
      </c>
      <c r="CD159" s="62">
        <f ca="1">AVERAGE(OFFSET($CC$3,0,0,'Données projet'!$E$12+1,1))-AVERAGE(OFFSET($H$3,0,0,'Données projet'!$E$12+1,1))</f>
        <v>554.06253050955502</v>
      </c>
      <c r="CE159" s="62">
        <f t="shared" si="148"/>
        <v>269.71949336355789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1.1368683772161603E-13</v>
      </c>
      <c r="CU159" s="18">
        <f>CT159*VLOOKUP('Données projet'!$B$13,Paramètres!$A$1:$I$89,3,0)*VLOOKUP('Données projet'!$B$13,Paramètres!$A$1:$I$89,5,0)</f>
        <v>8.8675733422860506E-14</v>
      </c>
      <c r="CV159" s="14">
        <f t="shared" si="173"/>
        <v>1.3509285393066301E-12</v>
      </c>
      <c r="CW159" s="22">
        <f t="shared" si="174"/>
        <v>2.5073107750038623E-12</v>
      </c>
      <c r="CX159" s="62">
        <f t="shared" si="122"/>
        <v>293.33333333333582</v>
      </c>
      <c r="CY159" s="62">
        <f ca="1">AVERAGE(OFFSET($CX$3,0,0,'Données projet'!$E$13+1,1))-AVERAGE(OFFSET($H$3,0,0,'Données projet'!$E$13+1,1))</f>
        <v>292.21364130214391</v>
      </c>
      <c r="CZ159" s="62">
        <f t="shared" si="150"/>
        <v>283.48738729114024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5.6843418860808015E-14</v>
      </c>
      <c r="DP159" s="18">
        <f>DO159*VLOOKUP('Données projet'!$B$14,Paramètres!$A$1:$I$89,3,0)*VLOOKUP('Données projet'!$B$14,Paramètres!$A$1:$I$89,5,0)</f>
        <v>5.4092197387944907E-14</v>
      </c>
      <c r="DQ159" s="14">
        <f t="shared" si="176"/>
        <v>8.7287050538073676E-13</v>
      </c>
      <c r="DR159" s="22">
        <f t="shared" si="177"/>
        <v>1.6144600406554537E-12</v>
      </c>
      <c r="DS159" s="62">
        <f t="shared" si="125"/>
        <v>293.33333333333491</v>
      </c>
      <c r="DT159" s="62">
        <f ca="1">AVERAGE(OFFSET($DS$3,0,0,'Données projet'!$E$14+1,1))-AVERAGE(OFFSET($H$3,0,0,'Données projet'!$E$14+1,1))</f>
        <v>427.47603885390191</v>
      </c>
      <c r="DU159" s="62">
        <f t="shared" si="152"/>
        <v>350.88664394632116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-9.6633812063373625E-13</v>
      </c>
      <c r="EK159" s="18">
        <f>EJ159*VLOOKUP('Données projet'!$B$15,Paramètres!$A$1:$I$89,3,0)*VLOOKUP('Données projet'!$B$15,Paramètres!$A$1:$I$89,5,0)</f>
        <v>-9.3464223027694966E-13</v>
      </c>
      <c r="EL159" s="14" t="e">
        <f t="shared" si="179"/>
        <v>#NUM!</v>
      </c>
      <c r="EM159" s="22" t="e">
        <f t="shared" si="180"/>
        <v>#NUM!</v>
      </c>
      <c r="EN159" s="62" t="e">
        <f t="shared" si="128"/>
        <v>#NUM!</v>
      </c>
      <c r="EO159" s="62">
        <f ca="1">AVERAGE(OFFSET($EN$3,0,0,'Données projet'!$E$15+1,1))-AVERAGE(OFFSET($H$3,0,0,'Données projet'!$E$15+1,1))</f>
        <v>455.50822833641354</v>
      </c>
      <c r="EP159" s="62">
        <f t="shared" si="154"/>
        <v>261.14722581688039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243</v>
      </c>
      <c r="FF159" s="18">
        <f>FE159*VLOOKUP('Données projet'!$B$16,Paramètres!$A$1:$I$89,3,0)*VLOOKUP('Données projet'!$B$16,Paramètres!$A$1:$I$89,5,0)</f>
        <v>212.28480000000002</v>
      </c>
      <c r="FG159" s="14">
        <f t="shared" si="182"/>
        <v>52.434557099704193</v>
      </c>
      <c r="FH159" s="22">
        <f t="shared" si="183"/>
        <v>461.05288028198476</v>
      </c>
      <c r="FI159" s="62">
        <f t="shared" si="131"/>
        <v>754.38621361531807</v>
      </c>
      <c r="FJ159" s="62">
        <f ca="1">AVERAGE(OFFSET($FI$3,0,0,'Données projet'!$E$16+1,1))-AVERAGE(OFFSET($H$3,0,0,'Données projet'!$E$16+1,1))</f>
        <v>369.34989412920129</v>
      </c>
      <c r="FK159" s="62">
        <f t="shared" si="156"/>
        <v>371.26234252426553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0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>
        <f>FZ159*VLOOKUP('Données projet'!$B$17,Paramètres!$A$1:$I$89,3,0)*VLOOKUP('Données projet'!$B$17,Paramètres!$A$1:$I$89,5,0)</f>
        <v>0</v>
      </c>
      <c r="GB159" s="14" t="e">
        <f t="shared" si="185"/>
        <v>#NUM!</v>
      </c>
      <c r="GC159" s="22" t="e">
        <f t="shared" si="186"/>
        <v>#NUM!</v>
      </c>
      <c r="GD159" s="62" t="e">
        <f t="shared" si="134"/>
        <v>#NUM!</v>
      </c>
      <c r="GE159" s="62">
        <f ca="1">AVERAGE(OFFSET($GD$3,0,0,'Données projet'!$E$17+1,1))-AVERAGE(OFFSET($H$3,0,0,'Données projet'!$E$17+1,1))</f>
        <v>324.4489531703187</v>
      </c>
      <c r="GF159" s="62">
        <f t="shared" si="158"/>
        <v>446.55019360848706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projet'!$B$17,Paramètres!$A$1:$I$89,3,0)*0.475*44/12</f>
        <v>0</v>
      </c>
      <c r="GM159" s="23">
        <f>EXP(-LN(2)/25)*GM158+(1-EXP(-LN(2)/25))/(LN(2)/25)*Calculateur!GH159*Calculateur!GJ159*VLOOKUP('Données projet'!$B$17,Paramètres!$A$1:$I$89,3,0)*0.475*44/12</f>
        <v>0</v>
      </c>
      <c r="GN159" s="23">
        <f>EXP(-LN(2)/2)*GN158+(1-EXP(-LN(2)/2))/(LN(2)/2)*GH159*GK159*VLOOKUP('Données projet'!$B$17,Paramètres!$A$1:$I$89,3,0)*0.475*44/12</f>
        <v>0</v>
      </c>
      <c r="GO159" s="23">
        <f t="shared" si="187"/>
        <v>0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1.7053025658242404E-13</v>
      </c>
      <c r="GV159" s="18">
        <f>GU159*VLOOKUP('Données projet'!$B$18,Paramètres!$A$1:$I$89,3,0)*VLOOKUP('Données projet'!$B$18,Paramètres!$A$1:$I$89,5,0)</f>
        <v>1.1439169611549005E-13</v>
      </c>
      <c r="GW159" s="14">
        <f t="shared" si="188"/>
        <v>1.6918016515029816E-12</v>
      </c>
      <c r="GX159" s="22">
        <f t="shared" si="189"/>
        <v>3.1457867471021712E-12</v>
      </c>
      <c r="GY159" s="62">
        <f t="shared" si="137"/>
        <v>293.33333333333644</v>
      </c>
      <c r="GZ159" s="62">
        <f ca="1">AVERAGE(OFFSET($GY$3,0,0,'Données projet'!$E$18+1,1))-AVERAGE(OFFSET($H$3,0,0,'Données projet'!$E$18+1,1))</f>
        <v>312.06797204903796</v>
      </c>
      <c r="HA159" s="62">
        <f t="shared" si="160"/>
        <v>258.20189001775151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>
        <f>EXP(-LN(2)/35)*HG158+(1-EXP(-LN(2)/35))/(LN(2)/35)*HC159*HD159*VLOOKUP('Données projet'!$B$18,Paramètres!$A$1:$I$89,3,0)*0.475*44/12</f>
        <v>0</v>
      </c>
      <c r="HH159" s="23">
        <f>EXP(-LN(2)/25)*HH158+(1-EXP(-LN(2)/25))/(LN(2)/25)*Calculateur!HC159*Calculateur!HE159*VLOOKUP('Données projet'!$B$18,Paramètres!$A$1:$I$89,3,0)*0.475*44/12</f>
        <v>0</v>
      </c>
      <c r="HI159" s="23">
        <f>EXP(-LN(2)/2)*HI158+(1-EXP(-LN(2)/2))/(LN(2)/2)*HC159*HF159*VLOOKUP('Données projet'!$B$18,Paramètres!$A$1:$I$89,3,0)*0.475*44/12</f>
        <v>0</v>
      </c>
      <c r="HJ159" s="24">
        <f t="shared" si="190"/>
        <v>0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5.1431925385259088E-14</v>
      </c>
      <c r="P160" s="14">
        <f t="shared" si="141"/>
        <v>8.3482866290946129E-13</v>
      </c>
      <c r="Q160" s="22">
        <f t="shared" si="162"/>
        <v>1.5435705246133045E-12</v>
      </c>
      <c r="R160" s="62">
        <f t="shared" si="109"/>
        <v>293.33333333333485</v>
      </c>
      <c r="S160" s="62">
        <f ca="1">AVERAGE(OFFSET($R$3,0,0,'Données projet'!$E$9+1,1))-AVERAGE(OFFSET($H$3,0,0,'Données projet'!$E$9+1,1))</f>
        <v>512.84819850818667</v>
      </c>
      <c r="T160" s="62">
        <f t="shared" si="142"/>
        <v>332.61387922152159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-5.6843418860808015E-14</v>
      </c>
      <c r="AJ160" s="14">
        <f>AI160*VLOOKUP('Données projet'!$B$10,Paramètres!$A$1:$I$89,3,0)*VLOOKUP('Données projet'!$B$10,Paramètres!$A$1:$I$89,5,0)</f>
        <v>-4.1677594708744434E-14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344.45199703750711</v>
      </c>
      <c r="AO160" s="62">
        <f t="shared" si="144"/>
        <v>376.41441893222185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5.6843418860808015E-14</v>
      </c>
      <c r="BE160" s="14">
        <f>BD160*VLOOKUP('Données projet'!$B$11,Paramètres!$A$1:$I$89,3,0)*VLOOKUP('Données projet'!$B$11,Paramètres!$A$1:$I$89,5,0)</f>
        <v>5.7639226724859328E-14</v>
      </c>
      <c r="BF160" s="14">
        <f t="shared" si="167"/>
        <v>9.2325701996134334E-13</v>
      </c>
      <c r="BG160" s="22">
        <f t="shared" si="168"/>
        <v>1.708394296311803E-12</v>
      </c>
      <c r="BH160" s="62">
        <f t="shared" si="116"/>
        <v>293.33333333333502</v>
      </c>
      <c r="BI160" s="62">
        <f ca="1">AVERAGE(OFFSET($BH$3,0,0,'Données projet'!$E$11+1,1))-AVERAGE(OFFSET($H$3,0,0,'Données projet'!$E$11+1,1))</f>
        <v>569.39473185784823</v>
      </c>
      <c r="BJ160" s="62">
        <f t="shared" si="146"/>
        <v>367.42881145517066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2.2737367544323206E-13</v>
      </c>
      <c r="BZ160" s="14">
        <f>BY160*VLOOKUP('Données projet'!$B$12,Paramètres!$A$1:$I$89,3,0)*VLOOKUP('Données projet'!$B$12,Paramètres!$A$1:$I$89,5,0)</f>
        <v>1.9508661353029313E-13</v>
      </c>
      <c r="CA160" s="14">
        <f t="shared" si="170"/>
        <v>2.711421636700695E-12</v>
      </c>
      <c r="CB160" s="22">
        <f t="shared" si="171"/>
        <v>5.0621685358189711E-12</v>
      </c>
      <c r="CC160" s="62">
        <f t="shared" si="119"/>
        <v>293.33333333333837</v>
      </c>
      <c r="CD160" s="62">
        <f ca="1">AVERAGE(OFFSET($CC$3,0,0,'Données projet'!$E$12+1,1))-AVERAGE(OFFSET($H$3,0,0,'Données projet'!$E$12+1,1))</f>
        <v>554.06253050955502</v>
      </c>
      <c r="CE160" s="62">
        <f t="shared" si="148"/>
        <v>269.71949336355789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1.1368683772161603E-13</v>
      </c>
      <c r="CU160" s="18">
        <f>CT160*VLOOKUP('Données projet'!$B$13,Paramètres!$A$1:$I$89,3,0)*VLOOKUP('Données projet'!$B$13,Paramètres!$A$1:$I$89,5,0)</f>
        <v>8.8675733422860506E-14</v>
      </c>
      <c r="CV160" s="14">
        <f t="shared" si="173"/>
        <v>1.3509285393066301E-12</v>
      </c>
      <c r="CW160" s="22">
        <f t="shared" si="174"/>
        <v>2.5073107750038623E-12</v>
      </c>
      <c r="CX160" s="62">
        <f t="shared" si="122"/>
        <v>293.33333333333582</v>
      </c>
      <c r="CY160" s="62">
        <f ca="1">AVERAGE(OFFSET($CX$3,0,0,'Données projet'!$E$13+1,1))-AVERAGE(OFFSET($H$3,0,0,'Données projet'!$E$13+1,1))</f>
        <v>292.21364130214391</v>
      </c>
      <c r="CZ160" s="62">
        <f t="shared" si="150"/>
        <v>283.48738729114024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5.6843418860808015E-14</v>
      </c>
      <c r="DP160" s="18">
        <f>DO160*VLOOKUP('Données projet'!$B$14,Paramètres!$A$1:$I$89,3,0)*VLOOKUP('Données projet'!$B$14,Paramètres!$A$1:$I$89,5,0)</f>
        <v>5.4092197387944907E-14</v>
      </c>
      <c r="DQ160" s="14">
        <f t="shared" si="176"/>
        <v>8.7287050538073676E-13</v>
      </c>
      <c r="DR160" s="22">
        <f t="shared" si="177"/>
        <v>1.6144600406554537E-12</v>
      </c>
      <c r="DS160" s="62">
        <f t="shared" si="125"/>
        <v>293.33333333333491</v>
      </c>
      <c r="DT160" s="62">
        <f ca="1">AVERAGE(OFFSET($DS$3,0,0,'Données projet'!$E$14+1,1))-AVERAGE(OFFSET($H$3,0,0,'Données projet'!$E$14+1,1))</f>
        <v>427.47603885390191</v>
      </c>
      <c r="DU160" s="62">
        <f t="shared" si="152"/>
        <v>350.88664394632116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-9.6633812063373625E-13</v>
      </c>
      <c r="EK160" s="18">
        <f>EJ160*VLOOKUP('Données projet'!$B$15,Paramètres!$A$1:$I$89,3,0)*VLOOKUP('Données projet'!$B$15,Paramètres!$A$1:$I$89,5,0)</f>
        <v>-9.3464223027694966E-13</v>
      </c>
      <c r="EL160" s="14" t="e">
        <f t="shared" si="179"/>
        <v>#NUM!</v>
      </c>
      <c r="EM160" s="22" t="e">
        <f t="shared" si="180"/>
        <v>#NUM!</v>
      </c>
      <c r="EN160" s="62" t="e">
        <f t="shared" si="128"/>
        <v>#NUM!</v>
      </c>
      <c r="EO160" s="62">
        <f ca="1">AVERAGE(OFFSET($EN$3,0,0,'Données projet'!$E$15+1,1))-AVERAGE(OFFSET($H$3,0,0,'Données projet'!$E$15+1,1))</f>
        <v>455.50822833641354</v>
      </c>
      <c r="EP160" s="62">
        <f t="shared" si="154"/>
        <v>261.14722581688039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243</v>
      </c>
      <c r="FF160" s="18">
        <f>FE160*VLOOKUP('Données projet'!$B$16,Paramètres!$A$1:$I$89,3,0)*VLOOKUP('Données projet'!$B$16,Paramètres!$A$1:$I$89,5,0)</f>
        <v>212.28480000000002</v>
      </c>
      <c r="FG160" s="14">
        <f t="shared" si="182"/>
        <v>52.434557099704193</v>
      </c>
      <c r="FH160" s="22">
        <f t="shared" si="183"/>
        <v>461.05288028198476</v>
      </c>
      <c r="FI160" s="62">
        <f t="shared" si="131"/>
        <v>754.38621361531807</v>
      </c>
      <c r="FJ160" s="62">
        <f ca="1">AVERAGE(OFFSET($FI$3,0,0,'Données projet'!$E$16+1,1))-AVERAGE(OFFSET($H$3,0,0,'Données projet'!$E$16+1,1))</f>
        <v>369.34989412920129</v>
      </c>
      <c r="FK160" s="62">
        <f t="shared" si="156"/>
        <v>371.26234252426553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0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>
        <f>FZ160*VLOOKUP('Données projet'!$B$17,Paramètres!$A$1:$I$89,3,0)*VLOOKUP('Données projet'!$B$17,Paramètres!$A$1:$I$89,5,0)</f>
        <v>0</v>
      </c>
      <c r="GB160" s="14" t="e">
        <f t="shared" si="185"/>
        <v>#NUM!</v>
      </c>
      <c r="GC160" s="22" t="e">
        <f t="shared" si="186"/>
        <v>#NUM!</v>
      </c>
      <c r="GD160" s="62" t="e">
        <f t="shared" si="134"/>
        <v>#NUM!</v>
      </c>
      <c r="GE160" s="62">
        <f ca="1">AVERAGE(OFFSET($GD$3,0,0,'Données projet'!$E$17+1,1))-AVERAGE(OFFSET($H$3,0,0,'Données projet'!$E$17+1,1))</f>
        <v>324.4489531703187</v>
      </c>
      <c r="GF160" s="62">
        <f t="shared" si="158"/>
        <v>446.55019360848706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projet'!$B$17,Paramètres!$A$1:$I$89,3,0)*0.475*44/12</f>
        <v>0</v>
      </c>
      <c r="GM160" s="23">
        <f>EXP(-LN(2)/25)*GM159+(1-EXP(-LN(2)/25))/(LN(2)/25)*Calculateur!GH160*Calculateur!GJ160*VLOOKUP('Données projet'!$B$17,Paramètres!$A$1:$I$89,3,0)*0.475*44/12</f>
        <v>0</v>
      </c>
      <c r="GN160" s="23">
        <f>EXP(-LN(2)/2)*GN159+(1-EXP(-LN(2)/2))/(LN(2)/2)*GH160*GK160*VLOOKUP('Données projet'!$B$17,Paramètres!$A$1:$I$89,3,0)*0.475*44/12</f>
        <v>0</v>
      </c>
      <c r="GO160" s="23">
        <f t="shared" si="187"/>
        <v>0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1.7053025658242404E-13</v>
      </c>
      <c r="GV160" s="18">
        <f>GU160*VLOOKUP('Données projet'!$B$18,Paramètres!$A$1:$I$89,3,0)*VLOOKUP('Données projet'!$B$18,Paramètres!$A$1:$I$89,5,0)</f>
        <v>1.1439169611549005E-13</v>
      </c>
      <c r="GW160" s="14">
        <f t="shared" si="188"/>
        <v>1.6918016515029816E-12</v>
      </c>
      <c r="GX160" s="22">
        <f t="shared" si="189"/>
        <v>3.1457867471021712E-12</v>
      </c>
      <c r="GY160" s="62">
        <f t="shared" si="137"/>
        <v>293.33333333333644</v>
      </c>
      <c r="GZ160" s="62">
        <f ca="1">AVERAGE(OFFSET($GY$3,0,0,'Données projet'!$E$18+1,1))-AVERAGE(OFFSET($H$3,0,0,'Données projet'!$E$18+1,1))</f>
        <v>312.06797204903796</v>
      </c>
      <c r="HA160" s="62">
        <f t="shared" si="160"/>
        <v>258.20189001775151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>
        <f>EXP(-LN(2)/35)*HG159+(1-EXP(-LN(2)/35))/(LN(2)/35)*HC160*HD160*VLOOKUP('Données projet'!$B$18,Paramètres!$A$1:$I$89,3,0)*0.475*44/12</f>
        <v>0</v>
      </c>
      <c r="HH160" s="23">
        <f>EXP(-LN(2)/25)*HH159+(1-EXP(-LN(2)/25))/(LN(2)/25)*Calculateur!HC160*Calculateur!HE160*VLOOKUP('Données projet'!$B$18,Paramètres!$A$1:$I$89,3,0)*0.475*44/12</f>
        <v>0</v>
      </c>
      <c r="HI160" s="23">
        <f>EXP(-LN(2)/2)*HI159+(1-EXP(-LN(2)/2))/(LN(2)/2)*HC160*HF160*VLOOKUP('Données projet'!$B$18,Paramètres!$A$1:$I$89,3,0)*0.475*44/12</f>
        <v>0</v>
      </c>
      <c r="HJ160" s="24">
        <f t="shared" si="190"/>
        <v>0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5.1431925385259088E-14</v>
      </c>
      <c r="P161" s="14">
        <f t="shared" si="141"/>
        <v>8.3482866290946129E-13</v>
      </c>
      <c r="Q161" s="22">
        <f t="shared" si="162"/>
        <v>1.5435705246133045E-12</v>
      </c>
      <c r="R161" s="62">
        <f t="shared" si="109"/>
        <v>293.33333333333485</v>
      </c>
      <c r="S161" s="62">
        <f ca="1">AVERAGE(OFFSET($R$3,0,0,'Données projet'!$E$9+1,1))-AVERAGE(OFFSET($H$3,0,0,'Données projet'!$E$9+1,1))</f>
        <v>512.84819850818667</v>
      </c>
      <c r="T161" s="62">
        <f t="shared" si="142"/>
        <v>332.61387922152159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-5.6843418860808015E-14</v>
      </c>
      <c r="AJ161" s="14">
        <f>AI161*VLOOKUP('Données projet'!$B$10,Paramètres!$A$1:$I$89,3,0)*VLOOKUP('Données projet'!$B$10,Paramètres!$A$1:$I$89,5,0)</f>
        <v>-4.1677594708744434E-14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344.45199703750711</v>
      </c>
      <c r="AO161" s="62">
        <f t="shared" si="144"/>
        <v>376.41441893222185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5.6843418860808015E-14</v>
      </c>
      <c r="BE161" s="14">
        <f>BD161*VLOOKUP('Données projet'!$B$11,Paramètres!$A$1:$I$89,3,0)*VLOOKUP('Données projet'!$B$11,Paramètres!$A$1:$I$89,5,0)</f>
        <v>5.7639226724859328E-14</v>
      </c>
      <c r="BF161" s="14">
        <f t="shared" si="167"/>
        <v>9.2325701996134334E-13</v>
      </c>
      <c r="BG161" s="22">
        <f t="shared" si="168"/>
        <v>1.708394296311803E-12</v>
      </c>
      <c r="BH161" s="62">
        <f t="shared" si="116"/>
        <v>293.33333333333502</v>
      </c>
      <c r="BI161" s="62">
        <f ca="1">AVERAGE(OFFSET($BH$3,0,0,'Données projet'!$E$11+1,1))-AVERAGE(OFFSET($H$3,0,0,'Données projet'!$E$11+1,1))</f>
        <v>569.39473185784823</v>
      </c>
      <c r="BJ161" s="62">
        <f t="shared" si="146"/>
        <v>367.42881145517066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2.2737367544323206E-13</v>
      </c>
      <c r="BZ161" s="14">
        <f>BY161*VLOOKUP('Données projet'!$B$12,Paramètres!$A$1:$I$89,3,0)*VLOOKUP('Données projet'!$B$12,Paramètres!$A$1:$I$89,5,0)</f>
        <v>1.9508661353029313E-13</v>
      </c>
      <c r="CA161" s="14">
        <f t="shared" si="170"/>
        <v>2.711421636700695E-12</v>
      </c>
      <c r="CB161" s="22">
        <f t="shared" si="171"/>
        <v>5.0621685358189711E-12</v>
      </c>
      <c r="CC161" s="62">
        <f t="shared" si="119"/>
        <v>293.33333333333837</v>
      </c>
      <c r="CD161" s="62">
        <f ca="1">AVERAGE(OFFSET($CC$3,0,0,'Données projet'!$E$12+1,1))-AVERAGE(OFFSET($H$3,0,0,'Données projet'!$E$12+1,1))</f>
        <v>554.06253050955502</v>
      </c>
      <c r="CE161" s="62">
        <f t="shared" si="148"/>
        <v>269.71949336355789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1.1368683772161603E-13</v>
      </c>
      <c r="CU161" s="18">
        <f>CT161*VLOOKUP('Données projet'!$B$13,Paramètres!$A$1:$I$89,3,0)*VLOOKUP('Données projet'!$B$13,Paramètres!$A$1:$I$89,5,0)</f>
        <v>8.8675733422860506E-14</v>
      </c>
      <c r="CV161" s="14">
        <f t="shared" si="173"/>
        <v>1.3509285393066301E-12</v>
      </c>
      <c r="CW161" s="22">
        <f t="shared" si="174"/>
        <v>2.5073107750038623E-12</v>
      </c>
      <c r="CX161" s="62">
        <f t="shared" si="122"/>
        <v>293.33333333333582</v>
      </c>
      <c r="CY161" s="62">
        <f ca="1">AVERAGE(OFFSET($CX$3,0,0,'Données projet'!$E$13+1,1))-AVERAGE(OFFSET($H$3,0,0,'Données projet'!$E$13+1,1))</f>
        <v>292.21364130214391</v>
      </c>
      <c r="CZ161" s="62">
        <f t="shared" si="150"/>
        <v>283.48738729114024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5.6843418860808015E-14</v>
      </c>
      <c r="DP161" s="18">
        <f>DO161*VLOOKUP('Données projet'!$B$14,Paramètres!$A$1:$I$89,3,0)*VLOOKUP('Données projet'!$B$14,Paramètres!$A$1:$I$89,5,0)</f>
        <v>5.4092197387944907E-14</v>
      </c>
      <c r="DQ161" s="14">
        <f t="shared" si="176"/>
        <v>8.7287050538073676E-13</v>
      </c>
      <c r="DR161" s="22">
        <f t="shared" si="177"/>
        <v>1.6144600406554537E-12</v>
      </c>
      <c r="DS161" s="62">
        <f t="shared" si="125"/>
        <v>293.33333333333491</v>
      </c>
      <c r="DT161" s="62">
        <f ca="1">AVERAGE(OFFSET($DS$3,0,0,'Données projet'!$E$14+1,1))-AVERAGE(OFFSET($H$3,0,0,'Données projet'!$E$14+1,1))</f>
        <v>427.47603885390191</v>
      </c>
      <c r="DU161" s="62">
        <f t="shared" si="152"/>
        <v>350.88664394632116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-9.6633812063373625E-13</v>
      </c>
      <c r="EK161" s="18">
        <f>EJ161*VLOOKUP('Données projet'!$B$15,Paramètres!$A$1:$I$89,3,0)*VLOOKUP('Données projet'!$B$15,Paramètres!$A$1:$I$89,5,0)</f>
        <v>-9.3464223027694966E-13</v>
      </c>
      <c r="EL161" s="14" t="e">
        <f t="shared" si="179"/>
        <v>#NUM!</v>
      </c>
      <c r="EM161" s="22" t="e">
        <f t="shared" si="180"/>
        <v>#NUM!</v>
      </c>
      <c r="EN161" s="62" t="e">
        <f t="shared" si="128"/>
        <v>#NUM!</v>
      </c>
      <c r="EO161" s="62">
        <f ca="1">AVERAGE(OFFSET($EN$3,0,0,'Données projet'!$E$15+1,1))-AVERAGE(OFFSET($H$3,0,0,'Données projet'!$E$15+1,1))</f>
        <v>455.50822833641354</v>
      </c>
      <c r="EP161" s="62">
        <f t="shared" si="154"/>
        <v>261.14722581688039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243</v>
      </c>
      <c r="FF161" s="18">
        <f>FE161*VLOOKUP('Données projet'!$B$16,Paramètres!$A$1:$I$89,3,0)*VLOOKUP('Données projet'!$B$16,Paramètres!$A$1:$I$89,5,0)</f>
        <v>212.28480000000002</v>
      </c>
      <c r="FG161" s="14">
        <f t="shared" si="182"/>
        <v>52.434557099704193</v>
      </c>
      <c r="FH161" s="22">
        <f t="shared" si="183"/>
        <v>461.05288028198476</v>
      </c>
      <c r="FI161" s="62">
        <f t="shared" si="131"/>
        <v>754.38621361531807</v>
      </c>
      <c r="FJ161" s="62">
        <f ca="1">AVERAGE(OFFSET($FI$3,0,0,'Données projet'!$E$16+1,1))-AVERAGE(OFFSET($H$3,0,0,'Données projet'!$E$16+1,1))</f>
        <v>369.34989412920129</v>
      </c>
      <c r="FK161" s="62">
        <f t="shared" si="156"/>
        <v>371.26234252426553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0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>
        <f>FZ161*VLOOKUP('Données projet'!$B$17,Paramètres!$A$1:$I$89,3,0)*VLOOKUP('Données projet'!$B$17,Paramètres!$A$1:$I$89,5,0)</f>
        <v>0</v>
      </c>
      <c r="GB161" s="14" t="e">
        <f t="shared" si="185"/>
        <v>#NUM!</v>
      </c>
      <c r="GC161" s="22" t="e">
        <f t="shared" si="186"/>
        <v>#NUM!</v>
      </c>
      <c r="GD161" s="62" t="e">
        <f t="shared" si="134"/>
        <v>#NUM!</v>
      </c>
      <c r="GE161" s="62">
        <f ca="1">AVERAGE(OFFSET($GD$3,0,0,'Données projet'!$E$17+1,1))-AVERAGE(OFFSET($H$3,0,0,'Données projet'!$E$17+1,1))</f>
        <v>324.4489531703187</v>
      </c>
      <c r="GF161" s="62">
        <f t="shared" si="158"/>
        <v>446.55019360848706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projet'!$B$17,Paramètres!$A$1:$I$89,3,0)*0.475*44/12</f>
        <v>0</v>
      </c>
      <c r="GM161" s="23">
        <f>EXP(-LN(2)/25)*GM160+(1-EXP(-LN(2)/25))/(LN(2)/25)*Calculateur!GH161*Calculateur!GJ161*VLOOKUP('Données projet'!$B$17,Paramètres!$A$1:$I$89,3,0)*0.475*44/12</f>
        <v>0</v>
      </c>
      <c r="GN161" s="23">
        <f>EXP(-LN(2)/2)*GN160+(1-EXP(-LN(2)/2))/(LN(2)/2)*GH161*GK161*VLOOKUP('Données projet'!$B$17,Paramètres!$A$1:$I$89,3,0)*0.475*44/12</f>
        <v>0</v>
      </c>
      <c r="GO161" s="23">
        <f t="shared" si="187"/>
        <v>0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1.7053025658242404E-13</v>
      </c>
      <c r="GV161" s="18">
        <f>GU161*VLOOKUP('Données projet'!$B$18,Paramètres!$A$1:$I$89,3,0)*VLOOKUP('Données projet'!$B$18,Paramètres!$A$1:$I$89,5,0)</f>
        <v>1.1439169611549005E-13</v>
      </c>
      <c r="GW161" s="14">
        <f t="shared" si="188"/>
        <v>1.6918016515029816E-12</v>
      </c>
      <c r="GX161" s="22">
        <f t="shared" si="189"/>
        <v>3.1457867471021712E-12</v>
      </c>
      <c r="GY161" s="62">
        <f t="shared" si="137"/>
        <v>293.33333333333644</v>
      </c>
      <c r="GZ161" s="62">
        <f ca="1">AVERAGE(OFFSET($GY$3,0,0,'Données projet'!$E$18+1,1))-AVERAGE(OFFSET($H$3,0,0,'Données projet'!$E$18+1,1))</f>
        <v>312.06797204903796</v>
      </c>
      <c r="HA161" s="62">
        <f t="shared" si="160"/>
        <v>258.20189001775151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>
        <f>EXP(-LN(2)/35)*HG160+(1-EXP(-LN(2)/35))/(LN(2)/35)*HC161*HD161*VLOOKUP('Données projet'!$B$18,Paramètres!$A$1:$I$89,3,0)*0.475*44/12</f>
        <v>0</v>
      </c>
      <c r="HH161" s="23">
        <f>EXP(-LN(2)/25)*HH160+(1-EXP(-LN(2)/25))/(LN(2)/25)*Calculateur!HC161*Calculateur!HE161*VLOOKUP('Données projet'!$B$18,Paramètres!$A$1:$I$89,3,0)*0.475*44/12</f>
        <v>0</v>
      </c>
      <c r="HI161" s="23">
        <f>EXP(-LN(2)/2)*HI160+(1-EXP(-LN(2)/2))/(LN(2)/2)*HC161*HF161*VLOOKUP('Données projet'!$B$18,Paramètres!$A$1:$I$89,3,0)*0.475*44/12</f>
        <v>0</v>
      </c>
      <c r="HJ161" s="24">
        <f t="shared" si="190"/>
        <v>0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5.1431925385259088E-14</v>
      </c>
      <c r="P162" s="14">
        <f t="shared" si="141"/>
        <v>8.3482866290946129E-13</v>
      </c>
      <c r="Q162" s="22">
        <f t="shared" si="162"/>
        <v>1.5435705246133045E-12</v>
      </c>
      <c r="R162" s="62">
        <f t="shared" si="109"/>
        <v>293.33333333333485</v>
      </c>
      <c r="S162" s="62">
        <f ca="1">AVERAGE(OFFSET($R$3,0,0,'Données projet'!$E$9+1,1))-AVERAGE(OFFSET($H$3,0,0,'Données projet'!$E$9+1,1))</f>
        <v>512.84819850818667</v>
      </c>
      <c r="T162" s="62">
        <f t="shared" si="142"/>
        <v>332.61387922152159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-5.6843418860808015E-14</v>
      </c>
      <c r="AJ162" s="14">
        <f>AI162*VLOOKUP('Données projet'!$B$10,Paramètres!$A$1:$I$89,3,0)*VLOOKUP('Données projet'!$B$10,Paramètres!$A$1:$I$89,5,0)</f>
        <v>-4.1677594708744434E-14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344.45199703750711</v>
      </c>
      <c r="AO162" s="62">
        <f t="shared" si="144"/>
        <v>376.41441893222185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5.6843418860808015E-14</v>
      </c>
      <c r="BE162" s="14">
        <f>BD162*VLOOKUP('Données projet'!$B$11,Paramètres!$A$1:$I$89,3,0)*VLOOKUP('Données projet'!$B$11,Paramètres!$A$1:$I$89,5,0)</f>
        <v>5.7639226724859328E-14</v>
      </c>
      <c r="BF162" s="14">
        <f t="shared" si="167"/>
        <v>9.2325701996134334E-13</v>
      </c>
      <c r="BG162" s="22">
        <f t="shared" si="168"/>
        <v>1.708394296311803E-12</v>
      </c>
      <c r="BH162" s="62">
        <f t="shared" si="116"/>
        <v>293.33333333333502</v>
      </c>
      <c r="BI162" s="62">
        <f ca="1">AVERAGE(OFFSET($BH$3,0,0,'Données projet'!$E$11+1,1))-AVERAGE(OFFSET($H$3,0,0,'Données projet'!$E$11+1,1))</f>
        <v>569.39473185784823</v>
      </c>
      <c r="BJ162" s="62">
        <f t="shared" si="146"/>
        <v>367.42881145517066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2.2737367544323206E-13</v>
      </c>
      <c r="BZ162" s="14">
        <f>BY162*VLOOKUP('Données projet'!$B$12,Paramètres!$A$1:$I$89,3,0)*VLOOKUP('Données projet'!$B$12,Paramètres!$A$1:$I$89,5,0)</f>
        <v>1.9508661353029313E-13</v>
      </c>
      <c r="CA162" s="14">
        <f t="shared" si="170"/>
        <v>2.711421636700695E-12</v>
      </c>
      <c r="CB162" s="22">
        <f t="shared" si="171"/>
        <v>5.0621685358189711E-12</v>
      </c>
      <c r="CC162" s="62">
        <f t="shared" si="119"/>
        <v>293.33333333333837</v>
      </c>
      <c r="CD162" s="62">
        <f ca="1">AVERAGE(OFFSET($CC$3,0,0,'Données projet'!$E$12+1,1))-AVERAGE(OFFSET($H$3,0,0,'Données projet'!$E$12+1,1))</f>
        <v>554.06253050955502</v>
      </c>
      <c r="CE162" s="62">
        <f t="shared" si="148"/>
        <v>269.71949336355789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1.1368683772161603E-13</v>
      </c>
      <c r="CU162" s="18">
        <f>CT162*VLOOKUP('Données projet'!$B$13,Paramètres!$A$1:$I$89,3,0)*VLOOKUP('Données projet'!$B$13,Paramètres!$A$1:$I$89,5,0)</f>
        <v>8.8675733422860506E-14</v>
      </c>
      <c r="CV162" s="14">
        <f t="shared" si="173"/>
        <v>1.3509285393066301E-12</v>
      </c>
      <c r="CW162" s="22">
        <f t="shared" si="174"/>
        <v>2.5073107750038623E-12</v>
      </c>
      <c r="CX162" s="62">
        <f t="shared" si="122"/>
        <v>293.33333333333582</v>
      </c>
      <c r="CY162" s="62">
        <f ca="1">AVERAGE(OFFSET($CX$3,0,0,'Données projet'!$E$13+1,1))-AVERAGE(OFFSET($H$3,0,0,'Données projet'!$E$13+1,1))</f>
        <v>292.21364130214391</v>
      </c>
      <c r="CZ162" s="62">
        <f t="shared" si="150"/>
        <v>283.48738729114024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5.6843418860808015E-14</v>
      </c>
      <c r="DP162" s="18">
        <f>DO162*VLOOKUP('Données projet'!$B$14,Paramètres!$A$1:$I$89,3,0)*VLOOKUP('Données projet'!$B$14,Paramètres!$A$1:$I$89,5,0)</f>
        <v>5.4092197387944907E-14</v>
      </c>
      <c r="DQ162" s="14">
        <f t="shared" si="176"/>
        <v>8.7287050538073676E-13</v>
      </c>
      <c r="DR162" s="22">
        <f t="shared" si="177"/>
        <v>1.6144600406554537E-12</v>
      </c>
      <c r="DS162" s="62">
        <f t="shared" si="125"/>
        <v>293.33333333333491</v>
      </c>
      <c r="DT162" s="62">
        <f ca="1">AVERAGE(OFFSET($DS$3,0,0,'Données projet'!$E$14+1,1))-AVERAGE(OFFSET($H$3,0,0,'Données projet'!$E$14+1,1))</f>
        <v>427.47603885390191</v>
      </c>
      <c r="DU162" s="62">
        <f t="shared" si="152"/>
        <v>350.88664394632116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-9.6633812063373625E-13</v>
      </c>
      <c r="EK162" s="18">
        <f>EJ162*VLOOKUP('Données projet'!$B$15,Paramètres!$A$1:$I$89,3,0)*VLOOKUP('Données projet'!$B$15,Paramètres!$A$1:$I$89,5,0)</f>
        <v>-9.3464223027694966E-13</v>
      </c>
      <c r="EL162" s="14" t="e">
        <f t="shared" si="179"/>
        <v>#NUM!</v>
      </c>
      <c r="EM162" s="22" t="e">
        <f t="shared" si="180"/>
        <v>#NUM!</v>
      </c>
      <c r="EN162" s="62" t="e">
        <f t="shared" si="128"/>
        <v>#NUM!</v>
      </c>
      <c r="EO162" s="62">
        <f ca="1">AVERAGE(OFFSET($EN$3,0,0,'Données projet'!$E$15+1,1))-AVERAGE(OFFSET($H$3,0,0,'Données projet'!$E$15+1,1))</f>
        <v>455.50822833641354</v>
      </c>
      <c r="EP162" s="62">
        <f t="shared" si="154"/>
        <v>261.14722581688039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243</v>
      </c>
      <c r="FF162" s="18">
        <f>FE162*VLOOKUP('Données projet'!$B$16,Paramètres!$A$1:$I$89,3,0)*VLOOKUP('Données projet'!$B$16,Paramètres!$A$1:$I$89,5,0)</f>
        <v>212.28480000000002</v>
      </c>
      <c r="FG162" s="14">
        <f t="shared" si="182"/>
        <v>52.434557099704193</v>
      </c>
      <c r="FH162" s="22">
        <f t="shared" si="183"/>
        <v>461.05288028198476</v>
      </c>
      <c r="FI162" s="62">
        <f t="shared" si="131"/>
        <v>754.38621361531807</v>
      </c>
      <c r="FJ162" s="62">
        <f ca="1">AVERAGE(OFFSET($FI$3,0,0,'Données projet'!$E$16+1,1))-AVERAGE(OFFSET($H$3,0,0,'Données projet'!$E$16+1,1))</f>
        <v>369.34989412920129</v>
      </c>
      <c r="FK162" s="62">
        <f t="shared" si="156"/>
        <v>371.26234252426553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0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>
        <f>FZ162*VLOOKUP('Données projet'!$B$17,Paramètres!$A$1:$I$89,3,0)*VLOOKUP('Données projet'!$B$17,Paramètres!$A$1:$I$89,5,0)</f>
        <v>0</v>
      </c>
      <c r="GB162" s="14" t="e">
        <f t="shared" si="185"/>
        <v>#NUM!</v>
      </c>
      <c r="GC162" s="22" t="e">
        <f t="shared" si="186"/>
        <v>#NUM!</v>
      </c>
      <c r="GD162" s="62" t="e">
        <f t="shared" si="134"/>
        <v>#NUM!</v>
      </c>
      <c r="GE162" s="62">
        <f ca="1">AVERAGE(OFFSET($GD$3,0,0,'Données projet'!$E$17+1,1))-AVERAGE(OFFSET($H$3,0,0,'Données projet'!$E$17+1,1))</f>
        <v>324.4489531703187</v>
      </c>
      <c r="GF162" s="62">
        <f t="shared" si="158"/>
        <v>446.55019360848706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projet'!$B$17,Paramètres!$A$1:$I$89,3,0)*0.475*44/12</f>
        <v>0</v>
      </c>
      <c r="GM162" s="23">
        <f>EXP(-LN(2)/25)*GM161+(1-EXP(-LN(2)/25))/(LN(2)/25)*Calculateur!GH162*Calculateur!GJ162*VLOOKUP('Données projet'!$B$17,Paramètres!$A$1:$I$89,3,0)*0.475*44/12</f>
        <v>0</v>
      </c>
      <c r="GN162" s="23">
        <f>EXP(-LN(2)/2)*GN161+(1-EXP(-LN(2)/2))/(LN(2)/2)*GH162*GK162*VLOOKUP('Données projet'!$B$17,Paramètres!$A$1:$I$89,3,0)*0.475*44/12</f>
        <v>0</v>
      </c>
      <c r="GO162" s="23">
        <f t="shared" si="187"/>
        <v>0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1.7053025658242404E-13</v>
      </c>
      <c r="GV162" s="18">
        <f>GU162*VLOOKUP('Données projet'!$B$18,Paramètres!$A$1:$I$89,3,0)*VLOOKUP('Données projet'!$B$18,Paramètres!$A$1:$I$89,5,0)</f>
        <v>1.1439169611549005E-13</v>
      </c>
      <c r="GW162" s="14">
        <f t="shared" si="188"/>
        <v>1.6918016515029816E-12</v>
      </c>
      <c r="GX162" s="22">
        <f t="shared" si="189"/>
        <v>3.1457867471021712E-12</v>
      </c>
      <c r="GY162" s="62">
        <f t="shared" si="137"/>
        <v>293.33333333333644</v>
      </c>
      <c r="GZ162" s="62">
        <f ca="1">AVERAGE(OFFSET($GY$3,0,0,'Données projet'!$E$18+1,1))-AVERAGE(OFFSET($H$3,0,0,'Données projet'!$E$18+1,1))</f>
        <v>312.06797204903796</v>
      </c>
      <c r="HA162" s="62">
        <f t="shared" si="160"/>
        <v>258.20189001775151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>
        <f>EXP(-LN(2)/35)*HG161+(1-EXP(-LN(2)/35))/(LN(2)/35)*HC162*HD162*VLOOKUP('Données projet'!$B$18,Paramètres!$A$1:$I$89,3,0)*0.475*44/12</f>
        <v>0</v>
      </c>
      <c r="HH162" s="23">
        <f>EXP(-LN(2)/25)*HH161+(1-EXP(-LN(2)/25))/(LN(2)/25)*Calculateur!HC162*Calculateur!HE162*VLOOKUP('Données projet'!$B$18,Paramètres!$A$1:$I$89,3,0)*0.475*44/12</f>
        <v>0</v>
      </c>
      <c r="HI162" s="23">
        <f>EXP(-LN(2)/2)*HI161+(1-EXP(-LN(2)/2))/(LN(2)/2)*HC162*HF162*VLOOKUP('Données projet'!$B$18,Paramètres!$A$1:$I$89,3,0)*0.475*44/12</f>
        <v>0</v>
      </c>
      <c r="HJ162" s="24">
        <f t="shared" si="190"/>
        <v>0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5.1431925385259088E-14</v>
      </c>
      <c r="P163" s="14">
        <f t="shared" si="141"/>
        <v>8.3482866290946129E-13</v>
      </c>
      <c r="Q163" s="22">
        <f t="shared" si="162"/>
        <v>1.5435705246133045E-12</v>
      </c>
      <c r="R163" s="62">
        <f t="shared" si="109"/>
        <v>293.33333333333485</v>
      </c>
      <c r="S163" s="62">
        <f ca="1">AVERAGE(OFFSET($R$3,0,0,'Données projet'!$E$9+1,1))-AVERAGE(OFFSET($H$3,0,0,'Données projet'!$E$9+1,1))</f>
        <v>512.84819850818667</v>
      </c>
      <c r="T163" s="62">
        <f t="shared" si="142"/>
        <v>332.61387922152159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-5.6843418860808015E-14</v>
      </c>
      <c r="AJ163" s="14">
        <f>AI163*VLOOKUP('Données projet'!$B$10,Paramètres!$A$1:$I$89,3,0)*VLOOKUP('Données projet'!$B$10,Paramètres!$A$1:$I$89,5,0)</f>
        <v>-4.1677594708744434E-14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344.45199703750711</v>
      </c>
      <c r="AO163" s="62">
        <f t="shared" si="144"/>
        <v>376.41441893222185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5.6843418860808015E-14</v>
      </c>
      <c r="BE163" s="14">
        <f>BD163*VLOOKUP('Données projet'!$B$11,Paramètres!$A$1:$I$89,3,0)*VLOOKUP('Données projet'!$B$11,Paramètres!$A$1:$I$89,5,0)</f>
        <v>5.7639226724859328E-14</v>
      </c>
      <c r="BF163" s="14">
        <f t="shared" si="167"/>
        <v>9.2325701996134334E-13</v>
      </c>
      <c r="BG163" s="22">
        <f t="shared" si="168"/>
        <v>1.708394296311803E-12</v>
      </c>
      <c r="BH163" s="62">
        <f t="shared" si="116"/>
        <v>293.33333333333502</v>
      </c>
      <c r="BI163" s="62">
        <f ca="1">AVERAGE(OFFSET($BH$3,0,0,'Données projet'!$E$11+1,1))-AVERAGE(OFFSET($H$3,0,0,'Données projet'!$E$11+1,1))</f>
        <v>569.39473185784823</v>
      </c>
      <c r="BJ163" s="62">
        <f t="shared" si="146"/>
        <v>367.42881145517066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2.2737367544323206E-13</v>
      </c>
      <c r="BZ163" s="14">
        <f>BY163*VLOOKUP('Données projet'!$B$12,Paramètres!$A$1:$I$89,3,0)*VLOOKUP('Données projet'!$B$12,Paramètres!$A$1:$I$89,5,0)</f>
        <v>1.9508661353029313E-13</v>
      </c>
      <c r="CA163" s="14">
        <f t="shared" si="170"/>
        <v>2.711421636700695E-12</v>
      </c>
      <c r="CB163" s="22">
        <f t="shared" si="171"/>
        <v>5.0621685358189711E-12</v>
      </c>
      <c r="CC163" s="62">
        <f t="shared" si="119"/>
        <v>293.33333333333837</v>
      </c>
      <c r="CD163" s="62">
        <f ca="1">AVERAGE(OFFSET($CC$3,0,0,'Données projet'!$E$12+1,1))-AVERAGE(OFFSET($H$3,0,0,'Données projet'!$E$12+1,1))</f>
        <v>554.06253050955502</v>
      </c>
      <c r="CE163" s="62">
        <f t="shared" si="148"/>
        <v>269.71949336355789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1.1368683772161603E-13</v>
      </c>
      <c r="CU163" s="18">
        <f>CT163*VLOOKUP('Données projet'!$B$13,Paramètres!$A$1:$I$89,3,0)*VLOOKUP('Données projet'!$B$13,Paramètres!$A$1:$I$89,5,0)</f>
        <v>8.8675733422860506E-14</v>
      </c>
      <c r="CV163" s="14">
        <f t="shared" si="173"/>
        <v>1.3509285393066301E-12</v>
      </c>
      <c r="CW163" s="22">
        <f t="shared" si="174"/>
        <v>2.5073107750038623E-12</v>
      </c>
      <c r="CX163" s="62">
        <f t="shared" si="122"/>
        <v>293.33333333333582</v>
      </c>
      <c r="CY163" s="62">
        <f ca="1">AVERAGE(OFFSET($CX$3,0,0,'Données projet'!$E$13+1,1))-AVERAGE(OFFSET($H$3,0,0,'Données projet'!$E$13+1,1))</f>
        <v>292.21364130214391</v>
      </c>
      <c r="CZ163" s="62">
        <f t="shared" si="150"/>
        <v>283.48738729114024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5.6843418860808015E-14</v>
      </c>
      <c r="DP163" s="18">
        <f>DO163*VLOOKUP('Données projet'!$B$14,Paramètres!$A$1:$I$89,3,0)*VLOOKUP('Données projet'!$B$14,Paramètres!$A$1:$I$89,5,0)</f>
        <v>5.4092197387944907E-14</v>
      </c>
      <c r="DQ163" s="14">
        <f t="shared" si="176"/>
        <v>8.7287050538073676E-13</v>
      </c>
      <c r="DR163" s="22">
        <f t="shared" si="177"/>
        <v>1.6144600406554537E-12</v>
      </c>
      <c r="DS163" s="62">
        <f t="shared" si="125"/>
        <v>293.33333333333491</v>
      </c>
      <c r="DT163" s="62">
        <f ca="1">AVERAGE(OFFSET($DS$3,0,0,'Données projet'!$E$14+1,1))-AVERAGE(OFFSET($H$3,0,0,'Données projet'!$E$14+1,1))</f>
        <v>427.47603885390191</v>
      </c>
      <c r="DU163" s="62">
        <f t="shared" si="152"/>
        <v>350.88664394632116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-9.6633812063373625E-13</v>
      </c>
      <c r="EK163" s="18">
        <f>EJ163*VLOOKUP('Données projet'!$B$15,Paramètres!$A$1:$I$89,3,0)*VLOOKUP('Données projet'!$B$15,Paramètres!$A$1:$I$89,5,0)</f>
        <v>-9.3464223027694966E-13</v>
      </c>
      <c r="EL163" s="14" t="e">
        <f t="shared" si="179"/>
        <v>#NUM!</v>
      </c>
      <c r="EM163" s="22" t="e">
        <f t="shared" si="180"/>
        <v>#NUM!</v>
      </c>
      <c r="EN163" s="62" t="e">
        <f t="shared" si="128"/>
        <v>#NUM!</v>
      </c>
      <c r="EO163" s="62">
        <f ca="1">AVERAGE(OFFSET($EN$3,0,0,'Données projet'!$E$15+1,1))-AVERAGE(OFFSET($H$3,0,0,'Données projet'!$E$15+1,1))</f>
        <v>455.50822833641354</v>
      </c>
      <c r="EP163" s="62">
        <f t="shared" si="154"/>
        <v>261.14722581688039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243</v>
      </c>
      <c r="FF163" s="18">
        <f>FE163*VLOOKUP('Données projet'!$B$16,Paramètres!$A$1:$I$89,3,0)*VLOOKUP('Données projet'!$B$16,Paramètres!$A$1:$I$89,5,0)</f>
        <v>212.28480000000002</v>
      </c>
      <c r="FG163" s="14">
        <f t="shared" si="182"/>
        <v>52.434557099704193</v>
      </c>
      <c r="FH163" s="22">
        <f t="shared" si="183"/>
        <v>461.05288028198476</v>
      </c>
      <c r="FI163" s="62">
        <f t="shared" si="131"/>
        <v>754.38621361531807</v>
      </c>
      <c r="FJ163" s="62">
        <f ca="1">AVERAGE(OFFSET($FI$3,0,0,'Données projet'!$E$16+1,1))-AVERAGE(OFFSET($H$3,0,0,'Données projet'!$E$16+1,1))</f>
        <v>369.34989412920129</v>
      </c>
      <c r="FK163" s="62">
        <f t="shared" si="156"/>
        <v>371.26234252426553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0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>
        <f>FZ163*VLOOKUP('Données projet'!$B$17,Paramètres!$A$1:$I$89,3,0)*VLOOKUP('Données projet'!$B$17,Paramètres!$A$1:$I$89,5,0)</f>
        <v>0</v>
      </c>
      <c r="GB163" s="14" t="e">
        <f t="shared" si="185"/>
        <v>#NUM!</v>
      </c>
      <c r="GC163" s="22" t="e">
        <f t="shared" si="186"/>
        <v>#NUM!</v>
      </c>
      <c r="GD163" s="62" t="e">
        <f t="shared" si="134"/>
        <v>#NUM!</v>
      </c>
      <c r="GE163" s="62">
        <f ca="1">AVERAGE(OFFSET($GD$3,0,0,'Données projet'!$E$17+1,1))-AVERAGE(OFFSET($H$3,0,0,'Données projet'!$E$17+1,1))</f>
        <v>324.4489531703187</v>
      </c>
      <c r="GF163" s="62">
        <f t="shared" si="158"/>
        <v>446.55019360848706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projet'!$B$17,Paramètres!$A$1:$I$89,3,0)*0.475*44/12</f>
        <v>0</v>
      </c>
      <c r="GM163" s="23">
        <f>EXP(-LN(2)/25)*GM162+(1-EXP(-LN(2)/25))/(LN(2)/25)*Calculateur!GH163*Calculateur!GJ163*VLOOKUP('Données projet'!$B$17,Paramètres!$A$1:$I$89,3,0)*0.475*44/12</f>
        <v>0</v>
      </c>
      <c r="GN163" s="23">
        <f>EXP(-LN(2)/2)*GN162+(1-EXP(-LN(2)/2))/(LN(2)/2)*GH163*GK163*VLOOKUP('Données projet'!$B$17,Paramètres!$A$1:$I$89,3,0)*0.475*44/12</f>
        <v>0</v>
      </c>
      <c r="GO163" s="23">
        <f t="shared" si="187"/>
        <v>0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1.7053025658242404E-13</v>
      </c>
      <c r="GV163" s="18">
        <f>GU163*VLOOKUP('Données projet'!$B$18,Paramètres!$A$1:$I$89,3,0)*VLOOKUP('Données projet'!$B$18,Paramètres!$A$1:$I$89,5,0)</f>
        <v>1.1439169611549005E-13</v>
      </c>
      <c r="GW163" s="14">
        <f t="shared" si="188"/>
        <v>1.6918016515029816E-12</v>
      </c>
      <c r="GX163" s="22">
        <f t="shared" si="189"/>
        <v>3.1457867471021712E-12</v>
      </c>
      <c r="GY163" s="62">
        <f t="shared" si="137"/>
        <v>293.33333333333644</v>
      </c>
      <c r="GZ163" s="62">
        <f ca="1">AVERAGE(OFFSET($GY$3,0,0,'Données projet'!$E$18+1,1))-AVERAGE(OFFSET($H$3,0,0,'Données projet'!$E$18+1,1))</f>
        <v>312.06797204903796</v>
      </c>
      <c r="HA163" s="62">
        <f t="shared" si="160"/>
        <v>258.20189001775151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>
        <f>EXP(-LN(2)/35)*HG162+(1-EXP(-LN(2)/35))/(LN(2)/35)*HC163*HD163*VLOOKUP('Données projet'!$B$18,Paramètres!$A$1:$I$89,3,0)*0.475*44/12</f>
        <v>0</v>
      </c>
      <c r="HH163" s="23">
        <f>EXP(-LN(2)/25)*HH162+(1-EXP(-LN(2)/25))/(LN(2)/25)*Calculateur!HC163*Calculateur!HE163*VLOOKUP('Données projet'!$B$18,Paramètres!$A$1:$I$89,3,0)*0.475*44/12</f>
        <v>0</v>
      </c>
      <c r="HI163" s="23">
        <f>EXP(-LN(2)/2)*HI162+(1-EXP(-LN(2)/2))/(LN(2)/2)*HC163*HF163*VLOOKUP('Données projet'!$B$18,Paramètres!$A$1:$I$89,3,0)*0.475*44/12</f>
        <v>0</v>
      </c>
      <c r="HJ163" s="24">
        <f t="shared" si="190"/>
        <v>0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5.1431925385259088E-14</v>
      </c>
      <c r="P164" s="14">
        <f t="shared" si="141"/>
        <v>8.3482866290946129E-13</v>
      </c>
      <c r="Q164" s="22">
        <f t="shared" si="162"/>
        <v>1.5435705246133045E-12</v>
      </c>
      <c r="R164" s="62">
        <f t="shared" si="109"/>
        <v>293.33333333333485</v>
      </c>
      <c r="S164" s="62">
        <f ca="1">AVERAGE(OFFSET($R$3,0,0,'Données projet'!$E$9+1,1))-AVERAGE(OFFSET($H$3,0,0,'Données projet'!$E$9+1,1))</f>
        <v>512.84819850818667</v>
      </c>
      <c r="T164" s="62">
        <f t="shared" si="142"/>
        <v>332.61387922152159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-5.6843418860808015E-14</v>
      </c>
      <c r="AJ164" s="14">
        <f>AI164*VLOOKUP('Données projet'!$B$10,Paramètres!$A$1:$I$89,3,0)*VLOOKUP('Données projet'!$B$10,Paramètres!$A$1:$I$89,5,0)</f>
        <v>-4.1677594708744434E-14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344.45199703750711</v>
      </c>
      <c r="AO164" s="62">
        <f t="shared" si="144"/>
        <v>376.41441893222185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5.6843418860808015E-14</v>
      </c>
      <c r="BE164" s="14">
        <f>BD164*VLOOKUP('Données projet'!$B$11,Paramètres!$A$1:$I$89,3,0)*VLOOKUP('Données projet'!$B$11,Paramètres!$A$1:$I$89,5,0)</f>
        <v>5.7639226724859328E-14</v>
      </c>
      <c r="BF164" s="14">
        <f t="shared" si="167"/>
        <v>9.2325701996134334E-13</v>
      </c>
      <c r="BG164" s="22">
        <f t="shared" si="168"/>
        <v>1.708394296311803E-12</v>
      </c>
      <c r="BH164" s="62">
        <f t="shared" si="116"/>
        <v>293.33333333333502</v>
      </c>
      <c r="BI164" s="62">
        <f ca="1">AVERAGE(OFFSET($BH$3,0,0,'Données projet'!$E$11+1,1))-AVERAGE(OFFSET($H$3,0,0,'Données projet'!$E$11+1,1))</f>
        <v>569.39473185784823</v>
      </c>
      <c r="BJ164" s="62">
        <f t="shared" si="146"/>
        <v>367.42881145517066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2.2737367544323206E-13</v>
      </c>
      <c r="BZ164" s="14">
        <f>BY164*VLOOKUP('Données projet'!$B$12,Paramètres!$A$1:$I$89,3,0)*VLOOKUP('Données projet'!$B$12,Paramètres!$A$1:$I$89,5,0)</f>
        <v>1.9508661353029313E-13</v>
      </c>
      <c r="CA164" s="14">
        <f t="shared" si="170"/>
        <v>2.711421636700695E-12</v>
      </c>
      <c r="CB164" s="22">
        <f t="shared" si="171"/>
        <v>5.0621685358189711E-12</v>
      </c>
      <c r="CC164" s="62">
        <f t="shared" si="119"/>
        <v>293.33333333333837</v>
      </c>
      <c r="CD164" s="62">
        <f ca="1">AVERAGE(OFFSET($CC$3,0,0,'Données projet'!$E$12+1,1))-AVERAGE(OFFSET($H$3,0,0,'Données projet'!$E$12+1,1))</f>
        <v>554.06253050955502</v>
      </c>
      <c r="CE164" s="62">
        <f t="shared" si="148"/>
        <v>269.71949336355789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1.1368683772161603E-13</v>
      </c>
      <c r="CU164" s="18">
        <f>CT164*VLOOKUP('Données projet'!$B$13,Paramètres!$A$1:$I$89,3,0)*VLOOKUP('Données projet'!$B$13,Paramètres!$A$1:$I$89,5,0)</f>
        <v>8.8675733422860506E-14</v>
      </c>
      <c r="CV164" s="14">
        <f t="shared" si="173"/>
        <v>1.3509285393066301E-12</v>
      </c>
      <c r="CW164" s="22">
        <f t="shared" si="174"/>
        <v>2.5073107750038623E-12</v>
      </c>
      <c r="CX164" s="62">
        <f t="shared" si="122"/>
        <v>293.33333333333582</v>
      </c>
      <c r="CY164" s="62">
        <f ca="1">AVERAGE(OFFSET($CX$3,0,0,'Données projet'!$E$13+1,1))-AVERAGE(OFFSET($H$3,0,0,'Données projet'!$E$13+1,1))</f>
        <v>292.21364130214391</v>
      </c>
      <c r="CZ164" s="62">
        <f t="shared" si="150"/>
        <v>283.48738729114024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5.6843418860808015E-14</v>
      </c>
      <c r="DP164" s="18">
        <f>DO164*VLOOKUP('Données projet'!$B$14,Paramètres!$A$1:$I$89,3,0)*VLOOKUP('Données projet'!$B$14,Paramètres!$A$1:$I$89,5,0)</f>
        <v>5.4092197387944907E-14</v>
      </c>
      <c r="DQ164" s="14">
        <f t="shared" si="176"/>
        <v>8.7287050538073676E-13</v>
      </c>
      <c r="DR164" s="22">
        <f t="shared" si="177"/>
        <v>1.6144600406554537E-12</v>
      </c>
      <c r="DS164" s="62">
        <f t="shared" si="125"/>
        <v>293.33333333333491</v>
      </c>
      <c r="DT164" s="62">
        <f ca="1">AVERAGE(OFFSET($DS$3,0,0,'Données projet'!$E$14+1,1))-AVERAGE(OFFSET($H$3,0,0,'Données projet'!$E$14+1,1))</f>
        <v>427.47603885390191</v>
      </c>
      <c r="DU164" s="62">
        <f t="shared" si="152"/>
        <v>350.88664394632116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-9.6633812063373625E-13</v>
      </c>
      <c r="EK164" s="18">
        <f>EJ164*VLOOKUP('Données projet'!$B$15,Paramètres!$A$1:$I$89,3,0)*VLOOKUP('Données projet'!$B$15,Paramètres!$A$1:$I$89,5,0)</f>
        <v>-9.3464223027694966E-13</v>
      </c>
      <c r="EL164" s="14" t="e">
        <f t="shared" si="179"/>
        <v>#NUM!</v>
      </c>
      <c r="EM164" s="22" t="e">
        <f t="shared" si="180"/>
        <v>#NUM!</v>
      </c>
      <c r="EN164" s="62" t="e">
        <f t="shared" si="128"/>
        <v>#NUM!</v>
      </c>
      <c r="EO164" s="62">
        <f ca="1">AVERAGE(OFFSET($EN$3,0,0,'Données projet'!$E$15+1,1))-AVERAGE(OFFSET($H$3,0,0,'Données projet'!$E$15+1,1))</f>
        <v>455.50822833641354</v>
      </c>
      <c r="EP164" s="62">
        <f t="shared" si="154"/>
        <v>261.14722581688039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243</v>
      </c>
      <c r="FF164" s="18">
        <f>FE164*VLOOKUP('Données projet'!$B$16,Paramètres!$A$1:$I$89,3,0)*VLOOKUP('Données projet'!$B$16,Paramètres!$A$1:$I$89,5,0)</f>
        <v>212.28480000000002</v>
      </c>
      <c r="FG164" s="14">
        <f t="shared" si="182"/>
        <v>52.434557099704193</v>
      </c>
      <c r="FH164" s="22">
        <f t="shared" si="183"/>
        <v>461.05288028198476</v>
      </c>
      <c r="FI164" s="62">
        <f t="shared" si="131"/>
        <v>754.38621361531807</v>
      </c>
      <c r="FJ164" s="62">
        <f ca="1">AVERAGE(OFFSET($FI$3,0,0,'Données projet'!$E$16+1,1))-AVERAGE(OFFSET($H$3,0,0,'Données projet'!$E$16+1,1))</f>
        <v>369.34989412920129</v>
      </c>
      <c r="FK164" s="62">
        <f t="shared" si="156"/>
        <v>371.26234252426553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0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>
        <f>FZ164*VLOOKUP('Données projet'!$B$17,Paramètres!$A$1:$I$89,3,0)*VLOOKUP('Données projet'!$B$17,Paramètres!$A$1:$I$89,5,0)</f>
        <v>0</v>
      </c>
      <c r="GB164" s="14" t="e">
        <f t="shared" si="185"/>
        <v>#NUM!</v>
      </c>
      <c r="GC164" s="22" t="e">
        <f t="shared" si="186"/>
        <v>#NUM!</v>
      </c>
      <c r="GD164" s="62" t="e">
        <f t="shared" si="134"/>
        <v>#NUM!</v>
      </c>
      <c r="GE164" s="62">
        <f ca="1">AVERAGE(OFFSET($GD$3,0,0,'Données projet'!$E$17+1,1))-AVERAGE(OFFSET($H$3,0,0,'Données projet'!$E$17+1,1))</f>
        <v>324.4489531703187</v>
      </c>
      <c r="GF164" s="62">
        <f t="shared" si="158"/>
        <v>446.55019360848706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projet'!$B$17,Paramètres!$A$1:$I$89,3,0)*0.475*44/12</f>
        <v>0</v>
      </c>
      <c r="GM164" s="23">
        <f>EXP(-LN(2)/25)*GM163+(1-EXP(-LN(2)/25))/(LN(2)/25)*Calculateur!GH164*Calculateur!GJ164*VLOOKUP('Données projet'!$B$17,Paramètres!$A$1:$I$89,3,0)*0.475*44/12</f>
        <v>0</v>
      </c>
      <c r="GN164" s="23">
        <f>EXP(-LN(2)/2)*GN163+(1-EXP(-LN(2)/2))/(LN(2)/2)*GH164*GK164*VLOOKUP('Données projet'!$B$17,Paramètres!$A$1:$I$89,3,0)*0.475*44/12</f>
        <v>0</v>
      </c>
      <c r="GO164" s="23">
        <f t="shared" si="187"/>
        <v>0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1.7053025658242404E-13</v>
      </c>
      <c r="GV164" s="18">
        <f>GU164*VLOOKUP('Données projet'!$B$18,Paramètres!$A$1:$I$89,3,0)*VLOOKUP('Données projet'!$B$18,Paramètres!$A$1:$I$89,5,0)</f>
        <v>1.1439169611549005E-13</v>
      </c>
      <c r="GW164" s="14">
        <f t="shared" si="188"/>
        <v>1.6918016515029816E-12</v>
      </c>
      <c r="GX164" s="22">
        <f t="shared" si="189"/>
        <v>3.1457867471021712E-12</v>
      </c>
      <c r="GY164" s="62">
        <f t="shared" si="137"/>
        <v>293.33333333333644</v>
      </c>
      <c r="GZ164" s="62">
        <f ca="1">AVERAGE(OFFSET($GY$3,0,0,'Données projet'!$E$18+1,1))-AVERAGE(OFFSET($H$3,0,0,'Données projet'!$E$18+1,1))</f>
        <v>312.06797204903796</v>
      </c>
      <c r="HA164" s="62">
        <f t="shared" si="160"/>
        <v>258.20189001775151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>
        <f>EXP(-LN(2)/35)*HG163+(1-EXP(-LN(2)/35))/(LN(2)/35)*HC164*HD164*VLOOKUP('Données projet'!$B$18,Paramètres!$A$1:$I$89,3,0)*0.475*44/12</f>
        <v>0</v>
      </c>
      <c r="HH164" s="23">
        <f>EXP(-LN(2)/25)*HH163+(1-EXP(-LN(2)/25))/(LN(2)/25)*Calculateur!HC164*Calculateur!HE164*VLOOKUP('Données projet'!$B$18,Paramètres!$A$1:$I$89,3,0)*0.475*44/12</f>
        <v>0</v>
      </c>
      <c r="HI164" s="23">
        <f>EXP(-LN(2)/2)*HI163+(1-EXP(-LN(2)/2))/(LN(2)/2)*HC164*HF164*VLOOKUP('Données projet'!$B$18,Paramètres!$A$1:$I$89,3,0)*0.475*44/12</f>
        <v>0</v>
      </c>
      <c r="HJ164" s="24">
        <f t="shared" si="190"/>
        <v>0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5.1431925385259088E-14</v>
      </c>
      <c r="P165" s="14">
        <f t="shared" si="141"/>
        <v>8.3482866290946129E-13</v>
      </c>
      <c r="Q165" s="22">
        <f t="shared" si="162"/>
        <v>1.5435705246133045E-12</v>
      </c>
      <c r="R165" s="62">
        <f t="shared" si="109"/>
        <v>293.33333333333485</v>
      </c>
      <c r="S165" s="62">
        <f ca="1">AVERAGE(OFFSET($R$3,0,0,'Données projet'!$E$9+1,1))-AVERAGE(OFFSET($H$3,0,0,'Données projet'!$E$9+1,1))</f>
        <v>512.84819850818667</v>
      </c>
      <c r="T165" s="62">
        <f t="shared" si="142"/>
        <v>332.61387922152159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-5.6843418860808015E-14</v>
      </c>
      <c r="AJ165" s="14">
        <f>AI165*VLOOKUP('Données projet'!$B$10,Paramètres!$A$1:$I$89,3,0)*VLOOKUP('Données projet'!$B$10,Paramètres!$A$1:$I$89,5,0)</f>
        <v>-4.1677594708744434E-14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344.45199703750711</v>
      </c>
      <c r="AO165" s="62">
        <f t="shared" si="144"/>
        <v>376.41441893222185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5.6843418860808015E-14</v>
      </c>
      <c r="BE165" s="14">
        <f>BD165*VLOOKUP('Données projet'!$B$11,Paramètres!$A$1:$I$89,3,0)*VLOOKUP('Données projet'!$B$11,Paramètres!$A$1:$I$89,5,0)</f>
        <v>5.7639226724859328E-14</v>
      </c>
      <c r="BF165" s="14">
        <f t="shared" si="167"/>
        <v>9.2325701996134334E-13</v>
      </c>
      <c r="BG165" s="22">
        <f t="shared" si="168"/>
        <v>1.708394296311803E-12</v>
      </c>
      <c r="BH165" s="62">
        <f t="shared" si="116"/>
        <v>293.33333333333502</v>
      </c>
      <c r="BI165" s="62">
        <f ca="1">AVERAGE(OFFSET($BH$3,0,0,'Données projet'!$E$11+1,1))-AVERAGE(OFFSET($H$3,0,0,'Données projet'!$E$11+1,1))</f>
        <v>569.39473185784823</v>
      </c>
      <c r="BJ165" s="62">
        <f t="shared" si="146"/>
        <v>367.42881145517066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2.2737367544323206E-13</v>
      </c>
      <c r="BZ165" s="14">
        <f>BY165*VLOOKUP('Données projet'!$B$12,Paramètres!$A$1:$I$89,3,0)*VLOOKUP('Données projet'!$B$12,Paramètres!$A$1:$I$89,5,0)</f>
        <v>1.9508661353029313E-13</v>
      </c>
      <c r="CA165" s="14">
        <f t="shared" si="170"/>
        <v>2.711421636700695E-12</v>
      </c>
      <c r="CB165" s="22">
        <f t="shared" si="171"/>
        <v>5.0621685358189711E-12</v>
      </c>
      <c r="CC165" s="62">
        <f t="shared" si="119"/>
        <v>293.33333333333837</v>
      </c>
      <c r="CD165" s="62">
        <f ca="1">AVERAGE(OFFSET($CC$3,0,0,'Données projet'!$E$12+1,1))-AVERAGE(OFFSET($H$3,0,0,'Données projet'!$E$12+1,1))</f>
        <v>554.06253050955502</v>
      </c>
      <c r="CE165" s="62">
        <f t="shared" si="148"/>
        <v>269.71949336355789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1.1368683772161603E-13</v>
      </c>
      <c r="CU165" s="18">
        <f>CT165*VLOOKUP('Données projet'!$B$13,Paramètres!$A$1:$I$89,3,0)*VLOOKUP('Données projet'!$B$13,Paramètres!$A$1:$I$89,5,0)</f>
        <v>8.8675733422860506E-14</v>
      </c>
      <c r="CV165" s="14">
        <f t="shared" si="173"/>
        <v>1.3509285393066301E-12</v>
      </c>
      <c r="CW165" s="22">
        <f t="shared" si="174"/>
        <v>2.5073107750038623E-12</v>
      </c>
      <c r="CX165" s="62">
        <f t="shared" si="122"/>
        <v>293.33333333333582</v>
      </c>
      <c r="CY165" s="62">
        <f ca="1">AVERAGE(OFFSET($CX$3,0,0,'Données projet'!$E$13+1,1))-AVERAGE(OFFSET($H$3,0,0,'Données projet'!$E$13+1,1))</f>
        <v>292.21364130214391</v>
      </c>
      <c r="CZ165" s="62">
        <f t="shared" si="150"/>
        <v>283.48738729114024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5.6843418860808015E-14</v>
      </c>
      <c r="DP165" s="18">
        <f>DO165*VLOOKUP('Données projet'!$B$14,Paramètres!$A$1:$I$89,3,0)*VLOOKUP('Données projet'!$B$14,Paramètres!$A$1:$I$89,5,0)</f>
        <v>5.4092197387944907E-14</v>
      </c>
      <c r="DQ165" s="14">
        <f t="shared" si="176"/>
        <v>8.7287050538073676E-13</v>
      </c>
      <c r="DR165" s="22">
        <f t="shared" si="177"/>
        <v>1.6144600406554537E-12</v>
      </c>
      <c r="DS165" s="62">
        <f t="shared" si="125"/>
        <v>293.33333333333491</v>
      </c>
      <c r="DT165" s="62">
        <f ca="1">AVERAGE(OFFSET($DS$3,0,0,'Données projet'!$E$14+1,1))-AVERAGE(OFFSET($H$3,0,0,'Données projet'!$E$14+1,1))</f>
        <v>427.47603885390191</v>
      </c>
      <c r="DU165" s="62">
        <f t="shared" si="152"/>
        <v>350.88664394632116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-9.6633812063373625E-13</v>
      </c>
      <c r="EK165" s="18">
        <f>EJ165*VLOOKUP('Données projet'!$B$15,Paramètres!$A$1:$I$89,3,0)*VLOOKUP('Données projet'!$B$15,Paramètres!$A$1:$I$89,5,0)</f>
        <v>-9.3464223027694966E-13</v>
      </c>
      <c r="EL165" s="14" t="e">
        <f t="shared" si="179"/>
        <v>#NUM!</v>
      </c>
      <c r="EM165" s="22" t="e">
        <f t="shared" si="180"/>
        <v>#NUM!</v>
      </c>
      <c r="EN165" s="62" t="e">
        <f t="shared" si="128"/>
        <v>#NUM!</v>
      </c>
      <c r="EO165" s="62">
        <f ca="1">AVERAGE(OFFSET($EN$3,0,0,'Données projet'!$E$15+1,1))-AVERAGE(OFFSET($H$3,0,0,'Données projet'!$E$15+1,1))</f>
        <v>455.50822833641354</v>
      </c>
      <c r="EP165" s="62">
        <f t="shared" si="154"/>
        <v>261.14722581688039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243</v>
      </c>
      <c r="FF165" s="18">
        <f>FE165*VLOOKUP('Données projet'!$B$16,Paramètres!$A$1:$I$89,3,0)*VLOOKUP('Données projet'!$B$16,Paramètres!$A$1:$I$89,5,0)</f>
        <v>212.28480000000002</v>
      </c>
      <c r="FG165" s="14">
        <f t="shared" si="182"/>
        <v>52.434557099704193</v>
      </c>
      <c r="FH165" s="22">
        <f t="shared" si="183"/>
        <v>461.05288028198476</v>
      </c>
      <c r="FI165" s="62">
        <f t="shared" si="131"/>
        <v>754.38621361531807</v>
      </c>
      <c r="FJ165" s="62">
        <f ca="1">AVERAGE(OFFSET($FI$3,0,0,'Données projet'!$E$16+1,1))-AVERAGE(OFFSET($H$3,0,0,'Données projet'!$E$16+1,1))</f>
        <v>369.34989412920129</v>
      </c>
      <c r="FK165" s="62">
        <f t="shared" si="156"/>
        <v>371.26234252426553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0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>
        <f>FZ165*VLOOKUP('Données projet'!$B$17,Paramètres!$A$1:$I$89,3,0)*VLOOKUP('Données projet'!$B$17,Paramètres!$A$1:$I$89,5,0)</f>
        <v>0</v>
      </c>
      <c r="GB165" s="14" t="e">
        <f t="shared" si="185"/>
        <v>#NUM!</v>
      </c>
      <c r="GC165" s="22" t="e">
        <f t="shared" si="186"/>
        <v>#NUM!</v>
      </c>
      <c r="GD165" s="62" t="e">
        <f t="shared" si="134"/>
        <v>#NUM!</v>
      </c>
      <c r="GE165" s="62">
        <f ca="1">AVERAGE(OFFSET($GD$3,0,0,'Données projet'!$E$17+1,1))-AVERAGE(OFFSET($H$3,0,0,'Données projet'!$E$17+1,1))</f>
        <v>324.4489531703187</v>
      </c>
      <c r="GF165" s="62">
        <f t="shared" si="158"/>
        <v>446.55019360848706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projet'!$B$17,Paramètres!$A$1:$I$89,3,0)*0.475*44/12</f>
        <v>0</v>
      </c>
      <c r="GM165" s="23">
        <f>EXP(-LN(2)/25)*GM164+(1-EXP(-LN(2)/25))/(LN(2)/25)*Calculateur!GH165*Calculateur!GJ165*VLOOKUP('Données projet'!$B$17,Paramètres!$A$1:$I$89,3,0)*0.475*44/12</f>
        <v>0</v>
      </c>
      <c r="GN165" s="23">
        <f>EXP(-LN(2)/2)*GN164+(1-EXP(-LN(2)/2))/(LN(2)/2)*GH165*GK165*VLOOKUP('Données projet'!$B$17,Paramètres!$A$1:$I$89,3,0)*0.475*44/12</f>
        <v>0</v>
      </c>
      <c r="GO165" s="23">
        <f t="shared" si="187"/>
        <v>0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1.7053025658242404E-13</v>
      </c>
      <c r="GV165" s="18">
        <f>GU165*VLOOKUP('Données projet'!$B$18,Paramètres!$A$1:$I$89,3,0)*VLOOKUP('Données projet'!$B$18,Paramètres!$A$1:$I$89,5,0)</f>
        <v>1.1439169611549005E-13</v>
      </c>
      <c r="GW165" s="14">
        <f t="shared" si="188"/>
        <v>1.6918016515029816E-12</v>
      </c>
      <c r="GX165" s="22">
        <f t="shared" si="189"/>
        <v>3.1457867471021712E-12</v>
      </c>
      <c r="GY165" s="62">
        <f t="shared" si="137"/>
        <v>293.33333333333644</v>
      </c>
      <c r="GZ165" s="62">
        <f ca="1">AVERAGE(OFFSET($GY$3,0,0,'Données projet'!$E$18+1,1))-AVERAGE(OFFSET($H$3,0,0,'Données projet'!$E$18+1,1))</f>
        <v>312.06797204903796</v>
      </c>
      <c r="HA165" s="62">
        <f t="shared" si="160"/>
        <v>258.20189001775151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>
        <f>EXP(-LN(2)/35)*HG164+(1-EXP(-LN(2)/35))/(LN(2)/35)*HC165*HD165*VLOOKUP('Données projet'!$B$18,Paramètres!$A$1:$I$89,3,0)*0.475*44/12</f>
        <v>0</v>
      </c>
      <c r="HH165" s="23">
        <f>EXP(-LN(2)/25)*HH164+(1-EXP(-LN(2)/25))/(LN(2)/25)*Calculateur!HC165*Calculateur!HE165*VLOOKUP('Données projet'!$B$18,Paramètres!$A$1:$I$89,3,0)*0.475*44/12</f>
        <v>0</v>
      </c>
      <c r="HI165" s="23">
        <f>EXP(-LN(2)/2)*HI164+(1-EXP(-LN(2)/2))/(LN(2)/2)*HC165*HF165*VLOOKUP('Données projet'!$B$18,Paramètres!$A$1:$I$89,3,0)*0.475*44/12</f>
        <v>0</v>
      </c>
      <c r="HJ165" s="24">
        <f t="shared" si="190"/>
        <v>0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5.1431925385259088E-14</v>
      </c>
      <c r="P166" s="14">
        <f t="shared" si="141"/>
        <v>8.3482866290946129E-13</v>
      </c>
      <c r="Q166" s="22">
        <f t="shared" si="162"/>
        <v>1.5435705246133045E-12</v>
      </c>
      <c r="R166" s="62">
        <f t="shared" si="109"/>
        <v>293.33333333333485</v>
      </c>
      <c r="S166" s="62">
        <f ca="1">AVERAGE(OFFSET($R$3,0,0,'Données projet'!$E$9+1,1))-AVERAGE(OFFSET($H$3,0,0,'Données projet'!$E$9+1,1))</f>
        <v>512.84819850818667</v>
      </c>
      <c r="T166" s="62">
        <f t="shared" si="142"/>
        <v>332.61387922152159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-5.6843418860808015E-14</v>
      </c>
      <c r="AJ166" s="14">
        <f>AI166*VLOOKUP('Données projet'!$B$10,Paramètres!$A$1:$I$89,3,0)*VLOOKUP('Données projet'!$B$10,Paramètres!$A$1:$I$89,5,0)</f>
        <v>-4.1677594708744434E-14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344.45199703750711</v>
      </c>
      <c r="AO166" s="62">
        <f t="shared" si="144"/>
        <v>376.41441893222185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5.6843418860808015E-14</v>
      </c>
      <c r="BE166" s="14">
        <f>BD166*VLOOKUP('Données projet'!$B$11,Paramètres!$A$1:$I$89,3,0)*VLOOKUP('Données projet'!$B$11,Paramètres!$A$1:$I$89,5,0)</f>
        <v>5.7639226724859328E-14</v>
      </c>
      <c r="BF166" s="14">
        <f t="shared" si="167"/>
        <v>9.2325701996134334E-13</v>
      </c>
      <c r="BG166" s="22">
        <f t="shared" si="168"/>
        <v>1.708394296311803E-12</v>
      </c>
      <c r="BH166" s="62">
        <f t="shared" si="116"/>
        <v>293.33333333333502</v>
      </c>
      <c r="BI166" s="62">
        <f ca="1">AVERAGE(OFFSET($BH$3,0,0,'Données projet'!$E$11+1,1))-AVERAGE(OFFSET($H$3,0,0,'Données projet'!$E$11+1,1))</f>
        <v>569.39473185784823</v>
      </c>
      <c r="BJ166" s="62">
        <f t="shared" si="146"/>
        <v>367.42881145517066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2.2737367544323206E-13</v>
      </c>
      <c r="BZ166" s="14">
        <f>BY166*VLOOKUP('Données projet'!$B$12,Paramètres!$A$1:$I$89,3,0)*VLOOKUP('Données projet'!$B$12,Paramètres!$A$1:$I$89,5,0)</f>
        <v>1.9508661353029313E-13</v>
      </c>
      <c r="CA166" s="14">
        <f t="shared" si="170"/>
        <v>2.711421636700695E-12</v>
      </c>
      <c r="CB166" s="22">
        <f t="shared" si="171"/>
        <v>5.0621685358189711E-12</v>
      </c>
      <c r="CC166" s="62">
        <f t="shared" si="119"/>
        <v>293.33333333333837</v>
      </c>
      <c r="CD166" s="62">
        <f ca="1">AVERAGE(OFFSET($CC$3,0,0,'Données projet'!$E$12+1,1))-AVERAGE(OFFSET($H$3,0,0,'Données projet'!$E$12+1,1))</f>
        <v>554.06253050955502</v>
      </c>
      <c r="CE166" s="62">
        <f t="shared" si="148"/>
        <v>269.71949336355789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1.1368683772161603E-13</v>
      </c>
      <c r="CU166" s="18">
        <f>CT166*VLOOKUP('Données projet'!$B$13,Paramètres!$A$1:$I$89,3,0)*VLOOKUP('Données projet'!$B$13,Paramètres!$A$1:$I$89,5,0)</f>
        <v>8.8675733422860506E-14</v>
      </c>
      <c r="CV166" s="14">
        <f t="shared" si="173"/>
        <v>1.3509285393066301E-12</v>
      </c>
      <c r="CW166" s="22">
        <f t="shared" si="174"/>
        <v>2.5073107750038623E-12</v>
      </c>
      <c r="CX166" s="62">
        <f t="shared" si="122"/>
        <v>293.33333333333582</v>
      </c>
      <c r="CY166" s="62">
        <f ca="1">AVERAGE(OFFSET($CX$3,0,0,'Données projet'!$E$13+1,1))-AVERAGE(OFFSET($H$3,0,0,'Données projet'!$E$13+1,1))</f>
        <v>292.21364130214391</v>
      </c>
      <c r="CZ166" s="62">
        <f t="shared" si="150"/>
        <v>283.48738729114024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5.6843418860808015E-14</v>
      </c>
      <c r="DP166" s="18">
        <f>DO166*VLOOKUP('Données projet'!$B$14,Paramètres!$A$1:$I$89,3,0)*VLOOKUP('Données projet'!$B$14,Paramètres!$A$1:$I$89,5,0)</f>
        <v>5.4092197387944907E-14</v>
      </c>
      <c r="DQ166" s="14">
        <f t="shared" si="176"/>
        <v>8.7287050538073676E-13</v>
      </c>
      <c r="DR166" s="22">
        <f t="shared" si="177"/>
        <v>1.6144600406554537E-12</v>
      </c>
      <c r="DS166" s="62">
        <f t="shared" si="125"/>
        <v>293.33333333333491</v>
      </c>
      <c r="DT166" s="62">
        <f ca="1">AVERAGE(OFFSET($DS$3,0,0,'Données projet'!$E$14+1,1))-AVERAGE(OFFSET($H$3,0,0,'Données projet'!$E$14+1,1))</f>
        <v>427.47603885390191</v>
      </c>
      <c r="DU166" s="62">
        <f t="shared" si="152"/>
        <v>350.88664394632116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-9.6633812063373625E-13</v>
      </c>
      <c r="EK166" s="18">
        <f>EJ166*VLOOKUP('Données projet'!$B$15,Paramètres!$A$1:$I$89,3,0)*VLOOKUP('Données projet'!$B$15,Paramètres!$A$1:$I$89,5,0)</f>
        <v>-9.3464223027694966E-13</v>
      </c>
      <c r="EL166" s="14" t="e">
        <f t="shared" si="179"/>
        <v>#NUM!</v>
      </c>
      <c r="EM166" s="22" t="e">
        <f t="shared" si="180"/>
        <v>#NUM!</v>
      </c>
      <c r="EN166" s="62" t="e">
        <f t="shared" si="128"/>
        <v>#NUM!</v>
      </c>
      <c r="EO166" s="62">
        <f ca="1">AVERAGE(OFFSET($EN$3,0,0,'Données projet'!$E$15+1,1))-AVERAGE(OFFSET($H$3,0,0,'Données projet'!$E$15+1,1))</f>
        <v>455.50822833641354</v>
      </c>
      <c r="EP166" s="62">
        <f t="shared" si="154"/>
        <v>261.14722581688039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243</v>
      </c>
      <c r="FF166" s="18">
        <f>FE166*VLOOKUP('Données projet'!$B$16,Paramètres!$A$1:$I$89,3,0)*VLOOKUP('Données projet'!$B$16,Paramètres!$A$1:$I$89,5,0)</f>
        <v>212.28480000000002</v>
      </c>
      <c r="FG166" s="14">
        <f t="shared" si="182"/>
        <v>52.434557099704193</v>
      </c>
      <c r="FH166" s="22">
        <f t="shared" si="183"/>
        <v>461.05288028198476</v>
      </c>
      <c r="FI166" s="62">
        <f t="shared" si="131"/>
        <v>754.38621361531807</v>
      </c>
      <c r="FJ166" s="62">
        <f ca="1">AVERAGE(OFFSET($FI$3,0,0,'Données projet'!$E$16+1,1))-AVERAGE(OFFSET($H$3,0,0,'Données projet'!$E$16+1,1))</f>
        <v>369.34989412920129</v>
      </c>
      <c r="FK166" s="62">
        <f t="shared" si="156"/>
        <v>371.26234252426553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0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>
        <f>FZ166*VLOOKUP('Données projet'!$B$17,Paramètres!$A$1:$I$89,3,0)*VLOOKUP('Données projet'!$B$17,Paramètres!$A$1:$I$89,5,0)</f>
        <v>0</v>
      </c>
      <c r="GB166" s="14" t="e">
        <f t="shared" si="185"/>
        <v>#NUM!</v>
      </c>
      <c r="GC166" s="22" t="e">
        <f t="shared" si="186"/>
        <v>#NUM!</v>
      </c>
      <c r="GD166" s="62" t="e">
        <f t="shared" si="134"/>
        <v>#NUM!</v>
      </c>
      <c r="GE166" s="62">
        <f ca="1">AVERAGE(OFFSET($GD$3,0,0,'Données projet'!$E$17+1,1))-AVERAGE(OFFSET($H$3,0,0,'Données projet'!$E$17+1,1))</f>
        <v>324.4489531703187</v>
      </c>
      <c r="GF166" s="62">
        <f t="shared" si="158"/>
        <v>446.55019360848706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projet'!$B$17,Paramètres!$A$1:$I$89,3,0)*0.475*44/12</f>
        <v>0</v>
      </c>
      <c r="GM166" s="23">
        <f>EXP(-LN(2)/25)*GM165+(1-EXP(-LN(2)/25))/(LN(2)/25)*Calculateur!GH166*Calculateur!GJ166*VLOOKUP('Données projet'!$B$17,Paramètres!$A$1:$I$89,3,0)*0.475*44/12</f>
        <v>0</v>
      </c>
      <c r="GN166" s="23">
        <f>EXP(-LN(2)/2)*GN165+(1-EXP(-LN(2)/2))/(LN(2)/2)*GH166*GK166*VLOOKUP('Données projet'!$B$17,Paramètres!$A$1:$I$89,3,0)*0.475*44/12</f>
        <v>0</v>
      </c>
      <c r="GO166" s="23">
        <f t="shared" si="187"/>
        <v>0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1.7053025658242404E-13</v>
      </c>
      <c r="GV166" s="18">
        <f>GU166*VLOOKUP('Données projet'!$B$18,Paramètres!$A$1:$I$89,3,0)*VLOOKUP('Données projet'!$B$18,Paramètres!$A$1:$I$89,5,0)</f>
        <v>1.1439169611549005E-13</v>
      </c>
      <c r="GW166" s="14">
        <f t="shared" si="188"/>
        <v>1.6918016515029816E-12</v>
      </c>
      <c r="GX166" s="22">
        <f t="shared" si="189"/>
        <v>3.1457867471021712E-12</v>
      </c>
      <c r="GY166" s="62">
        <f t="shared" si="137"/>
        <v>293.33333333333644</v>
      </c>
      <c r="GZ166" s="62">
        <f ca="1">AVERAGE(OFFSET($GY$3,0,0,'Données projet'!$E$18+1,1))-AVERAGE(OFFSET($H$3,0,0,'Données projet'!$E$18+1,1))</f>
        <v>312.06797204903796</v>
      </c>
      <c r="HA166" s="62">
        <f t="shared" si="160"/>
        <v>258.20189001775151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>
        <f>EXP(-LN(2)/35)*HG165+(1-EXP(-LN(2)/35))/(LN(2)/35)*HC166*HD166*VLOOKUP('Données projet'!$B$18,Paramètres!$A$1:$I$89,3,0)*0.475*44/12</f>
        <v>0</v>
      </c>
      <c r="HH166" s="23">
        <f>EXP(-LN(2)/25)*HH165+(1-EXP(-LN(2)/25))/(LN(2)/25)*Calculateur!HC166*Calculateur!HE166*VLOOKUP('Données projet'!$B$18,Paramètres!$A$1:$I$89,3,0)*0.475*44/12</f>
        <v>0</v>
      </c>
      <c r="HI166" s="23">
        <f>EXP(-LN(2)/2)*HI165+(1-EXP(-LN(2)/2))/(LN(2)/2)*HC166*HF166*VLOOKUP('Données projet'!$B$18,Paramètres!$A$1:$I$89,3,0)*0.475*44/12</f>
        <v>0</v>
      </c>
      <c r="HJ166" s="24">
        <f t="shared" si="190"/>
        <v>0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5.1431925385259088E-14</v>
      </c>
      <c r="P167" s="14">
        <f t="shared" si="141"/>
        <v>8.3482866290946129E-13</v>
      </c>
      <c r="Q167" s="22">
        <f t="shared" si="162"/>
        <v>1.5435705246133045E-12</v>
      </c>
      <c r="R167" s="62">
        <f t="shared" si="109"/>
        <v>293.33333333333485</v>
      </c>
      <c r="S167" s="62">
        <f ca="1">AVERAGE(OFFSET($R$3,0,0,'Données projet'!$E$9+1,1))-AVERAGE(OFFSET($H$3,0,0,'Données projet'!$E$9+1,1))</f>
        <v>512.84819850818667</v>
      </c>
      <c r="T167" s="62">
        <f t="shared" si="142"/>
        <v>332.61387922152159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-5.6843418860808015E-14</v>
      </c>
      <c r="AJ167" s="14">
        <f>AI167*VLOOKUP('Données projet'!$B$10,Paramètres!$A$1:$I$89,3,0)*VLOOKUP('Données projet'!$B$10,Paramètres!$A$1:$I$89,5,0)</f>
        <v>-4.1677594708744434E-14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344.45199703750711</v>
      </c>
      <c r="AO167" s="62">
        <f t="shared" si="144"/>
        <v>376.41441893222185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5.6843418860808015E-14</v>
      </c>
      <c r="BE167" s="14">
        <f>BD167*VLOOKUP('Données projet'!$B$11,Paramètres!$A$1:$I$89,3,0)*VLOOKUP('Données projet'!$B$11,Paramètres!$A$1:$I$89,5,0)</f>
        <v>5.7639226724859328E-14</v>
      </c>
      <c r="BF167" s="14">
        <f t="shared" si="167"/>
        <v>9.2325701996134334E-13</v>
      </c>
      <c r="BG167" s="22">
        <f t="shared" si="168"/>
        <v>1.708394296311803E-12</v>
      </c>
      <c r="BH167" s="62">
        <f t="shared" si="116"/>
        <v>293.33333333333502</v>
      </c>
      <c r="BI167" s="62">
        <f ca="1">AVERAGE(OFFSET($BH$3,0,0,'Données projet'!$E$11+1,1))-AVERAGE(OFFSET($H$3,0,0,'Données projet'!$E$11+1,1))</f>
        <v>569.39473185784823</v>
      </c>
      <c r="BJ167" s="62">
        <f t="shared" si="146"/>
        <v>367.42881145517066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2.2737367544323206E-13</v>
      </c>
      <c r="BZ167" s="14">
        <f>BY167*VLOOKUP('Données projet'!$B$12,Paramètres!$A$1:$I$89,3,0)*VLOOKUP('Données projet'!$B$12,Paramètres!$A$1:$I$89,5,0)</f>
        <v>1.9508661353029313E-13</v>
      </c>
      <c r="CA167" s="14">
        <f t="shared" si="170"/>
        <v>2.711421636700695E-12</v>
      </c>
      <c r="CB167" s="22">
        <f t="shared" si="171"/>
        <v>5.0621685358189711E-12</v>
      </c>
      <c r="CC167" s="62">
        <f t="shared" si="119"/>
        <v>293.33333333333837</v>
      </c>
      <c r="CD167" s="62">
        <f ca="1">AVERAGE(OFFSET($CC$3,0,0,'Données projet'!$E$12+1,1))-AVERAGE(OFFSET($H$3,0,0,'Données projet'!$E$12+1,1))</f>
        <v>554.06253050955502</v>
      </c>
      <c r="CE167" s="62">
        <f t="shared" si="148"/>
        <v>269.71949336355789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1.1368683772161603E-13</v>
      </c>
      <c r="CU167" s="18">
        <f>CT167*VLOOKUP('Données projet'!$B$13,Paramètres!$A$1:$I$89,3,0)*VLOOKUP('Données projet'!$B$13,Paramètres!$A$1:$I$89,5,0)</f>
        <v>8.8675733422860506E-14</v>
      </c>
      <c r="CV167" s="14">
        <f t="shared" si="173"/>
        <v>1.3509285393066301E-12</v>
      </c>
      <c r="CW167" s="22">
        <f t="shared" si="174"/>
        <v>2.5073107750038623E-12</v>
      </c>
      <c r="CX167" s="62">
        <f t="shared" si="122"/>
        <v>293.33333333333582</v>
      </c>
      <c r="CY167" s="62">
        <f ca="1">AVERAGE(OFFSET($CX$3,0,0,'Données projet'!$E$13+1,1))-AVERAGE(OFFSET($H$3,0,0,'Données projet'!$E$13+1,1))</f>
        <v>292.21364130214391</v>
      </c>
      <c r="CZ167" s="62">
        <f t="shared" si="150"/>
        <v>283.48738729114024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5.6843418860808015E-14</v>
      </c>
      <c r="DP167" s="18">
        <f>DO167*VLOOKUP('Données projet'!$B$14,Paramètres!$A$1:$I$89,3,0)*VLOOKUP('Données projet'!$B$14,Paramètres!$A$1:$I$89,5,0)</f>
        <v>5.4092197387944907E-14</v>
      </c>
      <c r="DQ167" s="14">
        <f t="shared" si="176"/>
        <v>8.7287050538073676E-13</v>
      </c>
      <c r="DR167" s="22">
        <f t="shared" si="177"/>
        <v>1.6144600406554537E-12</v>
      </c>
      <c r="DS167" s="62">
        <f t="shared" si="125"/>
        <v>293.33333333333491</v>
      </c>
      <c r="DT167" s="62">
        <f ca="1">AVERAGE(OFFSET($DS$3,0,0,'Données projet'!$E$14+1,1))-AVERAGE(OFFSET($H$3,0,0,'Données projet'!$E$14+1,1))</f>
        <v>427.47603885390191</v>
      </c>
      <c r="DU167" s="62">
        <f t="shared" si="152"/>
        <v>350.88664394632116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-9.6633812063373625E-13</v>
      </c>
      <c r="EK167" s="18">
        <f>EJ167*VLOOKUP('Données projet'!$B$15,Paramètres!$A$1:$I$89,3,0)*VLOOKUP('Données projet'!$B$15,Paramètres!$A$1:$I$89,5,0)</f>
        <v>-9.3464223027694966E-13</v>
      </c>
      <c r="EL167" s="14" t="e">
        <f t="shared" si="179"/>
        <v>#NUM!</v>
      </c>
      <c r="EM167" s="22" t="e">
        <f t="shared" si="180"/>
        <v>#NUM!</v>
      </c>
      <c r="EN167" s="62" t="e">
        <f t="shared" si="128"/>
        <v>#NUM!</v>
      </c>
      <c r="EO167" s="62">
        <f ca="1">AVERAGE(OFFSET($EN$3,0,0,'Données projet'!$E$15+1,1))-AVERAGE(OFFSET($H$3,0,0,'Données projet'!$E$15+1,1))</f>
        <v>455.50822833641354</v>
      </c>
      <c r="EP167" s="62">
        <f t="shared" si="154"/>
        <v>261.14722581688039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243</v>
      </c>
      <c r="FF167" s="18">
        <f>FE167*VLOOKUP('Données projet'!$B$16,Paramètres!$A$1:$I$89,3,0)*VLOOKUP('Données projet'!$B$16,Paramètres!$A$1:$I$89,5,0)</f>
        <v>212.28480000000002</v>
      </c>
      <c r="FG167" s="14">
        <f t="shared" si="182"/>
        <v>52.434557099704193</v>
      </c>
      <c r="FH167" s="22">
        <f t="shared" si="183"/>
        <v>461.05288028198476</v>
      </c>
      <c r="FI167" s="62">
        <f t="shared" si="131"/>
        <v>754.38621361531807</v>
      </c>
      <c r="FJ167" s="62">
        <f ca="1">AVERAGE(OFFSET($FI$3,0,0,'Données projet'!$E$16+1,1))-AVERAGE(OFFSET($H$3,0,0,'Données projet'!$E$16+1,1))</f>
        <v>369.34989412920129</v>
      </c>
      <c r="FK167" s="62">
        <f t="shared" si="156"/>
        <v>371.26234252426553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0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>
        <f>FZ167*VLOOKUP('Données projet'!$B$17,Paramètres!$A$1:$I$89,3,0)*VLOOKUP('Données projet'!$B$17,Paramètres!$A$1:$I$89,5,0)</f>
        <v>0</v>
      </c>
      <c r="GB167" s="14" t="e">
        <f t="shared" si="185"/>
        <v>#NUM!</v>
      </c>
      <c r="GC167" s="22" t="e">
        <f t="shared" si="186"/>
        <v>#NUM!</v>
      </c>
      <c r="GD167" s="62" t="e">
        <f t="shared" si="134"/>
        <v>#NUM!</v>
      </c>
      <c r="GE167" s="62">
        <f ca="1">AVERAGE(OFFSET($GD$3,0,0,'Données projet'!$E$17+1,1))-AVERAGE(OFFSET($H$3,0,0,'Données projet'!$E$17+1,1))</f>
        <v>324.4489531703187</v>
      </c>
      <c r="GF167" s="62">
        <f t="shared" si="158"/>
        <v>446.55019360848706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projet'!$B$17,Paramètres!$A$1:$I$89,3,0)*0.475*44/12</f>
        <v>0</v>
      </c>
      <c r="GM167" s="23">
        <f>EXP(-LN(2)/25)*GM166+(1-EXP(-LN(2)/25))/(LN(2)/25)*Calculateur!GH167*Calculateur!GJ167*VLOOKUP('Données projet'!$B$17,Paramètres!$A$1:$I$89,3,0)*0.475*44/12</f>
        <v>0</v>
      </c>
      <c r="GN167" s="23">
        <f>EXP(-LN(2)/2)*GN166+(1-EXP(-LN(2)/2))/(LN(2)/2)*GH167*GK167*VLOOKUP('Données projet'!$B$17,Paramètres!$A$1:$I$89,3,0)*0.475*44/12</f>
        <v>0</v>
      </c>
      <c r="GO167" s="23">
        <f t="shared" si="187"/>
        <v>0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1.7053025658242404E-13</v>
      </c>
      <c r="GV167" s="18">
        <f>GU167*VLOOKUP('Données projet'!$B$18,Paramètres!$A$1:$I$89,3,0)*VLOOKUP('Données projet'!$B$18,Paramètres!$A$1:$I$89,5,0)</f>
        <v>1.1439169611549005E-13</v>
      </c>
      <c r="GW167" s="14">
        <f t="shared" si="188"/>
        <v>1.6918016515029816E-12</v>
      </c>
      <c r="GX167" s="22">
        <f t="shared" si="189"/>
        <v>3.1457867471021712E-12</v>
      </c>
      <c r="GY167" s="62">
        <f t="shared" si="137"/>
        <v>293.33333333333644</v>
      </c>
      <c r="GZ167" s="62">
        <f ca="1">AVERAGE(OFFSET($GY$3,0,0,'Données projet'!$E$18+1,1))-AVERAGE(OFFSET($H$3,0,0,'Données projet'!$E$18+1,1))</f>
        <v>312.06797204903796</v>
      </c>
      <c r="HA167" s="62">
        <f t="shared" si="160"/>
        <v>258.20189001775151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>
        <f>EXP(-LN(2)/35)*HG166+(1-EXP(-LN(2)/35))/(LN(2)/35)*HC167*HD167*VLOOKUP('Données projet'!$B$18,Paramètres!$A$1:$I$89,3,0)*0.475*44/12</f>
        <v>0</v>
      </c>
      <c r="HH167" s="23">
        <f>EXP(-LN(2)/25)*HH166+(1-EXP(-LN(2)/25))/(LN(2)/25)*Calculateur!HC167*Calculateur!HE167*VLOOKUP('Données projet'!$B$18,Paramètres!$A$1:$I$89,3,0)*0.475*44/12</f>
        <v>0</v>
      </c>
      <c r="HI167" s="23">
        <f>EXP(-LN(2)/2)*HI166+(1-EXP(-LN(2)/2))/(LN(2)/2)*HC167*HF167*VLOOKUP('Données projet'!$B$18,Paramètres!$A$1:$I$89,3,0)*0.475*44/12</f>
        <v>0</v>
      </c>
      <c r="HJ167" s="24">
        <f t="shared" si="190"/>
        <v>0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5.1431925385259088E-14</v>
      </c>
      <c r="P168" s="14">
        <f t="shared" si="141"/>
        <v>8.3482866290946129E-13</v>
      </c>
      <c r="Q168" s="22">
        <f t="shared" si="162"/>
        <v>1.5435705246133045E-12</v>
      </c>
      <c r="R168" s="62">
        <f t="shared" si="109"/>
        <v>293.33333333333485</v>
      </c>
      <c r="S168" s="62">
        <f ca="1">AVERAGE(OFFSET($R$3,0,0,'Données projet'!$E$9+1,1))-AVERAGE(OFFSET($H$3,0,0,'Données projet'!$E$9+1,1))</f>
        <v>512.84819850818667</v>
      </c>
      <c r="T168" s="62">
        <f t="shared" si="142"/>
        <v>332.61387922152159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-5.6843418860808015E-14</v>
      </c>
      <c r="AJ168" s="14">
        <f>AI168*VLOOKUP('Données projet'!$B$10,Paramètres!$A$1:$I$89,3,0)*VLOOKUP('Données projet'!$B$10,Paramètres!$A$1:$I$89,5,0)</f>
        <v>-4.1677594708744434E-14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344.45199703750711</v>
      </c>
      <c r="AO168" s="62">
        <f t="shared" si="144"/>
        <v>376.41441893222185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5.6843418860808015E-14</v>
      </c>
      <c r="BE168" s="14">
        <f>BD168*VLOOKUP('Données projet'!$B$11,Paramètres!$A$1:$I$89,3,0)*VLOOKUP('Données projet'!$B$11,Paramètres!$A$1:$I$89,5,0)</f>
        <v>5.7639226724859328E-14</v>
      </c>
      <c r="BF168" s="14">
        <f t="shared" si="167"/>
        <v>9.2325701996134334E-13</v>
      </c>
      <c r="BG168" s="22">
        <f t="shared" si="168"/>
        <v>1.708394296311803E-12</v>
      </c>
      <c r="BH168" s="62">
        <f t="shared" si="116"/>
        <v>293.33333333333502</v>
      </c>
      <c r="BI168" s="62">
        <f ca="1">AVERAGE(OFFSET($BH$3,0,0,'Données projet'!$E$11+1,1))-AVERAGE(OFFSET($H$3,0,0,'Données projet'!$E$11+1,1))</f>
        <v>569.39473185784823</v>
      </c>
      <c r="BJ168" s="62">
        <f t="shared" si="146"/>
        <v>367.42881145517066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2.2737367544323206E-13</v>
      </c>
      <c r="BZ168" s="14">
        <f>BY168*VLOOKUP('Données projet'!$B$12,Paramètres!$A$1:$I$89,3,0)*VLOOKUP('Données projet'!$B$12,Paramètres!$A$1:$I$89,5,0)</f>
        <v>1.9508661353029313E-13</v>
      </c>
      <c r="CA168" s="14">
        <f t="shared" si="170"/>
        <v>2.711421636700695E-12</v>
      </c>
      <c r="CB168" s="22">
        <f t="shared" si="171"/>
        <v>5.0621685358189711E-12</v>
      </c>
      <c r="CC168" s="62">
        <f t="shared" si="119"/>
        <v>293.33333333333837</v>
      </c>
      <c r="CD168" s="62">
        <f ca="1">AVERAGE(OFFSET($CC$3,0,0,'Données projet'!$E$12+1,1))-AVERAGE(OFFSET($H$3,0,0,'Données projet'!$E$12+1,1))</f>
        <v>554.06253050955502</v>
      </c>
      <c r="CE168" s="62">
        <f t="shared" si="148"/>
        <v>269.71949336355789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1.1368683772161603E-13</v>
      </c>
      <c r="CU168" s="18">
        <f>CT168*VLOOKUP('Données projet'!$B$13,Paramètres!$A$1:$I$89,3,0)*VLOOKUP('Données projet'!$B$13,Paramètres!$A$1:$I$89,5,0)</f>
        <v>8.8675733422860506E-14</v>
      </c>
      <c r="CV168" s="14">
        <f t="shared" si="173"/>
        <v>1.3509285393066301E-12</v>
      </c>
      <c r="CW168" s="22">
        <f t="shared" si="174"/>
        <v>2.5073107750038623E-12</v>
      </c>
      <c r="CX168" s="62">
        <f t="shared" si="122"/>
        <v>293.33333333333582</v>
      </c>
      <c r="CY168" s="62">
        <f ca="1">AVERAGE(OFFSET($CX$3,0,0,'Données projet'!$E$13+1,1))-AVERAGE(OFFSET($H$3,0,0,'Données projet'!$E$13+1,1))</f>
        <v>292.21364130214391</v>
      </c>
      <c r="CZ168" s="62">
        <f t="shared" si="150"/>
        <v>283.48738729114024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5.6843418860808015E-14</v>
      </c>
      <c r="DP168" s="18">
        <f>DO168*VLOOKUP('Données projet'!$B$14,Paramètres!$A$1:$I$89,3,0)*VLOOKUP('Données projet'!$B$14,Paramètres!$A$1:$I$89,5,0)</f>
        <v>5.4092197387944907E-14</v>
      </c>
      <c r="DQ168" s="14">
        <f t="shared" si="176"/>
        <v>8.7287050538073676E-13</v>
      </c>
      <c r="DR168" s="22">
        <f t="shared" si="177"/>
        <v>1.6144600406554537E-12</v>
      </c>
      <c r="DS168" s="62">
        <f t="shared" si="125"/>
        <v>293.33333333333491</v>
      </c>
      <c r="DT168" s="62">
        <f ca="1">AVERAGE(OFFSET($DS$3,0,0,'Données projet'!$E$14+1,1))-AVERAGE(OFFSET($H$3,0,0,'Données projet'!$E$14+1,1))</f>
        <v>427.47603885390191</v>
      </c>
      <c r="DU168" s="62">
        <f t="shared" si="152"/>
        <v>350.88664394632116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-9.6633812063373625E-13</v>
      </c>
      <c r="EK168" s="18">
        <f>EJ168*VLOOKUP('Données projet'!$B$15,Paramètres!$A$1:$I$89,3,0)*VLOOKUP('Données projet'!$B$15,Paramètres!$A$1:$I$89,5,0)</f>
        <v>-9.3464223027694966E-13</v>
      </c>
      <c r="EL168" s="14" t="e">
        <f t="shared" si="179"/>
        <v>#NUM!</v>
      </c>
      <c r="EM168" s="22" t="e">
        <f t="shared" si="180"/>
        <v>#NUM!</v>
      </c>
      <c r="EN168" s="62" t="e">
        <f t="shared" si="128"/>
        <v>#NUM!</v>
      </c>
      <c r="EO168" s="62">
        <f ca="1">AVERAGE(OFFSET($EN$3,0,0,'Données projet'!$E$15+1,1))-AVERAGE(OFFSET($H$3,0,0,'Données projet'!$E$15+1,1))</f>
        <v>455.50822833641354</v>
      </c>
      <c r="EP168" s="62">
        <f t="shared" si="154"/>
        <v>261.14722581688039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243</v>
      </c>
      <c r="FF168" s="18">
        <f>FE168*VLOOKUP('Données projet'!$B$16,Paramètres!$A$1:$I$89,3,0)*VLOOKUP('Données projet'!$B$16,Paramètres!$A$1:$I$89,5,0)</f>
        <v>212.28480000000002</v>
      </c>
      <c r="FG168" s="14">
        <f t="shared" si="182"/>
        <v>52.434557099704193</v>
      </c>
      <c r="FH168" s="22">
        <f t="shared" si="183"/>
        <v>461.05288028198476</v>
      </c>
      <c r="FI168" s="62">
        <f t="shared" si="131"/>
        <v>754.38621361531807</v>
      </c>
      <c r="FJ168" s="62">
        <f ca="1">AVERAGE(OFFSET($FI$3,0,0,'Données projet'!$E$16+1,1))-AVERAGE(OFFSET($H$3,0,0,'Données projet'!$E$16+1,1))</f>
        <v>369.34989412920129</v>
      </c>
      <c r="FK168" s="62">
        <f t="shared" si="156"/>
        <v>371.26234252426553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0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>
        <f>FZ168*VLOOKUP('Données projet'!$B$17,Paramètres!$A$1:$I$89,3,0)*VLOOKUP('Données projet'!$B$17,Paramètres!$A$1:$I$89,5,0)</f>
        <v>0</v>
      </c>
      <c r="GB168" s="14" t="e">
        <f t="shared" si="185"/>
        <v>#NUM!</v>
      </c>
      <c r="GC168" s="22" t="e">
        <f t="shared" si="186"/>
        <v>#NUM!</v>
      </c>
      <c r="GD168" s="62" t="e">
        <f t="shared" si="134"/>
        <v>#NUM!</v>
      </c>
      <c r="GE168" s="62">
        <f ca="1">AVERAGE(OFFSET($GD$3,0,0,'Données projet'!$E$17+1,1))-AVERAGE(OFFSET($H$3,0,0,'Données projet'!$E$17+1,1))</f>
        <v>324.4489531703187</v>
      </c>
      <c r="GF168" s="62">
        <f t="shared" si="158"/>
        <v>446.55019360848706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projet'!$B$17,Paramètres!$A$1:$I$89,3,0)*0.475*44/12</f>
        <v>0</v>
      </c>
      <c r="GM168" s="23">
        <f>EXP(-LN(2)/25)*GM167+(1-EXP(-LN(2)/25))/(LN(2)/25)*Calculateur!GH168*Calculateur!GJ168*VLOOKUP('Données projet'!$B$17,Paramètres!$A$1:$I$89,3,0)*0.475*44/12</f>
        <v>0</v>
      </c>
      <c r="GN168" s="23">
        <f>EXP(-LN(2)/2)*GN167+(1-EXP(-LN(2)/2))/(LN(2)/2)*GH168*GK168*VLOOKUP('Données projet'!$B$17,Paramètres!$A$1:$I$89,3,0)*0.475*44/12</f>
        <v>0</v>
      </c>
      <c r="GO168" s="23">
        <f t="shared" si="187"/>
        <v>0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1.7053025658242404E-13</v>
      </c>
      <c r="GV168" s="18">
        <f>GU168*VLOOKUP('Données projet'!$B$18,Paramètres!$A$1:$I$89,3,0)*VLOOKUP('Données projet'!$B$18,Paramètres!$A$1:$I$89,5,0)</f>
        <v>1.1439169611549005E-13</v>
      </c>
      <c r="GW168" s="14">
        <f t="shared" si="188"/>
        <v>1.6918016515029816E-12</v>
      </c>
      <c r="GX168" s="22">
        <f t="shared" si="189"/>
        <v>3.1457867471021712E-12</v>
      </c>
      <c r="GY168" s="62">
        <f t="shared" si="137"/>
        <v>293.33333333333644</v>
      </c>
      <c r="GZ168" s="62">
        <f ca="1">AVERAGE(OFFSET($GY$3,0,0,'Données projet'!$E$18+1,1))-AVERAGE(OFFSET($H$3,0,0,'Données projet'!$E$18+1,1))</f>
        <v>312.06797204903796</v>
      </c>
      <c r="HA168" s="62">
        <f t="shared" si="160"/>
        <v>258.20189001775151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>
        <f>EXP(-LN(2)/35)*HG167+(1-EXP(-LN(2)/35))/(LN(2)/35)*HC168*HD168*VLOOKUP('Données projet'!$B$18,Paramètres!$A$1:$I$89,3,0)*0.475*44/12</f>
        <v>0</v>
      </c>
      <c r="HH168" s="23">
        <f>EXP(-LN(2)/25)*HH167+(1-EXP(-LN(2)/25))/(LN(2)/25)*Calculateur!HC168*Calculateur!HE168*VLOOKUP('Données projet'!$B$18,Paramètres!$A$1:$I$89,3,0)*0.475*44/12</f>
        <v>0</v>
      </c>
      <c r="HI168" s="23">
        <f>EXP(-LN(2)/2)*HI167+(1-EXP(-LN(2)/2))/(LN(2)/2)*HC168*HF168*VLOOKUP('Données projet'!$B$18,Paramètres!$A$1:$I$89,3,0)*0.475*44/12</f>
        <v>0</v>
      </c>
      <c r="HJ168" s="24">
        <f t="shared" si="190"/>
        <v>0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5.1431925385259088E-14</v>
      </c>
      <c r="P169" s="14">
        <f t="shared" si="141"/>
        <v>8.3482866290946129E-13</v>
      </c>
      <c r="Q169" s="22">
        <f t="shared" si="162"/>
        <v>1.5435705246133045E-12</v>
      </c>
      <c r="R169" s="62">
        <f t="shared" si="109"/>
        <v>293.33333333333485</v>
      </c>
      <c r="S169" s="62">
        <f ca="1">AVERAGE(OFFSET($R$3,0,0,'Données projet'!$E$9+1,1))-AVERAGE(OFFSET($H$3,0,0,'Données projet'!$E$9+1,1))</f>
        <v>512.84819850818667</v>
      </c>
      <c r="T169" s="62">
        <f t="shared" si="142"/>
        <v>332.61387922152159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-5.6843418860808015E-14</v>
      </c>
      <c r="AJ169" s="14">
        <f>AI169*VLOOKUP('Données projet'!$B$10,Paramètres!$A$1:$I$89,3,0)*VLOOKUP('Données projet'!$B$10,Paramètres!$A$1:$I$89,5,0)</f>
        <v>-4.1677594708744434E-14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344.45199703750711</v>
      </c>
      <c r="AO169" s="62">
        <f t="shared" si="144"/>
        <v>376.41441893222185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5.6843418860808015E-14</v>
      </c>
      <c r="BE169" s="14">
        <f>BD169*VLOOKUP('Données projet'!$B$11,Paramètres!$A$1:$I$89,3,0)*VLOOKUP('Données projet'!$B$11,Paramètres!$A$1:$I$89,5,0)</f>
        <v>5.7639226724859328E-14</v>
      </c>
      <c r="BF169" s="14">
        <f t="shared" si="167"/>
        <v>9.2325701996134334E-13</v>
      </c>
      <c r="BG169" s="22">
        <f t="shared" si="168"/>
        <v>1.708394296311803E-12</v>
      </c>
      <c r="BH169" s="62">
        <f t="shared" si="116"/>
        <v>293.33333333333502</v>
      </c>
      <c r="BI169" s="62">
        <f ca="1">AVERAGE(OFFSET($BH$3,0,0,'Données projet'!$E$11+1,1))-AVERAGE(OFFSET($H$3,0,0,'Données projet'!$E$11+1,1))</f>
        <v>569.39473185784823</v>
      </c>
      <c r="BJ169" s="62">
        <f t="shared" si="146"/>
        <v>367.42881145517066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2.2737367544323206E-13</v>
      </c>
      <c r="BZ169" s="14">
        <f>BY169*VLOOKUP('Données projet'!$B$12,Paramètres!$A$1:$I$89,3,0)*VLOOKUP('Données projet'!$B$12,Paramètres!$A$1:$I$89,5,0)</f>
        <v>1.9508661353029313E-13</v>
      </c>
      <c r="CA169" s="14">
        <f t="shared" si="170"/>
        <v>2.711421636700695E-12</v>
      </c>
      <c r="CB169" s="22">
        <f t="shared" si="171"/>
        <v>5.0621685358189711E-12</v>
      </c>
      <c r="CC169" s="62">
        <f t="shared" si="119"/>
        <v>293.33333333333837</v>
      </c>
      <c r="CD169" s="62">
        <f ca="1">AVERAGE(OFFSET($CC$3,0,0,'Données projet'!$E$12+1,1))-AVERAGE(OFFSET($H$3,0,0,'Données projet'!$E$12+1,1))</f>
        <v>554.06253050955502</v>
      </c>
      <c r="CE169" s="62">
        <f t="shared" si="148"/>
        <v>269.71949336355789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1.1368683772161603E-13</v>
      </c>
      <c r="CU169" s="18">
        <f>CT169*VLOOKUP('Données projet'!$B$13,Paramètres!$A$1:$I$89,3,0)*VLOOKUP('Données projet'!$B$13,Paramètres!$A$1:$I$89,5,0)</f>
        <v>8.8675733422860506E-14</v>
      </c>
      <c r="CV169" s="14">
        <f t="shared" si="173"/>
        <v>1.3509285393066301E-12</v>
      </c>
      <c r="CW169" s="22">
        <f t="shared" si="174"/>
        <v>2.5073107750038623E-12</v>
      </c>
      <c r="CX169" s="62">
        <f t="shared" si="122"/>
        <v>293.33333333333582</v>
      </c>
      <c r="CY169" s="62">
        <f ca="1">AVERAGE(OFFSET($CX$3,0,0,'Données projet'!$E$13+1,1))-AVERAGE(OFFSET($H$3,0,0,'Données projet'!$E$13+1,1))</f>
        <v>292.21364130214391</v>
      </c>
      <c r="CZ169" s="62">
        <f t="shared" si="150"/>
        <v>283.48738729114024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5.6843418860808015E-14</v>
      </c>
      <c r="DP169" s="18">
        <f>DO169*VLOOKUP('Données projet'!$B$14,Paramètres!$A$1:$I$89,3,0)*VLOOKUP('Données projet'!$B$14,Paramètres!$A$1:$I$89,5,0)</f>
        <v>5.4092197387944907E-14</v>
      </c>
      <c r="DQ169" s="14">
        <f t="shared" si="176"/>
        <v>8.7287050538073676E-13</v>
      </c>
      <c r="DR169" s="22">
        <f t="shared" si="177"/>
        <v>1.6144600406554537E-12</v>
      </c>
      <c r="DS169" s="62">
        <f t="shared" si="125"/>
        <v>293.33333333333491</v>
      </c>
      <c r="DT169" s="62">
        <f ca="1">AVERAGE(OFFSET($DS$3,0,0,'Données projet'!$E$14+1,1))-AVERAGE(OFFSET($H$3,0,0,'Données projet'!$E$14+1,1))</f>
        <v>427.47603885390191</v>
      </c>
      <c r="DU169" s="62">
        <f t="shared" si="152"/>
        <v>350.88664394632116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-9.6633812063373625E-13</v>
      </c>
      <c r="EK169" s="18">
        <f>EJ169*VLOOKUP('Données projet'!$B$15,Paramètres!$A$1:$I$89,3,0)*VLOOKUP('Données projet'!$B$15,Paramètres!$A$1:$I$89,5,0)</f>
        <v>-9.3464223027694966E-13</v>
      </c>
      <c r="EL169" s="14" t="e">
        <f t="shared" si="179"/>
        <v>#NUM!</v>
      </c>
      <c r="EM169" s="22" t="e">
        <f t="shared" si="180"/>
        <v>#NUM!</v>
      </c>
      <c r="EN169" s="62" t="e">
        <f t="shared" si="128"/>
        <v>#NUM!</v>
      </c>
      <c r="EO169" s="62">
        <f ca="1">AVERAGE(OFFSET($EN$3,0,0,'Données projet'!$E$15+1,1))-AVERAGE(OFFSET($H$3,0,0,'Données projet'!$E$15+1,1))</f>
        <v>455.50822833641354</v>
      </c>
      <c r="EP169" s="62">
        <f t="shared" si="154"/>
        <v>261.14722581688039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243</v>
      </c>
      <c r="FF169" s="18">
        <f>FE169*VLOOKUP('Données projet'!$B$16,Paramètres!$A$1:$I$89,3,0)*VLOOKUP('Données projet'!$B$16,Paramètres!$A$1:$I$89,5,0)</f>
        <v>212.28480000000002</v>
      </c>
      <c r="FG169" s="14">
        <f t="shared" si="182"/>
        <v>52.434557099704193</v>
      </c>
      <c r="FH169" s="22">
        <f t="shared" si="183"/>
        <v>461.05288028198476</v>
      </c>
      <c r="FI169" s="62">
        <f t="shared" si="131"/>
        <v>754.38621361531807</v>
      </c>
      <c r="FJ169" s="62">
        <f ca="1">AVERAGE(OFFSET($FI$3,0,0,'Données projet'!$E$16+1,1))-AVERAGE(OFFSET($H$3,0,0,'Données projet'!$E$16+1,1))</f>
        <v>369.34989412920129</v>
      </c>
      <c r="FK169" s="62">
        <f t="shared" si="156"/>
        <v>371.26234252426553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0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>
        <f>FZ169*VLOOKUP('Données projet'!$B$17,Paramètres!$A$1:$I$89,3,0)*VLOOKUP('Données projet'!$B$17,Paramètres!$A$1:$I$89,5,0)</f>
        <v>0</v>
      </c>
      <c r="GB169" s="14" t="e">
        <f t="shared" si="185"/>
        <v>#NUM!</v>
      </c>
      <c r="GC169" s="22" t="e">
        <f t="shared" si="186"/>
        <v>#NUM!</v>
      </c>
      <c r="GD169" s="62" t="e">
        <f t="shared" si="134"/>
        <v>#NUM!</v>
      </c>
      <c r="GE169" s="62">
        <f ca="1">AVERAGE(OFFSET($GD$3,0,0,'Données projet'!$E$17+1,1))-AVERAGE(OFFSET($H$3,0,0,'Données projet'!$E$17+1,1))</f>
        <v>324.4489531703187</v>
      </c>
      <c r="GF169" s="62">
        <f t="shared" si="158"/>
        <v>446.55019360848706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projet'!$B$17,Paramètres!$A$1:$I$89,3,0)*0.475*44/12</f>
        <v>0</v>
      </c>
      <c r="GM169" s="23">
        <f>EXP(-LN(2)/25)*GM168+(1-EXP(-LN(2)/25))/(LN(2)/25)*Calculateur!GH169*Calculateur!GJ169*VLOOKUP('Données projet'!$B$17,Paramètres!$A$1:$I$89,3,0)*0.475*44/12</f>
        <v>0</v>
      </c>
      <c r="GN169" s="23">
        <f>EXP(-LN(2)/2)*GN168+(1-EXP(-LN(2)/2))/(LN(2)/2)*GH169*GK169*VLOOKUP('Données projet'!$B$17,Paramètres!$A$1:$I$89,3,0)*0.475*44/12</f>
        <v>0</v>
      </c>
      <c r="GO169" s="23">
        <f t="shared" si="187"/>
        <v>0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1.7053025658242404E-13</v>
      </c>
      <c r="GV169" s="18">
        <f>GU169*VLOOKUP('Données projet'!$B$18,Paramètres!$A$1:$I$89,3,0)*VLOOKUP('Données projet'!$B$18,Paramètres!$A$1:$I$89,5,0)</f>
        <v>1.1439169611549005E-13</v>
      </c>
      <c r="GW169" s="14">
        <f t="shared" si="188"/>
        <v>1.6918016515029816E-12</v>
      </c>
      <c r="GX169" s="22">
        <f t="shared" si="189"/>
        <v>3.1457867471021712E-12</v>
      </c>
      <c r="GY169" s="62">
        <f t="shared" si="137"/>
        <v>293.33333333333644</v>
      </c>
      <c r="GZ169" s="62">
        <f ca="1">AVERAGE(OFFSET($GY$3,0,0,'Données projet'!$E$18+1,1))-AVERAGE(OFFSET($H$3,0,0,'Données projet'!$E$18+1,1))</f>
        <v>312.06797204903796</v>
      </c>
      <c r="HA169" s="62">
        <f t="shared" si="160"/>
        <v>258.20189001775151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>
        <f>EXP(-LN(2)/35)*HG168+(1-EXP(-LN(2)/35))/(LN(2)/35)*HC169*HD169*VLOOKUP('Données projet'!$B$18,Paramètres!$A$1:$I$89,3,0)*0.475*44/12</f>
        <v>0</v>
      </c>
      <c r="HH169" s="23">
        <f>EXP(-LN(2)/25)*HH168+(1-EXP(-LN(2)/25))/(LN(2)/25)*Calculateur!HC169*Calculateur!HE169*VLOOKUP('Données projet'!$B$18,Paramètres!$A$1:$I$89,3,0)*0.475*44/12</f>
        <v>0</v>
      </c>
      <c r="HI169" s="23">
        <f>EXP(-LN(2)/2)*HI168+(1-EXP(-LN(2)/2))/(LN(2)/2)*HC169*HF169*VLOOKUP('Données projet'!$B$18,Paramètres!$A$1:$I$89,3,0)*0.475*44/12</f>
        <v>0</v>
      </c>
      <c r="HJ169" s="24">
        <f t="shared" si="190"/>
        <v>0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5.1431925385259088E-14</v>
      </c>
      <c r="P170" s="14">
        <f t="shared" si="141"/>
        <v>8.3482866290946129E-13</v>
      </c>
      <c r="Q170" s="22">
        <f t="shared" si="162"/>
        <v>1.5435705246133045E-12</v>
      </c>
      <c r="R170" s="62">
        <f t="shared" si="109"/>
        <v>293.33333333333485</v>
      </c>
      <c r="S170" s="62">
        <f ca="1">AVERAGE(OFFSET($R$3,0,0,'Données projet'!$E$9+1,1))-AVERAGE(OFFSET($H$3,0,0,'Données projet'!$E$9+1,1))</f>
        <v>512.84819850818667</v>
      </c>
      <c r="T170" s="62">
        <f t="shared" si="142"/>
        <v>332.61387922152159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-5.6843418860808015E-14</v>
      </c>
      <c r="AJ170" s="14">
        <f>AI170*VLOOKUP('Données projet'!$B$10,Paramètres!$A$1:$I$89,3,0)*VLOOKUP('Données projet'!$B$10,Paramètres!$A$1:$I$89,5,0)</f>
        <v>-4.1677594708744434E-14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344.45199703750711</v>
      </c>
      <c r="AO170" s="62">
        <f t="shared" si="144"/>
        <v>376.41441893222185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5.6843418860808015E-14</v>
      </c>
      <c r="BE170" s="14">
        <f>BD170*VLOOKUP('Données projet'!$B$11,Paramètres!$A$1:$I$89,3,0)*VLOOKUP('Données projet'!$B$11,Paramètres!$A$1:$I$89,5,0)</f>
        <v>5.7639226724859328E-14</v>
      </c>
      <c r="BF170" s="14">
        <f t="shared" si="167"/>
        <v>9.2325701996134334E-13</v>
      </c>
      <c r="BG170" s="22">
        <f t="shared" si="168"/>
        <v>1.708394296311803E-12</v>
      </c>
      <c r="BH170" s="62">
        <f t="shared" si="116"/>
        <v>293.33333333333502</v>
      </c>
      <c r="BI170" s="62">
        <f ca="1">AVERAGE(OFFSET($BH$3,0,0,'Données projet'!$E$11+1,1))-AVERAGE(OFFSET($H$3,0,0,'Données projet'!$E$11+1,1))</f>
        <v>569.39473185784823</v>
      </c>
      <c r="BJ170" s="62">
        <f t="shared" si="146"/>
        <v>367.42881145517066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2.2737367544323206E-13</v>
      </c>
      <c r="BZ170" s="14">
        <f>BY170*VLOOKUP('Données projet'!$B$12,Paramètres!$A$1:$I$89,3,0)*VLOOKUP('Données projet'!$B$12,Paramètres!$A$1:$I$89,5,0)</f>
        <v>1.9508661353029313E-13</v>
      </c>
      <c r="CA170" s="14">
        <f t="shared" si="170"/>
        <v>2.711421636700695E-12</v>
      </c>
      <c r="CB170" s="22">
        <f t="shared" si="171"/>
        <v>5.0621685358189711E-12</v>
      </c>
      <c r="CC170" s="62">
        <f t="shared" si="119"/>
        <v>293.33333333333837</v>
      </c>
      <c r="CD170" s="62">
        <f ca="1">AVERAGE(OFFSET($CC$3,0,0,'Données projet'!$E$12+1,1))-AVERAGE(OFFSET($H$3,0,0,'Données projet'!$E$12+1,1))</f>
        <v>554.06253050955502</v>
      </c>
      <c r="CE170" s="62">
        <f t="shared" si="148"/>
        <v>269.71949336355789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1.1368683772161603E-13</v>
      </c>
      <c r="CU170" s="18">
        <f>CT170*VLOOKUP('Données projet'!$B$13,Paramètres!$A$1:$I$89,3,0)*VLOOKUP('Données projet'!$B$13,Paramètres!$A$1:$I$89,5,0)</f>
        <v>8.8675733422860506E-14</v>
      </c>
      <c r="CV170" s="14">
        <f t="shared" si="173"/>
        <v>1.3509285393066301E-12</v>
      </c>
      <c r="CW170" s="22">
        <f t="shared" si="174"/>
        <v>2.5073107750038623E-12</v>
      </c>
      <c r="CX170" s="62">
        <f t="shared" si="122"/>
        <v>293.33333333333582</v>
      </c>
      <c r="CY170" s="62">
        <f ca="1">AVERAGE(OFFSET($CX$3,0,0,'Données projet'!$E$13+1,1))-AVERAGE(OFFSET($H$3,0,0,'Données projet'!$E$13+1,1))</f>
        <v>292.21364130214391</v>
      </c>
      <c r="CZ170" s="62">
        <f t="shared" si="150"/>
        <v>283.48738729114024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5.6843418860808015E-14</v>
      </c>
      <c r="DP170" s="18">
        <f>DO170*VLOOKUP('Données projet'!$B$14,Paramètres!$A$1:$I$89,3,0)*VLOOKUP('Données projet'!$B$14,Paramètres!$A$1:$I$89,5,0)</f>
        <v>5.4092197387944907E-14</v>
      </c>
      <c r="DQ170" s="14">
        <f t="shared" si="176"/>
        <v>8.7287050538073676E-13</v>
      </c>
      <c r="DR170" s="22">
        <f t="shared" si="177"/>
        <v>1.6144600406554537E-12</v>
      </c>
      <c r="DS170" s="62">
        <f t="shared" si="125"/>
        <v>293.33333333333491</v>
      </c>
      <c r="DT170" s="62">
        <f ca="1">AVERAGE(OFFSET($DS$3,0,0,'Données projet'!$E$14+1,1))-AVERAGE(OFFSET($H$3,0,0,'Données projet'!$E$14+1,1))</f>
        <v>427.47603885390191</v>
      </c>
      <c r="DU170" s="62">
        <f t="shared" si="152"/>
        <v>350.88664394632116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-9.6633812063373625E-13</v>
      </c>
      <c r="EK170" s="18">
        <f>EJ170*VLOOKUP('Données projet'!$B$15,Paramètres!$A$1:$I$89,3,0)*VLOOKUP('Données projet'!$B$15,Paramètres!$A$1:$I$89,5,0)</f>
        <v>-9.3464223027694966E-13</v>
      </c>
      <c r="EL170" s="14" t="e">
        <f t="shared" si="179"/>
        <v>#NUM!</v>
      </c>
      <c r="EM170" s="22" t="e">
        <f t="shared" si="180"/>
        <v>#NUM!</v>
      </c>
      <c r="EN170" s="62" t="e">
        <f t="shared" si="128"/>
        <v>#NUM!</v>
      </c>
      <c r="EO170" s="62">
        <f ca="1">AVERAGE(OFFSET($EN$3,0,0,'Données projet'!$E$15+1,1))-AVERAGE(OFFSET($H$3,0,0,'Données projet'!$E$15+1,1))</f>
        <v>455.50822833641354</v>
      </c>
      <c r="EP170" s="62">
        <f t="shared" si="154"/>
        <v>261.14722581688039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243</v>
      </c>
      <c r="FF170" s="18">
        <f>FE170*VLOOKUP('Données projet'!$B$16,Paramètres!$A$1:$I$89,3,0)*VLOOKUP('Données projet'!$B$16,Paramètres!$A$1:$I$89,5,0)</f>
        <v>212.28480000000002</v>
      </c>
      <c r="FG170" s="14">
        <f t="shared" si="182"/>
        <v>52.434557099704193</v>
      </c>
      <c r="FH170" s="22">
        <f t="shared" si="183"/>
        <v>461.05288028198476</v>
      </c>
      <c r="FI170" s="62">
        <f t="shared" si="131"/>
        <v>754.38621361531807</v>
      </c>
      <c r="FJ170" s="62">
        <f ca="1">AVERAGE(OFFSET($FI$3,0,0,'Données projet'!$E$16+1,1))-AVERAGE(OFFSET($H$3,0,0,'Données projet'!$E$16+1,1))</f>
        <v>369.34989412920129</v>
      </c>
      <c r="FK170" s="62">
        <f t="shared" si="156"/>
        <v>371.26234252426553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0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>
        <f>FZ170*VLOOKUP('Données projet'!$B$17,Paramètres!$A$1:$I$89,3,0)*VLOOKUP('Données projet'!$B$17,Paramètres!$A$1:$I$89,5,0)</f>
        <v>0</v>
      </c>
      <c r="GB170" s="14" t="e">
        <f t="shared" si="185"/>
        <v>#NUM!</v>
      </c>
      <c r="GC170" s="22" t="e">
        <f t="shared" si="186"/>
        <v>#NUM!</v>
      </c>
      <c r="GD170" s="62" t="e">
        <f t="shared" si="134"/>
        <v>#NUM!</v>
      </c>
      <c r="GE170" s="62">
        <f ca="1">AVERAGE(OFFSET($GD$3,0,0,'Données projet'!$E$17+1,1))-AVERAGE(OFFSET($H$3,0,0,'Données projet'!$E$17+1,1))</f>
        <v>324.4489531703187</v>
      </c>
      <c r="GF170" s="62">
        <f t="shared" si="158"/>
        <v>446.55019360848706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projet'!$B$17,Paramètres!$A$1:$I$89,3,0)*0.475*44/12</f>
        <v>0</v>
      </c>
      <c r="GM170" s="23">
        <f>EXP(-LN(2)/25)*GM169+(1-EXP(-LN(2)/25))/(LN(2)/25)*Calculateur!GH170*Calculateur!GJ170*VLOOKUP('Données projet'!$B$17,Paramètres!$A$1:$I$89,3,0)*0.475*44/12</f>
        <v>0</v>
      </c>
      <c r="GN170" s="23">
        <f>EXP(-LN(2)/2)*GN169+(1-EXP(-LN(2)/2))/(LN(2)/2)*GH170*GK170*VLOOKUP('Données projet'!$B$17,Paramètres!$A$1:$I$89,3,0)*0.475*44/12</f>
        <v>0</v>
      </c>
      <c r="GO170" s="23">
        <f t="shared" si="187"/>
        <v>0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1.7053025658242404E-13</v>
      </c>
      <c r="GV170" s="18">
        <f>GU170*VLOOKUP('Données projet'!$B$18,Paramètres!$A$1:$I$89,3,0)*VLOOKUP('Données projet'!$B$18,Paramètres!$A$1:$I$89,5,0)</f>
        <v>1.1439169611549005E-13</v>
      </c>
      <c r="GW170" s="14">
        <f t="shared" si="188"/>
        <v>1.6918016515029816E-12</v>
      </c>
      <c r="GX170" s="22">
        <f t="shared" si="189"/>
        <v>3.1457867471021712E-12</v>
      </c>
      <c r="GY170" s="62">
        <f t="shared" si="137"/>
        <v>293.33333333333644</v>
      </c>
      <c r="GZ170" s="62">
        <f ca="1">AVERAGE(OFFSET($GY$3,0,0,'Données projet'!$E$18+1,1))-AVERAGE(OFFSET($H$3,0,0,'Données projet'!$E$18+1,1))</f>
        <v>312.06797204903796</v>
      </c>
      <c r="HA170" s="62">
        <f t="shared" si="160"/>
        <v>258.20189001775151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>
        <f>EXP(-LN(2)/35)*HG169+(1-EXP(-LN(2)/35))/(LN(2)/35)*HC170*HD170*VLOOKUP('Données projet'!$B$18,Paramètres!$A$1:$I$89,3,0)*0.475*44/12</f>
        <v>0</v>
      </c>
      <c r="HH170" s="23">
        <f>EXP(-LN(2)/25)*HH169+(1-EXP(-LN(2)/25))/(LN(2)/25)*Calculateur!HC170*Calculateur!HE170*VLOOKUP('Données projet'!$B$18,Paramètres!$A$1:$I$89,3,0)*0.475*44/12</f>
        <v>0</v>
      </c>
      <c r="HI170" s="23">
        <f>EXP(-LN(2)/2)*HI169+(1-EXP(-LN(2)/2))/(LN(2)/2)*HC170*HF170*VLOOKUP('Données projet'!$B$18,Paramètres!$A$1:$I$89,3,0)*0.475*44/12</f>
        <v>0</v>
      </c>
      <c r="HJ170" s="24">
        <f t="shared" si="190"/>
        <v>0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5.1431925385259088E-14</v>
      </c>
      <c r="P171" s="14">
        <f t="shared" si="141"/>
        <v>8.3482866290946129E-13</v>
      </c>
      <c r="Q171" s="22">
        <f t="shared" si="162"/>
        <v>1.5435705246133045E-12</v>
      </c>
      <c r="R171" s="62">
        <f t="shared" si="109"/>
        <v>293.33333333333485</v>
      </c>
      <c r="S171" s="62">
        <f ca="1">AVERAGE(OFFSET($R$3,0,0,'Données projet'!$E$9+1,1))-AVERAGE(OFFSET($H$3,0,0,'Données projet'!$E$9+1,1))</f>
        <v>512.84819850818667</v>
      </c>
      <c r="T171" s="62">
        <f t="shared" si="142"/>
        <v>332.61387922152159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-5.6843418860808015E-14</v>
      </c>
      <c r="AJ171" s="14">
        <f>AI171*VLOOKUP('Données projet'!$B$10,Paramètres!$A$1:$I$89,3,0)*VLOOKUP('Données projet'!$B$10,Paramètres!$A$1:$I$89,5,0)</f>
        <v>-4.1677594708744434E-14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344.45199703750711</v>
      </c>
      <c r="AO171" s="62">
        <f t="shared" si="144"/>
        <v>376.41441893222185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5.6843418860808015E-14</v>
      </c>
      <c r="BE171" s="14">
        <f>BD171*VLOOKUP('Données projet'!$B$11,Paramètres!$A$1:$I$89,3,0)*VLOOKUP('Données projet'!$B$11,Paramètres!$A$1:$I$89,5,0)</f>
        <v>5.7639226724859328E-14</v>
      </c>
      <c r="BF171" s="14">
        <f t="shared" si="167"/>
        <v>9.2325701996134334E-13</v>
      </c>
      <c r="BG171" s="22">
        <f t="shared" si="168"/>
        <v>1.708394296311803E-12</v>
      </c>
      <c r="BH171" s="62">
        <f t="shared" si="116"/>
        <v>293.33333333333502</v>
      </c>
      <c r="BI171" s="62">
        <f ca="1">AVERAGE(OFFSET($BH$3,0,0,'Données projet'!$E$11+1,1))-AVERAGE(OFFSET($H$3,0,0,'Données projet'!$E$11+1,1))</f>
        <v>569.39473185784823</v>
      </c>
      <c r="BJ171" s="62">
        <f t="shared" si="146"/>
        <v>367.42881145517066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2.2737367544323206E-13</v>
      </c>
      <c r="BZ171" s="14">
        <f>BY171*VLOOKUP('Données projet'!$B$12,Paramètres!$A$1:$I$89,3,0)*VLOOKUP('Données projet'!$B$12,Paramètres!$A$1:$I$89,5,0)</f>
        <v>1.9508661353029313E-13</v>
      </c>
      <c r="CA171" s="14">
        <f t="shared" si="170"/>
        <v>2.711421636700695E-12</v>
      </c>
      <c r="CB171" s="22">
        <f t="shared" si="171"/>
        <v>5.0621685358189711E-12</v>
      </c>
      <c r="CC171" s="62">
        <f t="shared" si="119"/>
        <v>293.33333333333837</v>
      </c>
      <c r="CD171" s="62">
        <f ca="1">AVERAGE(OFFSET($CC$3,0,0,'Données projet'!$E$12+1,1))-AVERAGE(OFFSET($H$3,0,0,'Données projet'!$E$12+1,1))</f>
        <v>554.06253050955502</v>
      </c>
      <c r="CE171" s="62">
        <f t="shared" si="148"/>
        <v>269.71949336355789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1.1368683772161603E-13</v>
      </c>
      <c r="CU171" s="18">
        <f>CT171*VLOOKUP('Données projet'!$B$13,Paramètres!$A$1:$I$89,3,0)*VLOOKUP('Données projet'!$B$13,Paramètres!$A$1:$I$89,5,0)</f>
        <v>8.8675733422860506E-14</v>
      </c>
      <c r="CV171" s="14">
        <f t="shared" si="173"/>
        <v>1.3509285393066301E-12</v>
      </c>
      <c r="CW171" s="22">
        <f t="shared" si="174"/>
        <v>2.5073107750038623E-12</v>
      </c>
      <c r="CX171" s="62">
        <f t="shared" si="122"/>
        <v>293.33333333333582</v>
      </c>
      <c r="CY171" s="62">
        <f ca="1">AVERAGE(OFFSET($CX$3,0,0,'Données projet'!$E$13+1,1))-AVERAGE(OFFSET($H$3,0,0,'Données projet'!$E$13+1,1))</f>
        <v>292.21364130214391</v>
      </c>
      <c r="CZ171" s="62">
        <f t="shared" si="150"/>
        <v>283.48738729114024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5.6843418860808015E-14</v>
      </c>
      <c r="DP171" s="18">
        <f>DO171*VLOOKUP('Données projet'!$B$14,Paramètres!$A$1:$I$89,3,0)*VLOOKUP('Données projet'!$B$14,Paramètres!$A$1:$I$89,5,0)</f>
        <v>5.4092197387944907E-14</v>
      </c>
      <c r="DQ171" s="14">
        <f t="shared" si="176"/>
        <v>8.7287050538073676E-13</v>
      </c>
      <c r="DR171" s="22">
        <f t="shared" si="177"/>
        <v>1.6144600406554537E-12</v>
      </c>
      <c r="DS171" s="62">
        <f t="shared" si="125"/>
        <v>293.33333333333491</v>
      </c>
      <c r="DT171" s="62">
        <f ca="1">AVERAGE(OFFSET($DS$3,0,0,'Données projet'!$E$14+1,1))-AVERAGE(OFFSET($H$3,0,0,'Données projet'!$E$14+1,1))</f>
        <v>427.47603885390191</v>
      </c>
      <c r="DU171" s="62">
        <f t="shared" si="152"/>
        <v>350.88664394632116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-9.6633812063373625E-13</v>
      </c>
      <c r="EK171" s="18">
        <f>EJ171*VLOOKUP('Données projet'!$B$15,Paramètres!$A$1:$I$89,3,0)*VLOOKUP('Données projet'!$B$15,Paramètres!$A$1:$I$89,5,0)</f>
        <v>-9.3464223027694966E-13</v>
      </c>
      <c r="EL171" s="14" t="e">
        <f t="shared" si="179"/>
        <v>#NUM!</v>
      </c>
      <c r="EM171" s="22" t="e">
        <f t="shared" si="180"/>
        <v>#NUM!</v>
      </c>
      <c r="EN171" s="62" t="e">
        <f t="shared" si="128"/>
        <v>#NUM!</v>
      </c>
      <c r="EO171" s="62">
        <f ca="1">AVERAGE(OFFSET($EN$3,0,0,'Données projet'!$E$15+1,1))-AVERAGE(OFFSET($H$3,0,0,'Données projet'!$E$15+1,1))</f>
        <v>455.50822833641354</v>
      </c>
      <c r="EP171" s="62">
        <f t="shared" si="154"/>
        <v>261.14722581688039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243</v>
      </c>
      <c r="FF171" s="18">
        <f>FE171*VLOOKUP('Données projet'!$B$16,Paramètres!$A$1:$I$89,3,0)*VLOOKUP('Données projet'!$B$16,Paramètres!$A$1:$I$89,5,0)</f>
        <v>212.28480000000002</v>
      </c>
      <c r="FG171" s="14">
        <f t="shared" si="182"/>
        <v>52.434557099704193</v>
      </c>
      <c r="FH171" s="22">
        <f t="shared" si="183"/>
        <v>461.05288028198476</v>
      </c>
      <c r="FI171" s="62">
        <f t="shared" si="131"/>
        <v>754.38621361531807</v>
      </c>
      <c r="FJ171" s="62">
        <f ca="1">AVERAGE(OFFSET($FI$3,0,0,'Données projet'!$E$16+1,1))-AVERAGE(OFFSET($H$3,0,0,'Données projet'!$E$16+1,1))</f>
        <v>369.34989412920129</v>
      </c>
      <c r="FK171" s="62">
        <f t="shared" si="156"/>
        <v>371.26234252426553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0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>
        <f>FZ171*VLOOKUP('Données projet'!$B$17,Paramètres!$A$1:$I$89,3,0)*VLOOKUP('Données projet'!$B$17,Paramètres!$A$1:$I$89,5,0)</f>
        <v>0</v>
      </c>
      <c r="GB171" s="14" t="e">
        <f t="shared" si="185"/>
        <v>#NUM!</v>
      </c>
      <c r="GC171" s="22" t="e">
        <f t="shared" si="186"/>
        <v>#NUM!</v>
      </c>
      <c r="GD171" s="62" t="e">
        <f t="shared" si="134"/>
        <v>#NUM!</v>
      </c>
      <c r="GE171" s="62">
        <f ca="1">AVERAGE(OFFSET($GD$3,0,0,'Données projet'!$E$17+1,1))-AVERAGE(OFFSET($H$3,0,0,'Données projet'!$E$17+1,1))</f>
        <v>324.4489531703187</v>
      </c>
      <c r="GF171" s="62">
        <f t="shared" si="158"/>
        <v>446.55019360848706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projet'!$B$17,Paramètres!$A$1:$I$89,3,0)*0.475*44/12</f>
        <v>0</v>
      </c>
      <c r="GM171" s="23">
        <f>EXP(-LN(2)/25)*GM170+(1-EXP(-LN(2)/25))/(LN(2)/25)*Calculateur!GH171*Calculateur!GJ171*VLOOKUP('Données projet'!$B$17,Paramètres!$A$1:$I$89,3,0)*0.475*44/12</f>
        <v>0</v>
      </c>
      <c r="GN171" s="23">
        <f>EXP(-LN(2)/2)*GN170+(1-EXP(-LN(2)/2))/(LN(2)/2)*GH171*GK171*VLOOKUP('Données projet'!$B$17,Paramètres!$A$1:$I$89,3,0)*0.475*44/12</f>
        <v>0</v>
      </c>
      <c r="GO171" s="23">
        <f t="shared" si="187"/>
        <v>0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1.7053025658242404E-13</v>
      </c>
      <c r="GV171" s="18">
        <f>GU171*VLOOKUP('Données projet'!$B$18,Paramètres!$A$1:$I$89,3,0)*VLOOKUP('Données projet'!$B$18,Paramètres!$A$1:$I$89,5,0)</f>
        <v>1.1439169611549005E-13</v>
      </c>
      <c r="GW171" s="14">
        <f t="shared" si="188"/>
        <v>1.6918016515029816E-12</v>
      </c>
      <c r="GX171" s="22">
        <f t="shared" si="189"/>
        <v>3.1457867471021712E-12</v>
      </c>
      <c r="GY171" s="62">
        <f t="shared" si="137"/>
        <v>293.33333333333644</v>
      </c>
      <c r="GZ171" s="62">
        <f ca="1">AVERAGE(OFFSET($GY$3,0,0,'Données projet'!$E$18+1,1))-AVERAGE(OFFSET($H$3,0,0,'Données projet'!$E$18+1,1))</f>
        <v>312.06797204903796</v>
      </c>
      <c r="HA171" s="62">
        <f t="shared" si="160"/>
        <v>258.20189001775151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>
        <f>EXP(-LN(2)/35)*HG170+(1-EXP(-LN(2)/35))/(LN(2)/35)*HC171*HD171*VLOOKUP('Données projet'!$B$18,Paramètres!$A$1:$I$89,3,0)*0.475*44/12</f>
        <v>0</v>
      </c>
      <c r="HH171" s="23">
        <f>EXP(-LN(2)/25)*HH170+(1-EXP(-LN(2)/25))/(LN(2)/25)*Calculateur!HC171*Calculateur!HE171*VLOOKUP('Données projet'!$B$18,Paramètres!$A$1:$I$89,3,0)*0.475*44/12</f>
        <v>0</v>
      </c>
      <c r="HI171" s="23">
        <f>EXP(-LN(2)/2)*HI170+(1-EXP(-LN(2)/2))/(LN(2)/2)*HC171*HF171*VLOOKUP('Données projet'!$B$18,Paramètres!$A$1:$I$89,3,0)*0.475*44/12</f>
        <v>0</v>
      </c>
      <c r="HJ171" s="24">
        <f t="shared" si="190"/>
        <v>0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5.1431925385259088E-14</v>
      </c>
      <c r="P172" s="14">
        <f t="shared" si="141"/>
        <v>8.3482866290946129E-13</v>
      </c>
      <c r="Q172" s="22">
        <f t="shared" si="162"/>
        <v>1.5435705246133045E-12</v>
      </c>
      <c r="R172" s="62">
        <f t="shared" si="109"/>
        <v>293.33333333333485</v>
      </c>
      <c r="S172" s="62">
        <f ca="1">AVERAGE(OFFSET($R$3,0,0,'Données projet'!$E$9+1,1))-AVERAGE(OFFSET($H$3,0,0,'Données projet'!$E$9+1,1))</f>
        <v>512.84819850818667</v>
      </c>
      <c r="T172" s="62">
        <f t="shared" si="142"/>
        <v>332.61387922152159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-5.6843418860808015E-14</v>
      </c>
      <c r="AJ172" s="14">
        <f>AI172*VLOOKUP('Données projet'!$B$10,Paramètres!$A$1:$I$89,3,0)*VLOOKUP('Données projet'!$B$10,Paramètres!$A$1:$I$89,5,0)</f>
        <v>-4.1677594708744434E-14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344.45199703750711</v>
      </c>
      <c r="AO172" s="62">
        <f t="shared" si="144"/>
        <v>376.41441893222185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5.6843418860808015E-14</v>
      </c>
      <c r="BE172" s="14">
        <f>BD172*VLOOKUP('Données projet'!$B$11,Paramètres!$A$1:$I$89,3,0)*VLOOKUP('Données projet'!$B$11,Paramètres!$A$1:$I$89,5,0)</f>
        <v>5.7639226724859328E-14</v>
      </c>
      <c r="BF172" s="14">
        <f t="shared" si="167"/>
        <v>9.2325701996134334E-13</v>
      </c>
      <c r="BG172" s="22">
        <f t="shared" si="168"/>
        <v>1.708394296311803E-12</v>
      </c>
      <c r="BH172" s="62">
        <f t="shared" si="116"/>
        <v>293.33333333333502</v>
      </c>
      <c r="BI172" s="62">
        <f ca="1">AVERAGE(OFFSET($BH$3,0,0,'Données projet'!$E$11+1,1))-AVERAGE(OFFSET($H$3,0,0,'Données projet'!$E$11+1,1))</f>
        <v>569.39473185784823</v>
      </c>
      <c r="BJ172" s="62">
        <f t="shared" si="146"/>
        <v>367.42881145517066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2.2737367544323206E-13</v>
      </c>
      <c r="BZ172" s="14">
        <f>BY172*VLOOKUP('Données projet'!$B$12,Paramètres!$A$1:$I$89,3,0)*VLOOKUP('Données projet'!$B$12,Paramètres!$A$1:$I$89,5,0)</f>
        <v>1.9508661353029313E-13</v>
      </c>
      <c r="CA172" s="14">
        <f t="shared" si="170"/>
        <v>2.711421636700695E-12</v>
      </c>
      <c r="CB172" s="22">
        <f t="shared" si="171"/>
        <v>5.0621685358189711E-12</v>
      </c>
      <c r="CC172" s="62">
        <f t="shared" si="119"/>
        <v>293.33333333333837</v>
      </c>
      <c r="CD172" s="62">
        <f ca="1">AVERAGE(OFFSET($CC$3,0,0,'Données projet'!$E$12+1,1))-AVERAGE(OFFSET($H$3,0,0,'Données projet'!$E$12+1,1))</f>
        <v>554.06253050955502</v>
      </c>
      <c r="CE172" s="62">
        <f t="shared" si="148"/>
        <v>269.71949336355789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1.1368683772161603E-13</v>
      </c>
      <c r="CU172" s="18">
        <f>CT172*VLOOKUP('Données projet'!$B$13,Paramètres!$A$1:$I$89,3,0)*VLOOKUP('Données projet'!$B$13,Paramètres!$A$1:$I$89,5,0)</f>
        <v>8.8675733422860506E-14</v>
      </c>
      <c r="CV172" s="14">
        <f t="shared" si="173"/>
        <v>1.3509285393066301E-12</v>
      </c>
      <c r="CW172" s="22">
        <f t="shared" si="174"/>
        <v>2.5073107750038623E-12</v>
      </c>
      <c r="CX172" s="62">
        <f t="shared" si="122"/>
        <v>293.33333333333582</v>
      </c>
      <c r="CY172" s="62">
        <f ca="1">AVERAGE(OFFSET($CX$3,0,0,'Données projet'!$E$13+1,1))-AVERAGE(OFFSET($H$3,0,0,'Données projet'!$E$13+1,1))</f>
        <v>292.21364130214391</v>
      </c>
      <c r="CZ172" s="62">
        <f t="shared" si="150"/>
        <v>283.48738729114024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5.6843418860808015E-14</v>
      </c>
      <c r="DP172" s="18">
        <f>DO172*VLOOKUP('Données projet'!$B$14,Paramètres!$A$1:$I$89,3,0)*VLOOKUP('Données projet'!$B$14,Paramètres!$A$1:$I$89,5,0)</f>
        <v>5.4092197387944907E-14</v>
      </c>
      <c r="DQ172" s="14">
        <f t="shared" si="176"/>
        <v>8.7287050538073676E-13</v>
      </c>
      <c r="DR172" s="22">
        <f t="shared" si="177"/>
        <v>1.6144600406554537E-12</v>
      </c>
      <c r="DS172" s="62">
        <f t="shared" si="125"/>
        <v>293.33333333333491</v>
      </c>
      <c r="DT172" s="62">
        <f ca="1">AVERAGE(OFFSET($DS$3,0,0,'Données projet'!$E$14+1,1))-AVERAGE(OFFSET($H$3,0,0,'Données projet'!$E$14+1,1))</f>
        <v>427.47603885390191</v>
      </c>
      <c r="DU172" s="62">
        <f t="shared" si="152"/>
        <v>350.88664394632116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-9.6633812063373625E-13</v>
      </c>
      <c r="EK172" s="18">
        <f>EJ172*VLOOKUP('Données projet'!$B$15,Paramètres!$A$1:$I$89,3,0)*VLOOKUP('Données projet'!$B$15,Paramètres!$A$1:$I$89,5,0)</f>
        <v>-9.3464223027694966E-13</v>
      </c>
      <c r="EL172" s="14" t="e">
        <f t="shared" si="179"/>
        <v>#NUM!</v>
      </c>
      <c r="EM172" s="22" t="e">
        <f t="shared" si="180"/>
        <v>#NUM!</v>
      </c>
      <c r="EN172" s="62" t="e">
        <f t="shared" si="128"/>
        <v>#NUM!</v>
      </c>
      <c r="EO172" s="62">
        <f ca="1">AVERAGE(OFFSET($EN$3,0,0,'Données projet'!$E$15+1,1))-AVERAGE(OFFSET($H$3,0,0,'Données projet'!$E$15+1,1))</f>
        <v>455.50822833641354</v>
      </c>
      <c r="EP172" s="62">
        <f t="shared" si="154"/>
        <v>261.14722581688039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243</v>
      </c>
      <c r="FF172" s="18">
        <f>FE172*VLOOKUP('Données projet'!$B$16,Paramètres!$A$1:$I$89,3,0)*VLOOKUP('Données projet'!$B$16,Paramètres!$A$1:$I$89,5,0)</f>
        <v>212.28480000000002</v>
      </c>
      <c r="FG172" s="14">
        <f t="shared" si="182"/>
        <v>52.434557099704193</v>
      </c>
      <c r="FH172" s="22">
        <f t="shared" si="183"/>
        <v>461.05288028198476</v>
      </c>
      <c r="FI172" s="62">
        <f t="shared" si="131"/>
        <v>754.38621361531807</v>
      </c>
      <c r="FJ172" s="62">
        <f ca="1">AVERAGE(OFFSET($FI$3,0,0,'Données projet'!$E$16+1,1))-AVERAGE(OFFSET($H$3,0,0,'Données projet'!$E$16+1,1))</f>
        <v>369.34989412920129</v>
      </c>
      <c r="FK172" s="62">
        <f t="shared" si="156"/>
        <v>371.26234252426553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0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>
        <f>FZ172*VLOOKUP('Données projet'!$B$17,Paramètres!$A$1:$I$89,3,0)*VLOOKUP('Données projet'!$B$17,Paramètres!$A$1:$I$89,5,0)</f>
        <v>0</v>
      </c>
      <c r="GB172" s="14" t="e">
        <f t="shared" si="185"/>
        <v>#NUM!</v>
      </c>
      <c r="GC172" s="22" t="e">
        <f t="shared" si="186"/>
        <v>#NUM!</v>
      </c>
      <c r="GD172" s="62" t="e">
        <f t="shared" si="134"/>
        <v>#NUM!</v>
      </c>
      <c r="GE172" s="62">
        <f ca="1">AVERAGE(OFFSET($GD$3,0,0,'Données projet'!$E$17+1,1))-AVERAGE(OFFSET($H$3,0,0,'Données projet'!$E$17+1,1))</f>
        <v>324.4489531703187</v>
      </c>
      <c r="GF172" s="62">
        <f t="shared" si="158"/>
        <v>446.55019360848706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projet'!$B$17,Paramètres!$A$1:$I$89,3,0)*0.475*44/12</f>
        <v>0</v>
      </c>
      <c r="GM172" s="23">
        <f>EXP(-LN(2)/25)*GM171+(1-EXP(-LN(2)/25))/(LN(2)/25)*Calculateur!GH172*Calculateur!GJ172*VLOOKUP('Données projet'!$B$17,Paramètres!$A$1:$I$89,3,0)*0.475*44/12</f>
        <v>0</v>
      </c>
      <c r="GN172" s="23">
        <f>EXP(-LN(2)/2)*GN171+(1-EXP(-LN(2)/2))/(LN(2)/2)*GH172*GK172*VLOOKUP('Données projet'!$B$17,Paramètres!$A$1:$I$89,3,0)*0.475*44/12</f>
        <v>0</v>
      </c>
      <c r="GO172" s="23">
        <f t="shared" si="187"/>
        <v>0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1.7053025658242404E-13</v>
      </c>
      <c r="GV172" s="18">
        <f>GU172*VLOOKUP('Données projet'!$B$18,Paramètres!$A$1:$I$89,3,0)*VLOOKUP('Données projet'!$B$18,Paramètres!$A$1:$I$89,5,0)</f>
        <v>1.1439169611549005E-13</v>
      </c>
      <c r="GW172" s="14">
        <f t="shared" si="188"/>
        <v>1.6918016515029816E-12</v>
      </c>
      <c r="GX172" s="22">
        <f t="shared" si="189"/>
        <v>3.1457867471021712E-12</v>
      </c>
      <c r="GY172" s="62">
        <f t="shared" si="137"/>
        <v>293.33333333333644</v>
      </c>
      <c r="GZ172" s="62">
        <f ca="1">AVERAGE(OFFSET($GY$3,0,0,'Données projet'!$E$18+1,1))-AVERAGE(OFFSET($H$3,0,0,'Données projet'!$E$18+1,1))</f>
        <v>312.06797204903796</v>
      </c>
      <c r="HA172" s="62">
        <f t="shared" si="160"/>
        <v>258.20189001775151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>
        <f>EXP(-LN(2)/35)*HG171+(1-EXP(-LN(2)/35))/(LN(2)/35)*HC172*HD172*VLOOKUP('Données projet'!$B$18,Paramètres!$A$1:$I$89,3,0)*0.475*44/12</f>
        <v>0</v>
      </c>
      <c r="HH172" s="23">
        <f>EXP(-LN(2)/25)*HH171+(1-EXP(-LN(2)/25))/(LN(2)/25)*Calculateur!HC172*Calculateur!HE172*VLOOKUP('Données projet'!$B$18,Paramètres!$A$1:$I$89,3,0)*0.475*44/12</f>
        <v>0</v>
      </c>
      <c r="HI172" s="23">
        <f>EXP(-LN(2)/2)*HI171+(1-EXP(-LN(2)/2))/(LN(2)/2)*HC172*HF172*VLOOKUP('Données projet'!$B$18,Paramètres!$A$1:$I$89,3,0)*0.475*44/12</f>
        <v>0</v>
      </c>
      <c r="HJ172" s="24">
        <f t="shared" si="190"/>
        <v>0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5.1431925385259088E-14</v>
      </c>
      <c r="P173" s="14">
        <f t="shared" si="141"/>
        <v>8.3482866290946129E-13</v>
      </c>
      <c r="Q173" s="22">
        <f t="shared" si="162"/>
        <v>1.5435705246133045E-12</v>
      </c>
      <c r="R173" s="62">
        <f t="shared" si="109"/>
        <v>293.33333333333485</v>
      </c>
      <c r="S173" s="62">
        <f ca="1">AVERAGE(OFFSET($R$3,0,0,'Données projet'!$E$9+1,1))-AVERAGE(OFFSET($H$3,0,0,'Données projet'!$E$9+1,1))</f>
        <v>512.84819850818667</v>
      </c>
      <c r="T173" s="62">
        <f t="shared" si="142"/>
        <v>332.61387922152159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-5.6843418860808015E-14</v>
      </c>
      <c r="AJ173" s="14">
        <f>AI173*VLOOKUP('Données projet'!$B$10,Paramètres!$A$1:$I$89,3,0)*VLOOKUP('Données projet'!$B$10,Paramètres!$A$1:$I$89,5,0)</f>
        <v>-4.1677594708744434E-14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344.45199703750711</v>
      </c>
      <c r="AO173" s="62">
        <f t="shared" si="144"/>
        <v>376.41441893222185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5.6843418860808015E-14</v>
      </c>
      <c r="BE173" s="14">
        <f>BD173*VLOOKUP('Données projet'!$B$11,Paramètres!$A$1:$I$89,3,0)*VLOOKUP('Données projet'!$B$11,Paramètres!$A$1:$I$89,5,0)</f>
        <v>5.7639226724859328E-14</v>
      </c>
      <c r="BF173" s="14">
        <f t="shared" si="167"/>
        <v>9.2325701996134334E-13</v>
      </c>
      <c r="BG173" s="22">
        <f t="shared" si="168"/>
        <v>1.708394296311803E-12</v>
      </c>
      <c r="BH173" s="62">
        <f t="shared" si="116"/>
        <v>293.33333333333502</v>
      </c>
      <c r="BI173" s="62">
        <f ca="1">AVERAGE(OFFSET($BH$3,0,0,'Données projet'!$E$11+1,1))-AVERAGE(OFFSET($H$3,0,0,'Données projet'!$E$11+1,1))</f>
        <v>569.39473185784823</v>
      </c>
      <c r="BJ173" s="62">
        <f t="shared" si="146"/>
        <v>367.42881145517066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2.2737367544323206E-13</v>
      </c>
      <c r="BZ173" s="14">
        <f>BY173*VLOOKUP('Données projet'!$B$12,Paramètres!$A$1:$I$89,3,0)*VLOOKUP('Données projet'!$B$12,Paramètres!$A$1:$I$89,5,0)</f>
        <v>1.9508661353029313E-13</v>
      </c>
      <c r="CA173" s="14">
        <f t="shared" si="170"/>
        <v>2.711421636700695E-12</v>
      </c>
      <c r="CB173" s="22">
        <f t="shared" si="171"/>
        <v>5.0621685358189711E-12</v>
      </c>
      <c r="CC173" s="62">
        <f t="shared" si="119"/>
        <v>293.33333333333837</v>
      </c>
      <c r="CD173" s="62">
        <f ca="1">AVERAGE(OFFSET($CC$3,0,0,'Données projet'!$E$12+1,1))-AVERAGE(OFFSET($H$3,0,0,'Données projet'!$E$12+1,1))</f>
        <v>554.06253050955502</v>
      </c>
      <c r="CE173" s="62">
        <f t="shared" si="148"/>
        <v>269.71949336355789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1.1368683772161603E-13</v>
      </c>
      <c r="CU173" s="18">
        <f>CT173*VLOOKUP('Données projet'!$B$13,Paramètres!$A$1:$I$89,3,0)*VLOOKUP('Données projet'!$B$13,Paramètres!$A$1:$I$89,5,0)</f>
        <v>8.8675733422860506E-14</v>
      </c>
      <c r="CV173" s="14">
        <f t="shared" si="173"/>
        <v>1.3509285393066301E-12</v>
      </c>
      <c r="CW173" s="22">
        <f t="shared" si="174"/>
        <v>2.5073107750038623E-12</v>
      </c>
      <c r="CX173" s="62">
        <f t="shared" si="122"/>
        <v>293.33333333333582</v>
      </c>
      <c r="CY173" s="62">
        <f ca="1">AVERAGE(OFFSET($CX$3,0,0,'Données projet'!$E$13+1,1))-AVERAGE(OFFSET($H$3,0,0,'Données projet'!$E$13+1,1))</f>
        <v>292.21364130214391</v>
      </c>
      <c r="CZ173" s="62">
        <f t="shared" si="150"/>
        <v>283.48738729114024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5.6843418860808015E-14</v>
      </c>
      <c r="DP173" s="18">
        <f>DO173*VLOOKUP('Données projet'!$B$14,Paramètres!$A$1:$I$89,3,0)*VLOOKUP('Données projet'!$B$14,Paramètres!$A$1:$I$89,5,0)</f>
        <v>5.4092197387944907E-14</v>
      </c>
      <c r="DQ173" s="14">
        <f t="shared" si="176"/>
        <v>8.7287050538073676E-13</v>
      </c>
      <c r="DR173" s="22">
        <f t="shared" si="177"/>
        <v>1.6144600406554537E-12</v>
      </c>
      <c r="DS173" s="62">
        <f t="shared" si="125"/>
        <v>293.33333333333491</v>
      </c>
      <c r="DT173" s="62">
        <f ca="1">AVERAGE(OFFSET($DS$3,0,0,'Données projet'!$E$14+1,1))-AVERAGE(OFFSET($H$3,0,0,'Données projet'!$E$14+1,1))</f>
        <v>427.47603885390191</v>
      </c>
      <c r="DU173" s="62">
        <f t="shared" si="152"/>
        <v>350.88664394632116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-9.6633812063373625E-13</v>
      </c>
      <c r="EK173" s="18">
        <f>EJ173*VLOOKUP('Données projet'!$B$15,Paramètres!$A$1:$I$89,3,0)*VLOOKUP('Données projet'!$B$15,Paramètres!$A$1:$I$89,5,0)</f>
        <v>-9.3464223027694966E-13</v>
      </c>
      <c r="EL173" s="14" t="e">
        <f t="shared" si="179"/>
        <v>#NUM!</v>
      </c>
      <c r="EM173" s="22" t="e">
        <f t="shared" si="180"/>
        <v>#NUM!</v>
      </c>
      <c r="EN173" s="62" t="e">
        <f t="shared" si="128"/>
        <v>#NUM!</v>
      </c>
      <c r="EO173" s="62">
        <f ca="1">AVERAGE(OFFSET($EN$3,0,0,'Données projet'!$E$15+1,1))-AVERAGE(OFFSET($H$3,0,0,'Données projet'!$E$15+1,1))</f>
        <v>455.50822833641354</v>
      </c>
      <c r="EP173" s="62">
        <f t="shared" si="154"/>
        <v>261.14722581688039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243</v>
      </c>
      <c r="FF173" s="18">
        <f>FE173*VLOOKUP('Données projet'!$B$16,Paramètres!$A$1:$I$89,3,0)*VLOOKUP('Données projet'!$B$16,Paramètres!$A$1:$I$89,5,0)</f>
        <v>212.28480000000002</v>
      </c>
      <c r="FG173" s="14">
        <f t="shared" si="182"/>
        <v>52.434557099704193</v>
      </c>
      <c r="FH173" s="22">
        <f t="shared" si="183"/>
        <v>461.05288028198476</v>
      </c>
      <c r="FI173" s="62">
        <f t="shared" si="131"/>
        <v>754.38621361531807</v>
      </c>
      <c r="FJ173" s="62">
        <f ca="1">AVERAGE(OFFSET($FI$3,0,0,'Données projet'!$E$16+1,1))-AVERAGE(OFFSET($H$3,0,0,'Données projet'!$E$16+1,1))</f>
        <v>369.34989412920129</v>
      </c>
      <c r="FK173" s="62">
        <f t="shared" si="156"/>
        <v>371.26234252426553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0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>
        <f>FZ173*VLOOKUP('Données projet'!$B$17,Paramètres!$A$1:$I$89,3,0)*VLOOKUP('Données projet'!$B$17,Paramètres!$A$1:$I$89,5,0)</f>
        <v>0</v>
      </c>
      <c r="GB173" s="14" t="e">
        <f t="shared" si="185"/>
        <v>#NUM!</v>
      </c>
      <c r="GC173" s="22" t="e">
        <f t="shared" si="186"/>
        <v>#NUM!</v>
      </c>
      <c r="GD173" s="62" t="e">
        <f t="shared" si="134"/>
        <v>#NUM!</v>
      </c>
      <c r="GE173" s="62">
        <f ca="1">AVERAGE(OFFSET($GD$3,0,0,'Données projet'!$E$17+1,1))-AVERAGE(OFFSET($H$3,0,0,'Données projet'!$E$17+1,1))</f>
        <v>324.4489531703187</v>
      </c>
      <c r="GF173" s="62">
        <f t="shared" si="158"/>
        <v>446.55019360848706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projet'!$B$17,Paramètres!$A$1:$I$89,3,0)*0.475*44/12</f>
        <v>0</v>
      </c>
      <c r="GM173" s="23">
        <f>EXP(-LN(2)/25)*GM172+(1-EXP(-LN(2)/25))/(LN(2)/25)*Calculateur!GH173*Calculateur!GJ173*VLOOKUP('Données projet'!$B$17,Paramètres!$A$1:$I$89,3,0)*0.475*44/12</f>
        <v>0</v>
      </c>
      <c r="GN173" s="23">
        <f>EXP(-LN(2)/2)*GN172+(1-EXP(-LN(2)/2))/(LN(2)/2)*GH173*GK173*VLOOKUP('Données projet'!$B$17,Paramètres!$A$1:$I$89,3,0)*0.475*44/12</f>
        <v>0</v>
      </c>
      <c r="GO173" s="23">
        <f t="shared" si="187"/>
        <v>0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1.7053025658242404E-13</v>
      </c>
      <c r="GV173" s="18">
        <f>GU173*VLOOKUP('Données projet'!$B$18,Paramètres!$A$1:$I$89,3,0)*VLOOKUP('Données projet'!$B$18,Paramètres!$A$1:$I$89,5,0)</f>
        <v>1.1439169611549005E-13</v>
      </c>
      <c r="GW173" s="14">
        <f t="shared" si="188"/>
        <v>1.6918016515029816E-12</v>
      </c>
      <c r="GX173" s="22">
        <f t="shared" si="189"/>
        <v>3.1457867471021712E-12</v>
      </c>
      <c r="GY173" s="62">
        <f t="shared" si="137"/>
        <v>293.33333333333644</v>
      </c>
      <c r="GZ173" s="62">
        <f ca="1">AVERAGE(OFFSET($GY$3,0,0,'Données projet'!$E$18+1,1))-AVERAGE(OFFSET($H$3,0,0,'Données projet'!$E$18+1,1))</f>
        <v>312.06797204903796</v>
      </c>
      <c r="HA173" s="62">
        <f t="shared" si="160"/>
        <v>258.20189001775151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>
        <f>EXP(-LN(2)/35)*HG172+(1-EXP(-LN(2)/35))/(LN(2)/35)*HC173*HD173*VLOOKUP('Données projet'!$B$18,Paramètres!$A$1:$I$89,3,0)*0.475*44/12</f>
        <v>0</v>
      </c>
      <c r="HH173" s="23">
        <f>EXP(-LN(2)/25)*HH172+(1-EXP(-LN(2)/25))/(LN(2)/25)*Calculateur!HC173*Calculateur!HE173*VLOOKUP('Données projet'!$B$18,Paramètres!$A$1:$I$89,3,0)*0.475*44/12</f>
        <v>0</v>
      </c>
      <c r="HI173" s="23">
        <f>EXP(-LN(2)/2)*HI172+(1-EXP(-LN(2)/2))/(LN(2)/2)*HC173*HF173*VLOOKUP('Données projet'!$B$18,Paramètres!$A$1:$I$89,3,0)*0.475*44/12</f>
        <v>0</v>
      </c>
      <c r="HJ173" s="24">
        <f t="shared" si="190"/>
        <v>0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5.1431925385259088E-14</v>
      </c>
      <c r="P174" s="14">
        <f t="shared" si="141"/>
        <v>8.3482866290946129E-13</v>
      </c>
      <c r="Q174" s="22">
        <f t="shared" si="162"/>
        <v>1.5435705246133045E-12</v>
      </c>
      <c r="R174" s="62">
        <f t="shared" si="109"/>
        <v>293.33333333333485</v>
      </c>
      <c r="S174" s="62">
        <f ca="1">AVERAGE(OFFSET($R$3,0,0,'Données projet'!$E$9+1,1))-AVERAGE(OFFSET($H$3,0,0,'Données projet'!$E$9+1,1))</f>
        <v>512.84819850818667</v>
      </c>
      <c r="T174" s="62">
        <f t="shared" si="142"/>
        <v>332.61387922152159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-5.6843418860808015E-14</v>
      </c>
      <c r="AJ174" s="14">
        <f>AI174*VLOOKUP('Données projet'!$B$10,Paramètres!$A$1:$I$89,3,0)*VLOOKUP('Données projet'!$B$10,Paramètres!$A$1:$I$89,5,0)</f>
        <v>-4.1677594708744434E-14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344.45199703750711</v>
      </c>
      <c r="AO174" s="62">
        <f t="shared" si="144"/>
        <v>376.41441893222185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5.6843418860808015E-14</v>
      </c>
      <c r="BE174" s="14">
        <f>BD174*VLOOKUP('Données projet'!$B$11,Paramètres!$A$1:$I$89,3,0)*VLOOKUP('Données projet'!$B$11,Paramètres!$A$1:$I$89,5,0)</f>
        <v>5.7639226724859328E-14</v>
      </c>
      <c r="BF174" s="14">
        <f t="shared" si="167"/>
        <v>9.2325701996134334E-13</v>
      </c>
      <c r="BG174" s="22">
        <f t="shared" si="168"/>
        <v>1.708394296311803E-12</v>
      </c>
      <c r="BH174" s="62">
        <f t="shared" si="116"/>
        <v>293.33333333333502</v>
      </c>
      <c r="BI174" s="62">
        <f ca="1">AVERAGE(OFFSET($BH$3,0,0,'Données projet'!$E$11+1,1))-AVERAGE(OFFSET($H$3,0,0,'Données projet'!$E$11+1,1))</f>
        <v>569.39473185784823</v>
      </c>
      <c r="BJ174" s="62">
        <f t="shared" si="146"/>
        <v>367.42881145517066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2.2737367544323206E-13</v>
      </c>
      <c r="BZ174" s="14">
        <f>BY174*VLOOKUP('Données projet'!$B$12,Paramètres!$A$1:$I$89,3,0)*VLOOKUP('Données projet'!$B$12,Paramètres!$A$1:$I$89,5,0)</f>
        <v>1.9508661353029313E-13</v>
      </c>
      <c r="CA174" s="14">
        <f t="shared" si="170"/>
        <v>2.711421636700695E-12</v>
      </c>
      <c r="CB174" s="22">
        <f t="shared" si="171"/>
        <v>5.0621685358189711E-12</v>
      </c>
      <c r="CC174" s="62">
        <f t="shared" si="119"/>
        <v>293.33333333333837</v>
      </c>
      <c r="CD174" s="62">
        <f ca="1">AVERAGE(OFFSET($CC$3,0,0,'Données projet'!$E$12+1,1))-AVERAGE(OFFSET($H$3,0,0,'Données projet'!$E$12+1,1))</f>
        <v>554.06253050955502</v>
      </c>
      <c r="CE174" s="62">
        <f t="shared" si="148"/>
        <v>269.71949336355789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1.1368683772161603E-13</v>
      </c>
      <c r="CU174" s="18">
        <f>CT174*VLOOKUP('Données projet'!$B$13,Paramètres!$A$1:$I$89,3,0)*VLOOKUP('Données projet'!$B$13,Paramètres!$A$1:$I$89,5,0)</f>
        <v>8.8675733422860506E-14</v>
      </c>
      <c r="CV174" s="14">
        <f t="shared" si="173"/>
        <v>1.3509285393066301E-12</v>
      </c>
      <c r="CW174" s="22">
        <f t="shared" si="174"/>
        <v>2.5073107750038623E-12</v>
      </c>
      <c r="CX174" s="62">
        <f t="shared" si="122"/>
        <v>293.33333333333582</v>
      </c>
      <c r="CY174" s="62">
        <f ca="1">AVERAGE(OFFSET($CX$3,0,0,'Données projet'!$E$13+1,1))-AVERAGE(OFFSET($H$3,0,0,'Données projet'!$E$13+1,1))</f>
        <v>292.21364130214391</v>
      </c>
      <c r="CZ174" s="62">
        <f t="shared" si="150"/>
        <v>283.48738729114024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5.6843418860808015E-14</v>
      </c>
      <c r="DP174" s="18">
        <f>DO174*VLOOKUP('Données projet'!$B$14,Paramètres!$A$1:$I$89,3,0)*VLOOKUP('Données projet'!$B$14,Paramètres!$A$1:$I$89,5,0)</f>
        <v>5.4092197387944907E-14</v>
      </c>
      <c r="DQ174" s="14">
        <f t="shared" si="176"/>
        <v>8.7287050538073676E-13</v>
      </c>
      <c r="DR174" s="22">
        <f t="shared" si="177"/>
        <v>1.6144600406554537E-12</v>
      </c>
      <c r="DS174" s="62">
        <f t="shared" si="125"/>
        <v>293.33333333333491</v>
      </c>
      <c r="DT174" s="62">
        <f ca="1">AVERAGE(OFFSET($DS$3,0,0,'Données projet'!$E$14+1,1))-AVERAGE(OFFSET($H$3,0,0,'Données projet'!$E$14+1,1))</f>
        <v>427.47603885390191</v>
      </c>
      <c r="DU174" s="62">
        <f t="shared" si="152"/>
        <v>350.88664394632116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-9.6633812063373625E-13</v>
      </c>
      <c r="EK174" s="18">
        <f>EJ174*VLOOKUP('Données projet'!$B$15,Paramètres!$A$1:$I$89,3,0)*VLOOKUP('Données projet'!$B$15,Paramètres!$A$1:$I$89,5,0)</f>
        <v>-9.3464223027694966E-13</v>
      </c>
      <c r="EL174" s="14" t="e">
        <f t="shared" si="179"/>
        <v>#NUM!</v>
      </c>
      <c r="EM174" s="22" t="e">
        <f t="shared" si="180"/>
        <v>#NUM!</v>
      </c>
      <c r="EN174" s="62" t="e">
        <f t="shared" si="128"/>
        <v>#NUM!</v>
      </c>
      <c r="EO174" s="62">
        <f ca="1">AVERAGE(OFFSET($EN$3,0,0,'Données projet'!$E$15+1,1))-AVERAGE(OFFSET($H$3,0,0,'Données projet'!$E$15+1,1))</f>
        <v>455.50822833641354</v>
      </c>
      <c r="EP174" s="62">
        <f t="shared" si="154"/>
        <v>261.14722581688039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243</v>
      </c>
      <c r="FF174" s="18">
        <f>FE174*VLOOKUP('Données projet'!$B$16,Paramètres!$A$1:$I$89,3,0)*VLOOKUP('Données projet'!$B$16,Paramètres!$A$1:$I$89,5,0)</f>
        <v>212.28480000000002</v>
      </c>
      <c r="FG174" s="14">
        <f t="shared" si="182"/>
        <v>52.434557099704193</v>
      </c>
      <c r="FH174" s="22">
        <f t="shared" si="183"/>
        <v>461.05288028198476</v>
      </c>
      <c r="FI174" s="62">
        <f t="shared" si="131"/>
        <v>754.38621361531807</v>
      </c>
      <c r="FJ174" s="62">
        <f ca="1">AVERAGE(OFFSET($FI$3,0,0,'Données projet'!$E$16+1,1))-AVERAGE(OFFSET($H$3,0,0,'Données projet'!$E$16+1,1))</f>
        <v>369.34989412920129</v>
      </c>
      <c r="FK174" s="62">
        <f t="shared" si="156"/>
        <v>371.26234252426553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0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>
        <f>FZ174*VLOOKUP('Données projet'!$B$17,Paramètres!$A$1:$I$89,3,0)*VLOOKUP('Données projet'!$B$17,Paramètres!$A$1:$I$89,5,0)</f>
        <v>0</v>
      </c>
      <c r="GB174" s="14" t="e">
        <f t="shared" si="185"/>
        <v>#NUM!</v>
      </c>
      <c r="GC174" s="22" t="e">
        <f t="shared" si="186"/>
        <v>#NUM!</v>
      </c>
      <c r="GD174" s="62" t="e">
        <f t="shared" si="134"/>
        <v>#NUM!</v>
      </c>
      <c r="GE174" s="62">
        <f ca="1">AVERAGE(OFFSET($GD$3,0,0,'Données projet'!$E$17+1,1))-AVERAGE(OFFSET($H$3,0,0,'Données projet'!$E$17+1,1))</f>
        <v>324.4489531703187</v>
      </c>
      <c r="GF174" s="62">
        <f t="shared" si="158"/>
        <v>446.55019360848706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projet'!$B$17,Paramètres!$A$1:$I$89,3,0)*0.475*44/12</f>
        <v>0</v>
      </c>
      <c r="GM174" s="23">
        <f>EXP(-LN(2)/25)*GM173+(1-EXP(-LN(2)/25))/(LN(2)/25)*Calculateur!GH174*Calculateur!GJ174*VLOOKUP('Données projet'!$B$17,Paramètres!$A$1:$I$89,3,0)*0.475*44/12</f>
        <v>0</v>
      </c>
      <c r="GN174" s="23">
        <f>EXP(-LN(2)/2)*GN173+(1-EXP(-LN(2)/2))/(LN(2)/2)*GH174*GK174*VLOOKUP('Données projet'!$B$17,Paramètres!$A$1:$I$89,3,0)*0.475*44/12</f>
        <v>0</v>
      </c>
      <c r="GO174" s="23">
        <f t="shared" si="187"/>
        <v>0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1.7053025658242404E-13</v>
      </c>
      <c r="GV174" s="18">
        <f>GU174*VLOOKUP('Données projet'!$B$18,Paramètres!$A$1:$I$89,3,0)*VLOOKUP('Données projet'!$B$18,Paramètres!$A$1:$I$89,5,0)</f>
        <v>1.1439169611549005E-13</v>
      </c>
      <c r="GW174" s="14">
        <f t="shared" si="188"/>
        <v>1.6918016515029816E-12</v>
      </c>
      <c r="GX174" s="22">
        <f t="shared" si="189"/>
        <v>3.1457867471021712E-12</v>
      </c>
      <c r="GY174" s="62">
        <f t="shared" si="137"/>
        <v>293.33333333333644</v>
      </c>
      <c r="GZ174" s="62">
        <f ca="1">AVERAGE(OFFSET($GY$3,0,0,'Données projet'!$E$18+1,1))-AVERAGE(OFFSET($H$3,0,0,'Données projet'!$E$18+1,1))</f>
        <v>312.06797204903796</v>
      </c>
      <c r="HA174" s="62">
        <f t="shared" si="160"/>
        <v>258.20189001775151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>
        <f>EXP(-LN(2)/35)*HG173+(1-EXP(-LN(2)/35))/(LN(2)/35)*HC174*HD174*VLOOKUP('Données projet'!$B$18,Paramètres!$A$1:$I$89,3,0)*0.475*44/12</f>
        <v>0</v>
      </c>
      <c r="HH174" s="23">
        <f>EXP(-LN(2)/25)*HH173+(1-EXP(-LN(2)/25))/(LN(2)/25)*Calculateur!HC174*Calculateur!HE174*VLOOKUP('Données projet'!$B$18,Paramètres!$A$1:$I$89,3,0)*0.475*44/12</f>
        <v>0</v>
      </c>
      <c r="HI174" s="23">
        <f>EXP(-LN(2)/2)*HI173+(1-EXP(-LN(2)/2))/(LN(2)/2)*HC174*HF174*VLOOKUP('Données projet'!$B$18,Paramètres!$A$1:$I$89,3,0)*0.475*44/12</f>
        <v>0</v>
      </c>
      <c r="HJ174" s="24">
        <f t="shared" si="190"/>
        <v>0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5.1431925385259088E-14</v>
      </c>
      <c r="P175" s="14">
        <f t="shared" si="141"/>
        <v>8.3482866290946129E-13</v>
      </c>
      <c r="Q175" s="22">
        <f t="shared" si="162"/>
        <v>1.5435705246133045E-12</v>
      </c>
      <c r="R175" s="62">
        <f t="shared" si="109"/>
        <v>293.33333333333485</v>
      </c>
      <c r="S175" s="62">
        <f ca="1">AVERAGE(OFFSET($R$3,0,0,'Données projet'!$E$9+1,1))-AVERAGE(OFFSET($H$3,0,0,'Données projet'!$E$9+1,1))</f>
        <v>512.84819850818667</v>
      </c>
      <c r="T175" s="62">
        <f t="shared" si="142"/>
        <v>332.61387922152159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-5.6843418860808015E-14</v>
      </c>
      <c r="AJ175" s="14">
        <f>AI175*VLOOKUP('Données projet'!$B$10,Paramètres!$A$1:$I$89,3,0)*VLOOKUP('Données projet'!$B$10,Paramètres!$A$1:$I$89,5,0)</f>
        <v>-4.1677594708744434E-14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344.45199703750711</v>
      </c>
      <c r="AO175" s="62">
        <f t="shared" si="144"/>
        <v>376.41441893222185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5.6843418860808015E-14</v>
      </c>
      <c r="BE175" s="14">
        <f>BD175*VLOOKUP('Données projet'!$B$11,Paramètres!$A$1:$I$89,3,0)*VLOOKUP('Données projet'!$B$11,Paramètres!$A$1:$I$89,5,0)</f>
        <v>5.7639226724859328E-14</v>
      </c>
      <c r="BF175" s="14">
        <f t="shared" si="167"/>
        <v>9.2325701996134334E-13</v>
      </c>
      <c r="BG175" s="22">
        <f t="shared" si="168"/>
        <v>1.708394296311803E-12</v>
      </c>
      <c r="BH175" s="62">
        <f t="shared" si="116"/>
        <v>293.33333333333502</v>
      </c>
      <c r="BI175" s="62">
        <f ca="1">AVERAGE(OFFSET($BH$3,0,0,'Données projet'!$E$11+1,1))-AVERAGE(OFFSET($H$3,0,0,'Données projet'!$E$11+1,1))</f>
        <v>569.39473185784823</v>
      </c>
      <c r="BJ175" s="62">
        <f t="shared" si="146"/>
        <v>367.42881145517066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2.2737367544323206E-13</v>
      </c>
      <c r="BZ175" s="14">
        <f>BY175*VLOOKUP('Données projet'!$B$12,Paramètres!$A$1:$I$89,3,0)*VLOOKUP('Données projet'!$B$12,Paramètres!$A$1:$I$89,5,0)</f>
        <v>1.9508661353029313E-13</v>
      </c>
      <c r="CA175" s="14">
        <f t="shared" si="170"/>
        <v>2.711421636700695E-12</v>
      </c>
      <c r="CB175" s="22">
        <f t="shared" si="171"/>
        <v>5.0621685358189711E-12</v>
      </c>
      <c r="CC175" s="62">
        <f t="shared" si="119"/>
        <v>293.33333333333837</v>
      </c>
      <c r="CD175" s="62">
        <f ca="1">AVERAGE(OFFSET($CC$3,0,0,'Données projet'!$E$12+1,1))-AVERAGE(OFFSET($H$3,0,0,'Données projet'!$E$12+1,1))</f>
        <v>554.06253050955502</v>
      </c>
      <c r="CE175" s="62">
        <f t="shared" si="148"/>
        <v>269.71949336355789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1.1368683772161603E-13</v>
      </c>
      <c r="CU175" s="18">
        <f>CT175*VLOOKUP('Données projet'!$B$13,Paramètres!$A$1:$I$89,3,0)*VLOOKUP('Données projet'!$B$13,Paramètres!$A$1:$I$89,5,0)</f>
        <v>8.8675733422860506E-14</v>
      </c>
      <c r="CV175" s="14">
        <f t="shared" si="173"/>
        <v>1.3509285393066301E-12</v>
      </c>
      <c r="CW175" s="22">
        <f t="shared" si="174"/>
        <v>2.5073107750038623E-12</v>
      </c>
      <c r="CX175" s="62">
        <f t="shared" si="122"/>
        <v>293.33333333333582</v>
      </c>
      <c r="CY175" s="62">
        <f ca="1">AVERAGE(OFFSET($CX$3,0,0,'Données projet'!$E$13+1,1))-AVERAGE(OFFSET($H$3,0,0,'Données projet'!$E$13+1,1))</f>
        <v>292.21364130214391</v>
      </c>
      <c r="CZ175" s="62">
        <f t="shared" si="150"/>
        <v>283.48738729114024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5.6843418860808015E-14</v>
      </c>
      <c r="DP175" s="18">
        <f>DO175*VLOOKUP('Données projet'!$B$14,Paramètres!$A$1:$I$89,3,0)*VLOOKUP('Données projet'!$B$14,Paramètres!$A$1:$I$89,5,0)</f>
        <v>5.4092197387944907E-14</v>
      </c>
      <c r="DQ175" s="14">
        <f t="shared" si="176"/>
        <v>8.7287050538073676E-13</v>
      </c>
      <c r="DR175" s="22">
        <f t="shared" si="177"/>
        <v>1.6144600406554537E-12</v>
      </c>
      <c r="DS175" s="62">
        <f t="shared" si="125"/>
        <v>293.33333333333491</v>
      </c>
      <c r="DT175" s="62">
        <f ca="1">AVERAGE(OFFSET($DS$3,0,0,'Données projet'!$E$14+1,1))-AVERAGE(OFFSET($H$3,0,0,'Données projet'!$E$14+1,1))</f>
        <v>427.47603885390191</v>
      </c>
      <c r="DU175" s="62">
        <f t="shared" si="152"/>
        <v>350.88664394632116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-9.6633812063373625E-13</v>
      </c>
      <c r="EK175" s="18">
        <f>EJ175*VLOOKUP('Données projet'!$B$15,Paramètres!$A$1:$I$89,3,0)*VLOOKUP('Données projet'!$B$15,Paramètres!$A$1:$I$89,5,0)</f>
        <v>-9.3464223027694966E-13</v>
      </c>
      <c r="EL175" s="14" t="e">
        <f t="shared" si="179"/>
        <v>#NUM!</v>
      </c>
      <c r="EM175" s="22" t="e">
        <f t="shared" si="180"/>
        <v>#NUM!</v>
      </c>
      <c r="EN175" s="62" t="e">
        <f t="shared" si="128"/>
        <v>#NUM!</v>
      </c>
      <c r="EO175" s="62">
        <f ca="1">AVERAGE(OFFSET($EN$3,0,0,'Données projet'!$E$15+1,1))-AVERAGE(OFFSET($H$3,0,0,'Données projet'!$E$15+1,1))</f>
        <v>455.50822833641354</v>
      </c>
      <c r="EP175" s="62">
        <f t="shared" si="154"/>
        <v>261.14722581688039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243</v>
      </c>
      <c r="FF175" s="18">
        <f>FE175*VLOOKUP('Données projet'!$B$16,Paramètres!$A$1:$I$89,3,0)*VLOOKUP('Données projet'!$B$16,Paramètres!$A$1:$I$89,5,0)</f>
        <v>212.28480000000002</v>
      </c>
      <c r="FG175" s="14">
        <f t="shared" si="182"/>
        <v>52.434557099704193</v>
      </c>
      <c r="FH175" s="22">
        <f t="shared" si="183"/>
        <v>461.05288028198476</v>
      </c>
      <c r="FI175" s="62">
        <f t="shared" si="131"/>
        <v>754.38621361531807</v>
      </c>
      <c r="FJ175" s="62">
        <f ca="1">AVERAGE(OFFSET($FI$3,0,0,'Données projet'!$E$16+1,1))-AVERAGE(OFFSET($H$3,0,0,'Données projet'!$E$16+1,1))</f>
        <v>369.34989412920129</v>
      </c>
      <c r="FK175" s="62">
        <f t="shared" si="156"/>
        <v>371.26234252426553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0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>
        <f>FZ175*VLOOKUP('Données projet'!$B$17,Paramètres!$A$1:$I$89,3,0)*VLOOKUP('Données projet'!$B$17,Paramètres!$A$1:$I$89,5,0)</f>
        <v>0</v>
      </c>
      <c r="GB175" s="14" t="e">
        <f t="shared" si="185"/>
        <v>#NUM!</v>
      </c>
      <c r="GC175" s="22" t="e">
        <f t="shared" si="186"/>
        <v>#NUM!</v>
      </c>
      <c r="GD175" s="62" t="e">
        <f t="shared" si="134"/>
        <v>#NUM!</v>
      </c>
      <c r="GE175" s="62">
        <f ca="1">AVERAGE(OFFSET($GD$3,0,0,'Données projet'!$E$17+1,1))-AVERAGE(OFFSET($H$3,0,0,'Données projet'!$E$17+1,1))</f>
        <v>324.4489531703187</v>
      </c>
      <c r="GF175" s="62">
        <f t="shared" si="158"/>
        <v>446.55019360848706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projet'!$B$17,Paramètres!$A$1:$I$89,3,0)*0.475*44/12</f>
        <v>0</v>
      </c>
      <c r="GM175" s="23">
        <f>EXP(-LN(2)/25)*GM174+(1-EXP(-LN(2)/25))/(LN(2)/25)*Calculateur!GH175*Calculateur!GJ175*VLOOKUP('Données projet'!$B$17,Paramètres!$A$1:$I$89,3,0)*0.475*44/12</f>
        <v>0</v>
      </c>
      <c r="GN175" s="23">
        <f>EXP(-LN(2)/2)*GN174+(1-EXP(-LN(2)/2))/(LN(2)/2)*GH175*GK175*VLOOKUP('Données projet'!$B$17,Paramètres!$A$1:$I$89,3,0)*0.475*44/12</f>
        <v>0</v>
      </c>
      <c r="GO175" s="23">
        <f t="shared" si="187"/>
        <v>0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1.7053025658242404E-13</v>
      </c>
      <c r="GV175" s="18">
        <f>GU175*VLOOKUP('Données projet'!$B$18,Paramètres!$A$1:$I$89,3,0)*VLOOKUP('Données projet'!$B$18,Paramètres!$A$1:$I$89,5,0)</f>
        <v>1.1439169611549005E-13</v>
      </c>
      <c r="GW175" s="14">
        <f t="shared" si="188"/>
        <v>1.6918016515029816E-12</v>
      </c>
      <c r="GX175" s="22">
        <f t="shared" si="189"/>
        <v>3.1457867471021712E-12</v>
      </c>
      <c r="GY175" s="62">
        <f t="shared" si="137"/>
        <v>293.33333333333644</v>
      </c>
      <c r="GZ175" s="62">
        <f ca="1">AVERAGE(OFFSET($GY$3,0,0,'Données projet'!$E$18+1,1))-AVERAGE(OFFSET($H$3,0,0,'Données projet'!$E$18+1,1))</f>
        <v>312.06797204903796</v>
      </c>
      <c r="HA175" s="62">
        <f t="shared" si="160"/>
        <v>258.20189001775151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>
        <f>EXP(-LN(2)/35)*HG174+(1-EXP(-LN(2)/35))/(LN(2)/35)*HC175*HD175*VLOOKUP('Données projet'!$B$18,Paramètres!$A$1:$I$89,3,0)*0.475*44/12</f>
        <v>0</v>
      </c>
      <c r="HH175" s="23">
        <f>EXP(-LN(2)/25)*HH174+(1-EXP(-LN(2)/25))/(LN(2)/25)*Calculateur!HC175*Calculateur!HE175*VLOOKUP('Données projet'!$B$18,Paramètres!$A$1:$I$89,3,0)*0.475*44/12</f>
        <v>0</v>
      </c>
      <c r="HI175" s="23">
        <f>EXP(-LN(2)/2)*HI174+(1-EXP(-LN(2)/2))/(LN(2)/2)*HC175*HF175*VLOOKUP('Données projet'!$B$18,Paramètres!$A$1:$I$89,3,0)*0.475*44/12</f>
        <v>0</v>
      </c>
      <c r="HJ175" s="24">
        <f t="shared" si="190"/>
        <v>0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5.1431925385259088E-14</v>
      </c>
      <c r="P176" s="14">
        <f t="shared" si="141"/>
        <v>8.3482866290946129E-13</v>
      </c>
      <c r="Q176" s="22">
        <f t="shared" si="162"/>
        <v>1.5435705246133045E-12</v>
      </c>
      <c r="R176" s="62">
        <f t="shared" si="109"/>
        <v>293.33333333333485</v>
      </c>
      <c r="S176" s="62">
        <f ca="1">AVERAGE(OFFSET($R$3,0,0,'Données projet'!$E$9+1,1))-AVERAGE(OFFSET($H$3,0,0,'Données projet'!$E$9+1,1))</f>
        <v>512.84819850818667</v>
      </c>
      <c r="T176" s="62">
        <f t="shared" si="142"/>
        <v>332.61387922152159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-5.6843418860808015E-14</v>
      </c>
      <c r="AJ176" s="14">
        <f>AI176*VLOOKUP('Données projet'!$B$10,Paramètres!$A$1:$I$89,3,0)*VLOOKUP('Données projet'!$B$10,Paramètres!$A$1:$I$89,5,0)</f>
        <v>-4.1677594708744434E-14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344.45199703750711</v>
      </c>
      <c r="AO176" s="62">
        <f t="shared" si="144"/>
        <v>376.41441893222185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5.6843418860808015E-14</v>
      </c>
      <c r="BE176" s="14">
        <f>BD176*VLOOKUP('Données projet'!$B$11,Paramètres!$A$1:$I$89,3,0)*VLOOKUP('Données projet'!$B$11,Paramètres!$A$1:$I$89,5,0)</f>
        <v>5.7639226724859328E-14</v>
      </c>
      <c r="BF176" s="14">
        <f t="shared" si="167"/>
        <v>9.2325701996134334E-13</v>
      </c>
      <c r="BG176" s="22">
        <f t="shared" si="168"/>
        <v>1.708394296311803E-12</v>
      </c>
      <c r="BH176" s="62">
        <f t="shared" si="116"/>
        <v>293.33333333333502</v>
      </c>
      <c r="BI176" s="62">
        <f ca="1">AVERAGE(OFFSET($BH$3,0,0,'Données projet'!$E$11+1,1))-AVERAGE(OFFSET($H$3,0,0,'Données projet'!$E$11+1,1))</f>
        <v>569.39473185784823</v>
      </c>
      <c r="BJ176" s="62">
        <f t="shared" si="146"/>
        <v>367.42881145517066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2.2737367544323206E-13</v>
      </c>
      <c r="BZ176" s="14">
        <f>BY176*VLOOKUP('Données projet'!$B$12,Paramètres!$A$1:$I$89,3,0)*VLOOKUP('Données projet'!$B$12,Paramètres!$A$1:$I$89,5,0)</f>
        <v>1.9508661353029313E-13</v>
      </c>
      <c r="CA176" s="14">
        <f t="shared" si="170"/>
        <v>2.711421636700695E-12</v>
      </c>
      <c r="CB176" s="22">
        <f t="shared" si="171"/>
        <v>5.0621685358189711E-12</v>
      </c>
      <c r="CC176" s="62">
        <f t="shared" si="119"/>
        <v>293.33333333333837</v>
      </c>
      <c r="CD176" s="62">
        <f ca="1">AVERAGE(OFFSET($CC$3,0,0,'Données projet'!$E$12+1,1))-AVERAGE(OFFSET($H$3,0,0,'Données projet'!$E$12+1,1))</f>
        <v>554.06253050955502</v>
      </c>
      <c r="CE176" s="62">
        <f t="shared" si="148"/>
        <v>269.71949336355789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1.1368683772161603E-13</v>
      </c>
      <c r="CU176" s="18">
        <f>CT176*VLOOKUP('Données projet'!$B$13,Paramètres!$A$1:$I$89,3,0)*VLOOKUP('Données projet'!$B$13,Paramètres!$A$1:$I$89,5,0)</f>
        <v>8.8675733422860506E-14</v>
      </c>
      <c r="CV176" s="14">
        <f t="shared" si="173"/>
        <v>1.3509285393066301E-12</v>
      </c>
      <c r="CW176" s="22">
        <f t="shared" si="174"/>
        <v>2.5073107750038623E-12</v>
      </c>
      <c r="CX176" s="62">
        <f t="shared" si="122"/>
        <v>293.33333333333582</v>
      </c>
      <c r="CY176" s="62">
        <f ca="1">AVERAGE(OFFSET($CX$3,0,0,'Données projet'!$E$13+1,1))-AVERAGE(OFFSET($H$3,0,0,'Données projet'!$E$13+1,1))</f>
        <v>292.21364130214391</v>
      </c>
      <c r="CZ176" s="62">
        <f t="shared" si="150"/>
        <v>283.48738729114024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5.6843418860808015E-14</v>
      </c>
      <c r="DP176" s="18">
        <f>DO176*VLOOKUP('Données projet'!$B$14,Paramètres!$A$1:$I$89,3,0)*VLOOKUP('Données projet'!$B$14,Paramètres!$A$1:$I$89,5,0)</f>
        <v>5.4092197387944907E-14</v>
      </c>
      <c r="DQ176" s="14">
        <f t="shared" si="176"/>
        <v>8.7287050538073676E-13</v>
      </c>
      <c r="DR176" s="22">
        <f t="shared" si="177"/>
        <v>1.6144600406554537E-12</v>
      </c>
      <c r="DS176" s="62">
        <f t="shared" si="125"/>
        <v>293.33333333333491</v>
      </c>
      <c r="DT176" s="62">
        <f ca="1">AVERAGE(OFFSET($DS$3,0,0,'Données projet'!$E$14+1,1))-AVERAGE(OFFSET($H$3,0,0,'Données projet'!$E$14+1,1))</f>
        <v>427.47603885390191</v>
      </c>
      <c r="DU176" s="62">
        <f t="shared" si="152"/>
        <v>350.88664394632116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-9.6633812063373625E-13</v>
      </c>
      <c r="EK176" s="18">
        <f>EJ176*VLOOKUP('Données projet'!$B$15,Paramètres!$A$1:$I$89,3,0)*VLOOKUP('Données projet'!$B$15,Paramètres!$A$1:$I$89,5,0)</f>
        <v>-9.3464223027694966E-13</v>
      </c>
      <c r="EL176" s="14" t="e">
        <f t="shared" si="179"/>
        <v>#NUM!</v>
      </c>
      <c r="EM176" s="22" t="e">
        <f t="shared" si="180"/>
        <v>#NUM!</v>
      </c>
      <c r="EN176" s="62" t="e">
        <f t="shared" si="128"/>
        <v>#NUM!</v>
      </c>
      <c r="EO176" s="62">
        <f ca="1">AVERAGE(OFFSET($EN$3,0,0,'Données projet'!$E$15+1,1))-AVERAGE(OFFSET($H$3,0,0,'Données projet'!$E$15+1,1))</f>
        <v>455.50822833641354</v>
      </c>
      <c r="EP176" s="62">
        <f t="shared" si="154"/>
        <v>261.14722581688039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243</v>
      </c>
      <c r="FF176" s="18">
        <f>FE176*VLOOKUP('Données projet'!$B$16,Paramètres!$A$1:$I$89,3,0)*VLOOKUP('Données projet'!$B$16,Paramètres!$A$1:$I$89,5,0)</f>
        <v>212.28480000000002</v>
      </c>
      <c r="FG176" s="14">
        <f t="shared" si="182"/>
        <v>52.434557099704193</v>
      </c>
      <c r="FH176" s="22">
        <f t="shared" si="183"/>
        <v>461.05288028198476</v>
      </c>
      <c r="FI176" s="62">
        <f t="shared" si="131"/>
        <v>754.38621361531807</v>
      </c>
      <c r="FJ176" s="62">
        <f ca="1">AVERAGE(OFFSET($FI$3,0,0,'Données projet'!$E$16+1,1))-AVERAGE(OFFSET($H$3,0,0,'Données projet'!$E$16+1,1))</f>
        <v>369.34989412920129</v>
      </c>
      <c r="FK176" s="62">
        <f t="shared" si="156"/>
        <v>371.26234252426553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0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>
        <f>FZ176*VLOOKUP('Données projet'!$B$17,Paramètres!$A$1:$I$89,3,0)*VLOOKUP('Données projet'!$B$17,Paramètres!$A$1:$I$89,5,0)</f>
        <v>0</v>
      </c>
      <c r="GB176" s="14" t="e">
        <f t="shared" si="185"/>
        <v>#NUM!</v>
      </c>
      <c r="GC176" s="22" t="e">
        <f t="shared" si="186"/>
        <v>#NUM!</v>
      </c>
      <c r="GD176" s="62" t="e">
        <f t="shared" si="134"/>
        <v>#NUM!</v>
      </c>
      <c r="GE176" s="62">
        <f ca="1">AVERAGE(OFFSET($GD$3,0,0,'Données projet'!$E$17+1,1))-AVERAGE(OFFSET($H$3,0,0,'Données projet'!$E$17+1,1))</f>
        <v>324.4489531703187</v>
      </c>
      <c r="GF176" s="62">
        <f t="shared" si="158"/>
        <v>446.55019360848706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projet'!$B$17,Paramètres!$A$1:$I$89,3,0)*0.475*44/12</f>
        <v>0</v>
      </c>
      <c r="GM176" s="23">
        <f>EXP(-LN(2)/25)*GM175+(1-EXP(-LN(2)/25))/(LN(2)/25)*Calculateur!GH176*Calculateur!GJ176*VLOOKUP('Données projet'!$B$17,Paramètres!$A$1:$I$89,3,0)*0.475*44/12</f>
        <v>0</v>
      </c>
      <c r="GN176" s="23">
        <f>EXP(-LN(2)/2)*GN175+(1-EXP(-LN(2)/2))/(LN(2)/2)*GH176*GK176*VLOOKUP('Données projet'!$B$17,Paramètres!$A$1:$I$89,3,0)*0.475*44/12</f>
        <v>0</v>
      </c>
      <c r="GO176" s="23">
        <f t="shared" si="187"/>
        <v>0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1.7053025658242404E-13</v>
      </c>
      <c r="GV176" s="18">
        <f>GU176*VLOOKUP('Données projet'!$B$18,Paramètres!$A$1:$I$89,3,0)*VLOOKUP('Données projet'!$B$18,Paramètres!$A$1:$I$89,5,0)</f>
        <v>1.1439169611549005E-13</v>
      </c>
      <c r="GW176" s="14">
        <f t="shared" si="188"/>
        <v>1.6918016515029816E-12</v>
      </c>
      <c r="GX176" s="22">
        <f t="shared" si="189"/>
        <v>3.1457867471021712E-12</v>
      </c>
      <c r="GY176" s="62">
        <f t="shared" si="137"/>
        <v>293.33333333333644</v>
      </c>
      <c r="GZ176" s="62">
        <f ca="1">AVERAGE(OFFSET($GY$3,0,0,'Données projet'!$E$18+1,1))-AVERAGE(OFFSET($H$3,0,0,'Données projet'!$E$18+1,1))</f>
        <v>312.06797204903796</v>
      </c>
      <c r="HA176" s="62">
        <f t="shared" si="160"/>
        <v>258.20189001775151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>
        <f>EXP(-LN(2)/35)*HG175+(1-EXP(-LN(2)/35))/(LN(2)/35)*HC176*HD176*VLOOKUP('Données projet'!$B$18,Paramètres!$A$1:$I$89,3,0)*0.475*44/12</f>
        <v>0</v>
      </c>
      <c r="HH176" s="23">
        <f>EXP(-LN(2)/25)*HH175+(1-EXP(-LN(2)/25))/(LN(2)/25)*Calculateur!HC176*Calculateur!HE176*VLOOKUP('Données projet'!$B$18,Paramètres!$A$1:$I$89,3,0)*0.475*44/12</f>
        <v>0</v>
      </c>
      <c r="HI176" s="23">
        <f>EXP(-LN(2)/2)*HI175+(1-EXP(-LN(2)/2))/(LN(2)/2)*HC176*HF176*VLOOKUP('Données projet'!$B$18,Paramètres!$A$1:$I$89,3,0)*0.475*44/12</f>
        <v>0</v>
      </c>
      <c r="HJ176" s="24">
        <f t="shared" si="190"/>
        <v>0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5.1431925385259088E-14</v>
      </c>
      <c r="P177" s="14">
        <f t="shared" si="141"/>
        <v>8.3482866290946129E-13</v>
      </c>
      <c r="Q177" s="22">
        <f t="shared" si="162"/>
        <v>1.5435705246133045E-12</v>
      </c>
      <c r="R177" s="62">
        <f t="shared" si="109"/>
        <v>293.33333333333485</v>
      </c>
      <c r="S177" s="62">
        <f ca="1">AVERAGE(OFFSET($R$3,0,0,'Données projet'!$E$9+1,1))-AVERAGE(OFFSET($H$3,0,0,'Données projet'!$E$9+1,1))</f>
        <v>512.84819850818667</v>
      </c>
      <c r="T177" s="62">
        <f t="shared" si="142"/>
        <v>332.61387922152159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-5.6843418860808015E-14</v>
      </c>
      <c r="AJ177" s="14">
        <f>AI177*VLOOKUP('Données projet'!$B$10,Paramètres!$A$1:$I$89,3,0)*VLOOKUP('Données projet'!$B$10,Paramètres!$A$1:$I$89,5,0)</f>
        <v>-4.1677594708744434E-14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344.45199703750711</v>
      </c>
      <c r="AO177" s="62">
        <f t="shared" si="144"/>
        <v>376.41441893222185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5.6843418860808015E-14</v>
      </c>
      <c r="BE177" s="14">
        <f>BD177*VLOOKUP('Données projet'!$B$11,Paramètres!$A$1:$I$89,3,0)*VLOOKUP('Données projet'!$B$11,Paramètres!$A$1:$I$89,5,0)</f>
        <v>5.7639226724859328E-14</v>
      </c>
      <c r="BF177" s="14">
        <f t="shared" si="167"/>
        <v>9.2325701996134334E-13</v>
      </c>
      <c r="BG177" s="22">
        <f t="shared" si="168"/>
        <v>1.708394296311803E-12</v>
      </c>
      <c r="BH177" s="62">
        <f t="shared" si="116"/>
        <v>293.33333333333502</v>
      </c>
      <c r="BI177" s="62">
        <f ca="1">AVERAGE(OFFSET($BH$3,0,0,'Données projet'!$E$11+1,1))-AVERAGE(OFFSET($H$3,0,0,'Données projet'!$E$11+1,1))</f>
        <v>569.39473185784823</v>
      </c>
      <c r="BJ177" s="62">
        <f t="shared" si="146"/>
        <v>367.42881145517066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2.2737367544323206E-13</v>
      </c>
      <c r="BZ177" s="14">
        <f>BY177*VLOOKUP('Données projet'!$B$12,Paramètres!$A$1:$I$89,3,0)*VLOOKUP('Données projet'!$B$12,Paramètres!$A$1:$I$89,5,0)</f>
        <v>1.9508661353029313E-13</v>
      </c>
      <c r="CA177" s="14">
        <f t="shared" si="170"/>
        <v>2.711421636700695E-12</v>
      </c>
      <c r="CB177" s="22">
        <f t="shared" si="171"/>
        <v>5.0621685358189711E-12</v>
      </c>
      <c r="CC177" s="62">
        <f t="shared" si="119"/>
        <v>293.33333333333837</v>
      </c>
      <c r="CD177" s="62">
        <f ca="1">AVERAGE(OFFSET($CC$3,0,0,'Données projet'!$E$12+1,1))-AVERAGE(OFFSET($H$3,0,0,'Données projet'!$E$12+1,1))</f>
        <v>554.06253050955502</v>
      </c>
      <c r="CE177" s="62">
        <f t="shared" si="148"/>
        <v>269.71949336355789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1.1368683772161603E-13</v>
      </c>
      <c r="CU177" s="18">
        <f>CT177*VLOOKUP('Données projet'!$B$13,Paramètres!$A$1:$I$89,3,0)*VLOOKUP('Données projet'!$B$13,Paramètres!$A$1:$I$89,5,0)</f>
        <v>8.8675733422860506E-14</v>
      </c>
      <c r="CV177" s="14">
        <f t="shared" si="173"/>
        <v>1.3509285393066301E-12</v>
      </c>
      <c r="CW177" s="22">
        <f t="shared" si="174"/>
        <v>2.5073107750038623E-12</v>
      </c>
      <c r="CX177" s="62">
        <f t="shared" si="122"/>
        <v>293.33333333333582</v>
      </c>
      <c r="CY177" s="62">
        <f ca="1">AVERAGE(OFFSET($CX$3,0,0,'Données projet'!$E$13+1,1))-AVERAGE(OFFSET($H$3,0,0,'Données projet'!$E$13+1,1))</f>
        <v>292.21364130214391</v>
      </c>
      <c r="CZ177" s="62">
        <f t="shared" si="150"/>
        <v>283.48738729114024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5.6843418860808015E-14</v>
      </c>
      <c r="DP177" s="18">
        <f>DO177*VLOOKUP('Données projet'!$B$14,Paramètres!$A$1:$I$89,3,0)*VLOOKUP('Données projet'!$B$14,Paramètres!$A$1:$I$89,5,0)</f>
        <v>5.4092197387944907E-14</v>
      </c>
      <c r="DQ177" s="14">
        <f t="shared" si="176"/>
        <v>8.7287050538073676E-13</v>
      </c>
      <c r="DR177" s="22">
        <f t="shared" si="177"/>
        <v>1.6144600406554537E-12</v>
      </c>
      <c r="DS177" s="62">
        <f t="shared" si="125"/>
        <v>293.33333333333491</v>
      </c>
      <c r="DT177" s="62">
        <f ca="1">AVERAGE(OFFSET($DS$3,0,0,'Données projet'!$E$14+1,1))-AVERAGE(OFFSET($H$3,0,0,'Données projet'!$E$14+1,1))</f>
        <v>427.47603885390191</v>
      </c>
      <c r="DU177" s="62">
        <f t="shared" si="152"/>
        <v>350.88664394632116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-9.6633812063373625E-13</v>
      </c>
      <c r="EK177" s="18">
        <f>EJ177*VLOOKUP('Données projet'!$B$15,Paramètres!$A$1:$I$89,3,0)*VLOOKUP('Données projet'!$B$15,Paramètres!$A$1:$I$89,5,0)</f>
        <v>-9.3464223027694966E-13</v>
      </c>
      <c r="EL177" s="14" t="e">
        <f t="shared" si="179"/>
        <v>#NUM!</v>
      </c>
      <c r="EM177" s="22" t="e">
        <f t="shared" si="180"/>
        <v>#NUM!</v>
      </c>
      <c r="EN177" s="62" t="e">
        <f t="shared" si="128"/>
        <v>#NUM!</v>
      </c>
      <c r="EO177" s="62">
        <f ca="1">AVERAGE(OFFSET($EN$3,0,0,'Données projet'!$E$15+1,1))-AVERAGE(OFFSET($H$3,0,0,'Données projet'!$E$15+1,1))</f>
        <v>455.50822833641354</v>
      </c>
      <c r="EP177" s="62">
        <f t="shared" si="154"/>
        <v>261.14722581688039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243</v>
      </c>
      <c r="FF177" s="18">
        <f>FE177*VLOOKUP('Données projet'!$B$16,Paramètres!$A$1:$I$89,3,0)*VLOOKUP('Données projet'!$B$16,Paramètres!$A$1:$I$89,5,0)</f>
        <v>212.28480000000002</v>
      </c>
      <c r="FG177" s="14">
        <f t="shared" si="182"/>
        <v>52.434557099704193</v>
      </c>
      <c r="FH177" s="22">
        <f t="shared" si="183"/>
        <v>461.05288028198476</v>
      </c>
      <c r="FI177" s="62">
        <f t="shared" si="131"/>
        <v>754.38621361531807</v>
      </c>
      <c r="FJ177" s="62">
        <f ca="1">AVERAGE(OFFSET($FI$3,0,0,'Données projet'!$E$16+1,1))-AVERAGE(OFFSET($H$3,0,0,'Données projet'!$E$16+1,1))</f>
        <v>369.34989412920129</v>
      </c>
      <c r="FK177" s="62">
        <f t="shared" si="156"/>
        <v>371.26234252426553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0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>
        <f>FZ177*VLOOKUP('Données projet'!$B$17,Paramètres!$A$1:$I$89,3,0)*VLOOKUP('Données projet'!$B$17,Paramètres!$A$1:$I$89,5,0)</f>
        <v>0</v>
      </c>
      <c r="GB177" s="14" t="e">
        <f t="shared" si="185"/>
        <v>#NUM!</v>
      </c>
      <c r="GC177" s="22" t="e">
        <f t="shared" si="186"/>
        <v>#NUM!</v>
      </c>
      <c r="GD177" s="62" t="e">
        <f t="shared" si="134"/>
        <v>#NUM!</v>
      </c>
      <c r="GE177" s="62">
        <f ca="1">AVERAGE(OFFSET($GD$3,0,0,'Données projet'!$E$17+1,1))-AVERAGE(OFFSET($H$3,0,0,'Données projet'!$E$17+1,1))</f>
        <v>324.4489531703187</v>
      </c>
      <c r="GF177" s="62">
        <f t="shared" si="158"/>
        <v>446.55019360848706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projet'!$B$17,Paramètres!$A$1:$I$89,3,0)*0.475*44/12</f>
        <v>0</v>
      </c>
      <c r="GM177" s="23">
        <f>EXP(-LN(2)/25)*GM176+(1-EXP(-LN(2)/25))/(LN(2)/25)*Calculateur!GH177*Calculateur!GJ177*VLOOKUP('Données projet'!$B$17,Paramètres!$A$1:$I$89,3,0)*0.475*44/12</f>
        <v>0</v>
      </c>
      <c r="GN177" s="23">
        <f>EXP(-LN(2)/2)*GN176+(1-EXP(-LN(2)/2))/(LN(2)/2)*GH177*GK177*VLOOKUP('Données projet'!$B$17,Paramètres!$A$1:$I$89,3,0)*0.475*44/12</f>
        <v>0</v>
      </c>
      <c r="GO177" s="23">
        <f t="shared" si="187"/>
        <v>0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1.7053025658242404E-13</v>
      </c>
      <c r="GV177" s="18">
        <f>GU177*VLOOKUP('Données projet'!$B$18,Paramètres!$A$1:$I$89,3,0)*VLOOKUP('Données projet'!$B$18,Paramètres!$A$1:$I$89,5,0)</f>
        <v>1.1439169611549005E-13</v>
      </c>
      <c r="GW177" s="14">
        <f t="shared" si="188"/>
        <v>1.6918016515029816E-12</v>
      </c>
      <c r="GX177" s="22">
        <f t="shared" si="189"/>
        <v>3.1457867471021712E-12</v>
      </c>
      <c r="GY177" s="62">
        <f t="shared" si="137"/>
        <v>293.33333333333644</v>
      </c>
      <c r="GZ177" s="62">
        <f ca="1">AVERAGE(OFFSET($GY$3,0,0,'Données projet'!$E$18+1,1))-AVERAGE(OFFSET($H$3,0,0,'Données projet'!$E$18+1,1))</f>
        <v>312.06797204903796</v>
      </c>
      <c r="HA177" s="62">
        <f t="shared" si="160"/>
        <v>258.20189001775151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>
        <f>EXP(-LN(2)/35)*HG176+(1-EXP(-LN(2)/35))/(LN(2)/35)*HC177*HD177*VLOOKUP('Données projet'!$B$18,Paramètres!$A$1:$I$89,3,0)*0.475*44/12</f>
        <v>0</v>
      </c>
      <c r="HH177" s="23">
        <f>EXP(-LN(2)/25)*HH176+(1-EXP(-LN(2)/25))/(LN(2)/25)*Calculateur!HC177*Calculateur!HE177*VLOOKUP('Données projet'!$B$18,Paramètres!$A$1:$I$89,3,0)*0.475*44/12</f>
        <v>0</v>
      </c>
      <c r="HI177" s="23">
        <f>EXP(-LN(2)/2)*HI176+(1-EXP(-LN(2)/2))/(LN(2)/2)*HC177*HF177*VLOOKUP('Données projet'!$B$18,Paramètres!$A$1:$I$89,3,0)*0.475*44/12</f>
        <v>0</v>
      </c>
      <c r="HJ177" s="24">
        <f t="shared" si="190"/>
        <v>0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5.1431925385259088E-14</v>
      </c>
      <c r="P178" s="14">
        <f t="shared" si="141"/>
        <v>8.3482866290946129E-13</v>
      </c>
      <c r="Q178" s="22">
        <f t="shared" si="162"/>
        <v>1.5435705246133045E-12</v>
      </c>
      <c r="R178" s="62">
        <f t="shared" si="109"/>
        <v>293.33333333333485</v>
      </c>
      <c r="S178" s="62">
        <f ca="1">AVERAGE(OFFSET($R$3,0,0,'Données projet'!$E$9+1,1))-AVERAGE(OFFSET($H$3,0,0,'Données projet'!$E$9+1,1))</f>
        <v>512.84819850818667</v>
      </c>
      <c r="T178" s="62">
        <f t="shared" si="142"/>
        <v>332.61387922152159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-5.6843418860808015E-14</v>
      </c>
      <c r="AJ178" s="14">
        <f>AI178*VLOOKUP('Données projet'!$B$10,Paramètres!$A$1:$I$89,3,0)*VLOOKUP('Données projet'!$B$10,Paramètres!$A$1:$I$89,5,0)</f>
        <v>-4.1677594708744434E-14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344.45199703750711</v>
      </c>
      <c r="AO178" s="62">
        <f t="shared" si="144"/>
        <v>376.41441893222185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5.6843418860808015E-14</v>
      </c>
      <c r="BE178" s="14">
        <f>BD178*VLOOKUP('Données projet'!$B$11,Paramètres!$A$1:$I$89,3,0)*VLOOKUP('Données projet'!$B$11,Paramètres!$A$1:$I$89,5,0)</f>
        <v>5.7639226724859328E-14</v>
      </c>
      <c r="BF178" s="14">
        <f t="shared" si="167"/>
        <v>9.2325701996134334E-13</v>
      </c>
      <c r="BG178" s="22">
        <f t="shared" si="168"/>
        <v>1.708394296311803E-12</v>
      </c>
      <c r="BH178" s="62">
        <f t="shared" si="116"/>
        <v>293.33333333333502</v>
      </c>
      <c r="BI178" s="62">
        <f ca="1">AVERAGE(OFFSET($BH$3,0,0,'Données projet'!$E$11+1,1))-AVERAGE(OFFSET($H$3,0,0,'Données projet'!$E$11+1,1))</f>
        <v>569.39473185784823</v>
      </c>
      <c r="BJ178" s="62">
        <f t="shared" si="146"/>
        <v>367.42881145517066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2.2737367544323206E-13</v>
      </c>
      <c r="BZ178" s="14">
        <f>BY178*VLOOKUP('Données projet'!$B$12,Paramètres!$A$1:$I$89,3,0)*VLOOKUP('Données projet'!$B$12,Paramètres!$A$1:$I$89,5,0)</f>
        <v>1.9508661353029313E-13</v>
      </c>
      <c r="CA178" s="14">
        <f t="shared" si="170"/>
        <v>2.711421636700695E-12</v>
      </c>
      <c r="CB178" s="22">
        <f t="shared" si="171"/>
        <v>5.0621685358189711E-12</v>
      </c>
      <c r="CC178" s="62">
        <f t="shared" si="119"/>
        <v>293.33333333333837</v>
      </c>
      <c r="CD178" s="62">
        <f ca="1">AVERAGE(OFFSET($CC$3,0,0,'Données projet'!$E$12+1,1))-AVERAGE(OFFSET($H$3,0,0,'Données projet'!$E$12+1,1))</f>
        <v>554.06253050955502</v>
      </c>
      <c r="CE178" s="62">
        <f t="shared" si="148"/>
        <v>269.71949336355789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1.1368683772161603E-13</v>
      </c>
      <c r="CU178" s="18">
        <f>CT178*VLOOKUP('Données projet'!$B$13,Paramètres!$A$1:$I$89,3,0)*VLOOKUP('Données projet'!$B$13,Paramètres!$A$1:$I$89,5,0)</f>
        <v>8.8675733422860506E-14</v>
      </c>
      <c r="CV178" s="14">
        <f t="shared" si="173"/>
        <v>1.3509285393066301E-12</v>
      </c>
      <c r="CW178" s="22">
        <f t="shared" si="174"/>
        <v>2.5073107750038623E-12</v>
      </c>
      <c r="CX178" s="62">
        <f t="shared" si="122"/>
        <v>293.33333333333582</v>
      </c>
      <c r="CY178" s="62">
        <f ca="1">AVERAGE(OFFSET($CX$3,0,0,'Données projet'!$E$13+1,1))-AVERAGE(OFFSET($H$3,0,0,'Données projet'!$E$13+1,1))</f>
        <v>292.21364130214391</v>
      </c>
      <c r="CZ178" s="62">
        <f t="shared" si="150"/>
        <v>283.48738729114024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5.6843418860808015E-14</v>
      </c>
      <c r="DP178" s="18">
        <f>DO178*VLOOKUP('Données projet'!$B$14,Paramètres!$A$1:$I$89,3,0)*VLOOKUP('Données projet'!$B$14,Paramètres!$A$1:$I$89,5,0)</f>
        <v>5.4092197387944907E-14</v>
      </c>
      <c r="DQ178" s="14">
        <f t="shared" si="176"/>
        <v>8.7287050538073676E-13</v>
      </c>
      <c r="DR178" s="22">
        <f t="shared" si="177"/>
        <v>1.6144600406554537E-12</v>
      </c>
      <c r="DS178" s="62">
        <f t="shared" si="125"/>
        <v>293.33333333333491</v>
      </c>
      <c r="DT178" s="62">
        <f ca="1">AVERAGE(OFFSET($DS$3,0,0,'Données projet'!$E$14+1,1))-AVERAGE(OFFSET($H$3,0,0,'Données projet'!$E$14+1,1))</f>
        <v>427.47603885390191</v>
      </c>
      <c r="DU178" s="62">
        <f t="shared" si="152"/>
        <v>350.88664394632116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-9.6633812063373625E-13</v>
      </c>
      <c r="EK178" s="18">
        <f>EJ178*VLOOKUP('Données projet'!$B$15,Paramètres!$A$1:$I$89,3,0)*VLOOKUP('Données projet'!$B$15,Paramètres!$A$1:$I$89,5,0)</f>
        <v>-9.3464223027694966E-13</v>
      </c>
      <c r="EL178" s="14" t="e">
        <f t="shared" si="179"/>
        <v>#NUM!</v>
      </c>
      <c r="EM178" s="22" t="e">
        <f t="shared" si="180"/>
        <v>#NUM!</v>
      </c>
      <c r="EN178" s="62" t="e">
        <f t="shared" si="128"/>
        <v>#NUM!</v>
      </c>
      <c r="EO178" s="62">
        <f ca="1">AVERAGE(OFFSET($EN$3,0,0,'Données projet'!$E$15+1,1))-AVERAGE(OFFSET($H$3,0,0,'Données projet'!$E$15+1,1))</f>
        <v>455.50822833641354</v>
      </c>
      <c r="EP178" s="62">
        <f t="shared" si="154"/>
        <v>261.14722581688039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243</v>
      </c>
      <c r="FF178" s="18">
        <f>FE178*VLOOKUP('Données projet'!$B$16,Paramètres!$A$1:$I$89,3,0)*VLOOKUP('Données projet'!$B$16,Paramètres!$A$1:$I$89,5,0)</f>
        <v>212.28480000000002</v>
      </c>
      <c r="FG178" s="14">
        <f t="shared" si="182"/>
        <v>52.434557099704193</v>
      </c>
      <c r="FH178" s="22">
        <f t="shared" si="183"/>
        <v>461.05288028198476</v>
      </c>
      <c r="FI178" s="62">
        <f t="shared" si="131"/>
        <v>754.38621361531807</v>
      </c>
      <c r="FJ178" s="62">
        <f ca="1">AVERAGE(OFFSET($FI$3,0,0,'Données projet'!$E$16+1,1))-AVERAGE(OFFSET($H$3,0,0,'Données projet'!$E$16+1,1))</f>
        <v>369.34989412920129</v>
      </c>
      <c r="FK178" s="62">
        <f t="shared" si="156"/>
        <v>371.26234252426553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0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>
        <f>FZ178*VLOOKUP('Données projet'!$B$17,Paramètres!$A$1:$I$89,3,0)*VLOOKUP('Données projet'!$B$17,Paramètres!$A$1:$I$89,5,0)</f>
        <v>0</v>
      </c>
      <c r="GB178" s="14" t="e">
        <f t="shared" si="185"/>
        <v>#NUM!</v>
      </c>
      <c r="GC178" s="22" t="e">
        <f t="shared" si="186"/>
        <v>#NUM!</v>
      </c>
      <c r="GD178" s="62" t="e">
        <f t="shared" si="134"/>
        <v>#NUM!</v>
      </c>
      <c r="GE178" s="62">
        <f ca="1">AVERAGE(OFFSET($GD$3,0,0,'Données projet'!$E$17+1,1))-AVERAGE(OFFSET($H$3,0,0,'Données projet'!$E$17+1,1))</f>
        <v>324.4489531703187</v>
      </c>
      <c r="GF178" s="62">
        <f t="shared" si="158"/>
        <v>446.55019360848706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projet'!$B$17,Paramètres!$A$1:$I$89,3,0)*0.475*44/12</f>
        <v>0</v>
      </c>
      <c r="GM178" s="23">
        <f>EXP(-LN(2)/25)*GM177+(1-EXP(-LN(2)/25))/(LN(2)/25)*Calculateur!GH178*Calculateur!GJ178*VLOOKUP('Données projet'!$B$17,Paramètres!$A$1:$I$89,3,0)*0.475*44/12</f>
        <v>0</v>
      </c>
      <c r="GN178" s="23">
        <f>EXP(-LN(2)/2)*GN177+(1-EXP(-LN(2)/2))/(LN(2)/2)*GH178*GK178*VLOOKUP('Données projet'!$B$17,Paramètres!$A$1:$I$89,3,0)*0.475*44/12</f>
        <v>0</v>
      </c>
      <c r="GO178" s="23">
        <f t="shared" si="187"/>
        <v>0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1.7053025658242404E-13</v>
      </c>
      <c r="GV178" s="18">
        <f>GU178*VLOOKUP('Données projet'!$B$18,Paramètres!$A$1:$I$89,3,0)*VLOOKUP('Données projet'!$B$18,Paramètres!$A$1:$I$89,5,0)</f>
        <v>1.1439169611549005E-13</v>
      </c>
      <c r="GW178" s="14">
        <f t="shared" si="188"/>
        <v>1.6918016515029816E-12</v>
      </c>
      <c r="GX178" s="22">
        <f t="shared" si="189"/>
        <v>3.1457867471021712E-12</v>
      </c>
      <c r="GY178" s="62">
        <f t="shared" si="137"/>
        <v>293.33333333333644</v>
      </c>
      <c r="GZ178" s="62">
        <f ca="1">AVERAGE(OFFSET($GY$3,0,0,'Données projet'!$E$18+1,1))-AVERAGE(OFFSET($H$3,0,0,'Données projet'!$E$18+1,1))</f>
        <v>312.06797204903796</v>
      </c>
      <c r="HA178" s="62">
        <f t="shared" si="160"/>
        <v>258.20189001775151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>
        <f>EXP(-LN(2)/35)*HG177+(1-EXP(-LN(2)/35))/(LN(2)/35)*HC178*HD178*VLOOKUP('Données projet'!$B$18,Paramètres!$A$1:$I$89,3,0)*0.475*44/12</f>
        <v>0</v>
      </c>
      <c r="HH178" s="23">
        <f>EXP(-LN(2)/25)*HH177+(1-EXP(-LN(2)/25))/(LN(2)/25)*Calculateur!HC178*Calculateur!HE178*VLOOKUP('Données projet'!$B$18,Paramètres!$A$1:$I$89,3,0)*0.475*44/12</f>
        <v>0</v>
      </c>
      <c r="HI178" s="23">
        <f>EXP(-LN(2)/2)*HI177+(1-EXP(-LN(2)/2))/(LN(2)/2)*HC178*HF178*VLOOKUP('Données projet'!$B$18,Paramètres!$A$1:$I$89,3,0)*0.475*44/12</f>
        <v>0</v>
      </c>
      <c r="HJ178" s="24">
        <f t="shared" si="190"/>
        <v>0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5.1431925385259088E-14</v>
      </c>
      <c r="P179" s="14">
        <f t="shared" si="141"/>
        <v>8.3482866290946129E-13</v>
      </c>
      <c r="Q179" s="22">
        <f t="shared" si="162"/>
        <v>1.5435705246133045E-12</v>
      </c>
      <c r="R179" s="62">
        <f t="shared" si="109"/>
        <v>293.33333333333485</v>
      </c>
      <c r="S179" s="62">
        <f ca="1">AVERAGE(OFFSET($R$3,0,0,'Données projet'!$E$9+1,1))-AVERAGE(OFFSET($H$3,0,0,'Données projet'!$E$9+1,1))</f>
        <v>512.84819850818667</v>
      </c>
      <c r="T179" s="62">
        <f t="shared" si="142"/>
        <v>332.61387922152159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-5.6843418860808015E-14</v>
      </c>
      <c r="AJ179" s="14">
        <f>AI179*VLOOKUP('Données projet'!$B$10,Paramètres!$A$1:$I$89,3,0)*VLOOKUP('Données projet'!$B$10,Paramètres!$A$1:$I$89,5,0)</f>
        <v>-4.1677594708744434E-14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344.45199703750711</v>
      </c>
      <c r="AO179" s="62">
        <f t="shared" si="144"/>
        <v>376.41441893222185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5.6843418860808015E-14</v>
      </c>
      <c r="BE179" s="14">
        <f>BD179*VLOOKUP('Données projet'!$B$11,Paramètres!$A$1:$I$89,3,0)*VLOOKUP('Données projet'!$B$11,Paramètres!$A$1:$I$89,5,0)</f>
        <v>5.7639226724859328E-14</v>
      </c>
      <c r="BF179" s="14">
        <f t="shared" si="167"/>
        <v>9.2325701996134334E-13</v>
      </c>
      <c r="BG179" s="22">
        <f t="shared" si="168"/>
        <v>1.708394296311803E-12</v>
      </c>
      <c r="BH179" s="62">
        <f t="shared" si="116"/>
        <v>293.33333333333502</v>
      </c>
      <c r="BI179" s="62">
        <f ca="1">AVERAGE(OFFSET($BH$3,0,0,'Données projet'!$E$11+1,1))-AVERAGE(OFFSET($H$3,0,0,'Données projet'!$E$11+1,1))</f>
        <v>569.39473185784823</v>
      </c>
      <c r="BJ179" s="62">
        <f t="shared" si="146"/>
        <v>367.42881145517066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2.2737367544323206E-13</v>
      </c>
      <c r="BZ179" s="14">
        <f>BY179*VLOOKUP('Données projet'!$B$12,Paramètres!$A$1:$I$89,3,0)*VLOOKUP('Données projet'!$B$12,Paramètres!$A$1:$I$89,5,0)</f>
        <v>1.9508661353029313E-13</v>
      </c>
      <c r="CA179" s="14">
        <f t="shared" si="170"/>
        <v>2.711421636700695E-12</v>
      </c>
      <c r="CB179" s="22">
        <f t="shared" si="171"/>
        <v>5.0621685358189711E-12</v>
      </c>
      <c r="CC179" s="62">
        <f t="shared" si="119"/>
        <v>293.33333333333837</v>
      </c>
      <c r="CD179" s="62">
        <f ca="1">AVERAGE(OFFSET($CC$3,0,0,'Données projet'!$E$12+1,1))-AVERAGE(OFFSET($H$3,0,0,'Données projet'!$E$12+1,1))</f>
        <v>554.06253050955502</v>
      </c>
      <c r="CE179" s="62">
        <f t="shared" si="148"/>
        <v>269.71949336355789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1.1368683772161603E-13</v>
      </c>
      <c r="CU179" s="18">
        <f>CT179*VLOOKUP('Données projet'!$B$13,Paramètres!$A$1:$I$89,3,0)*VLOOKUP('Données projet'!$B$13,Paramètres!$A$1:$I$89,5,0)</f>
        <v>8.8675733422860506E-14</v>
      </c>
      <c r="CV179" s="14">
        <f t="shared" si="173"/>
        <v>1.3509285393066301E-12</v>
      </c>
      <c r="CW179" s="22">
        <f t="shared" si="174"/>
        <v>2.5073107750038623E-12</v>
      </c>
      <c r="CX179" s="62">
        <f t="shared" si="122"/>
        <v>293.33333333333582</v>
      </c>
      <c r="CY179" s="62">
        <f ca="1">AVERAGE(OFFSET($CX$3,0,0,'Données projet'!$E$13+1,1))-AVERAGE(OFFSET($H$3,0,0,'Données projet'!$E$13+1,1))</f>
        <v>292.21364130214391</v>
      </c>
      <c r="CZ179" s="62">
        <f t="shared" si="150"/>
        <v>283.48738729114024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5.6843418860808015E-14</v>
      </c>
      <c r="DP179" s="18">
        <f>DO179*VLOOKUP('Données projet'!$B$14,Paramètres!$A$1:$I$89,3,0)*VLOOKUP('Données projet'!$B$14,Paramètres!$A$1:$I$89,5,0)</f>
        <v>5.4092197387944907E-14</v>
      </c>
      <c r="DQ179" s="14">
        <f t="shared" si="176"/>
        <v>8.7287050538073676E-13</v>
      </c>
      <c r="DR179" s="22">
        <f t="shared" si="177"/>
        <v>1.6144600406554537E-12</v>
      </c>
      <c r="DS179" s="62">
        <f t="shared" si="125"/>
        <v>293.33333333333491</v>
      </c>
      <c r="DT179" s="62">
        <f ca="1">AVERAGE(OFFSET($DS$3,0,0,'Données projet'!$E$14+1,1))-AVERAGE(OFFSET($H$3,0,0,'Données projet'!$E$14+1,1))</f>
        <v>427.47603885390191</v>
      </c>
      <c r="DU179" s="62">
        <f t="shared" si="152"/>
        <v>350.88664394632116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-9.6633812063373625E-13</v>
      </c>
      <c r="EK179" s="18">
        <f>EJ179*VLOOKUP('Données projet'!$B$15,Paramètres!$A$1:$I$89,3,0)*VLOOKUP('Données projet'!$B$15,Paramètres!$A$1:$I$89,5,0)</f>
        <v>-9.3464223027694966E-13</v>
      </c>
      <c r="EL179" s="14" t="e">
        <f t="shared" si="179"/>
        <v>#NUM!</v>
      </c>
      <c r="EM179" s="22" t="e">
        <f t="shared" si="180"/>
        <v>#NUM!</v>
      </c>
      <c r="EN179" s="62" t="e">
        <f t="shared" si="128"/>
        <v>#NUM!</v>
      </c>
      <c r="EO179" s="62">
        <f ca="1">AVERAGE(OFFSET($EN$3,0,0,'Données projet'!$E$15+1,1))-AVERAGE(OFFSET($H$3,0,0,'Données projet'!$E$15+1,1))</f>
        <v>455.50822833641354</v>
      </c>
      <c r="EP179" s="62">
        <f t="shared" si="154"/>
        <v>261.14722581688039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243</v>
      </c>
      <c r="FF179" s="18">
        <f>FE179*VLOOKUP('Données projet'!$B$16,Paramètres!$A$1:$I$89,3,0)*VLOOKUP('Données projet'!$B$16,Paramètres!$A$1:$I$89,5,0)</f>
        <v>212.28480000000002</v>
      </c>
      <c r="FG179" s="14">
        <f t="shared" si="182"/>
        <v>52.434557099704193</v>
      </c>
      <c r="FH179" s="22">
        <f t="shared" si="183"/>
        <v>461.05288028198476</v>
      </c>
      <c r="FI179" s="62">
        <f t="shared" si="131"/>
        <v>754.38621361531807</v>
      </c>
      <c r="FJ179" s="62">
        <f ca="1">AVERAGE(OFFSET($FI$3,0,0,'Données projet'!$E$16+1,1))-AVERAGE(OFFSET($H$3,0,0,'Données projet'!$E$16+1,1))</f>
        <v>369.34989412920129</v>
      </c>
      <c r="FK179" s="62">
        <f t="shared" si="156"/>
        <v>371.26234252426553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0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>
        <f>FZ179*VLOOKUP('Données projet'!$B$17,Paramètres!$A$1:$I$89,3,0)*VLOOKUP('Données projet'!$B$17,Paramètres!$A$1:$I$89,5,0)</f>
        <v>0</v>
      </c>
      <c r="GB179" s="14" t="e">
        <f t="shared" si="185"/>
        <v>#NUM!</v>
      </c>
      <c r="GC179" s="22" t="e">
        <f t="shared" si="186"/>
        <v>#NUM!</v>
      </c>
      <c r="GD179" s="62" t="e">
        <f t="shared" si="134"/>
        <v>#NUM!</v>
      </c>
      <c r="GE179" s="62">
        <f ca="1">AVERAGE(OFFSET($GD$3,0,0,'Données projet'!$E$17+1,1))-AVERAGE(OFFSET($H$3,0,0,'Données projet'!$E$17+1,1))</f>
        <v>324.4489531703187</v>
      </c>
      <c r="GF179" s="62">
        <f t="shared" si="158"/>
        <v>446.55019360848706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projet'!$B$17,Paramètres!$A$1:$I$89,3,0)*0.475*44/12</f>
        <v>0</v>
      </c>
      <c r="GM179" s="23">
        <f>EXP(-LN(2)/25)*GM178+(1-EXP(-LN(2)/25))/(LN(2)/25)*Calculateur!GH179*Calculateur!GJ179*VLOOKUP('Données projet'!$B$17,Paramètres!$A$1:$I$89,3,0)*0.475*44/12</f>
        <v>0</v>
      </c>
      <c r="GN179" s="23">
        <f>EXP(-LN(2)/2)*GN178+(1-EXP(-LN(2)/2))/(LN(2)/2)*GH179*GK179*VLOOKUP('Données projet'!$B$17,Paramètres!$A$1:$I$89,3,0)*0.475*44/12</f>
        <v>0</v>
      </c>
      <c r="GO179" s="23">
        <f t="shared" si="187"/>
        <v>0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1.7053025658242404E-13</v>
      </c>
      <c r="GV179" s="18">
        <f>GU179*VLOOKUP('Données projet'!$B$18,Paramètres!$A$1:$I$89,3,0)*VLOOKUP('Données projet'!$B$18,Paramètres!$A$1:$I$89,5,0)</f>
        <v>1.1439169611549005E-13</v>
      </c>
      <c r="GW179" s="14">
        <f t="shared" si="188"/>
        <v>1.6918016515029816E-12</v>
      </c>
      <c r="GX179" s="22">
        <f t="shared" si="189"/>
        <v>3.1457867471021712E-12</v>
      </c>
      <c r="GY179" s="62">
        <f t="shared" si="137"/>
        <v>293.33333333333644</v>
      </c>
      <c r="GZ179" s="62">
        <f ca="1">AVERAGE(OFFSET($GY$3,0,0,'Données projet'!$E$18+1,1))-AVERAGE(OFFSET($H$3,0,0,'Données projet'!$E$18+1,1))</f>
        <v>312.06797204903796</v>
      </c>
      <c r="HA179" s="62">
        <f t="shared" si="160"/>
        <v>258.20189001775151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>
        <f>EXP(-LN(2)/35)*HG178+(1-EXP(-LN(2)/35))/(LN(2)/35)*HC179*HD179*VLOOKUP('Données projet'!$B$18,Paramètres!$A$1:$I$89,3,0)*0.475*44/12</f>
        <v>0</v>
      </c>
      <c r="HH179" s="23">
        <f>EXP(-LN(2)/25)*HH178+(1-EXP(-LN(2)/25))/(LN(2)/25)*Calculateur!HC179*Calculateur!HE179*VLOOKUP('Données projet'!$B$18,Paramètres!$A$1:$I$89,3,0)*0.475*44/12</f>
        <v>0</v>
      </c>
      <c r="HI179" s="23">
        <f>EXP(-LN(2)/2)*HI178+(1-EXP(-LN(2)/2))/(LN(2)/2)*HC179*HF179*VLOOKUP('Données projet'!$B$18,Paramètres!$A$1:$I$89,3,0)*0.475*44/12</f>
        <v>0</v>
      </c>
      <c r="HJ179" s="24">
        <f t="shared" si="190"/>
        <v>0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5.1431925385259088E-14</v>
      </c>
      <c r="P180" s="14">
        <f t="shared" si="141"/>
        <v>8.3482866290946129E-13</v>
      </c>
      <c r="Q180" s="22">
        <f t="shared" si="162"/>
        <v>1.5435705246133045E-12</v>
      </c>
      <c r="R180" s="62">
        <f t="shared" si="109"/>
        <v>293.33333333333485</v>
      </c>
      <c r="S180" s="62">
        <f ca="1">AVERAGE(OFFSET($R$3,0,0,'Données projet'!$E$9+1,1))-AVERAGE(OFFSET($H$3,0,0,'Données projet'!$E$9+1,1))</f>
        <v>512.84819850818667</v>
      </c>
      <c r="T180" s="62">
        <f t="shared" si="142"/>
        <v>332.61387922152159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-5.6843418860808015E-14</v>
      </c>
      <c r="AJ180" s="14">
        <f>AI180*VLOOKUP('Données projet'!$B$10,Paramètres!$A$1:$I$89,3,0)*VLOOKUP('Données projet'!$B$10,Paramètres!$A$1:$I$89,5,0)</f>
        <v>-4.1677594708744434E-14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344.45199703750711</v>
      </c>
      <c r="AO180" s="62">
        <f t="shared" si="144"/>
        <v>376.41441893222185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5.6843418860808015E-14</v>
      </c>
      <c r="BE180" s="14">
        <f>BD180*VLOOKUP('Données projet'!$B$11,Paramètres!$A$1:$I$89,3,0)*VLOOKUP('Données projet'!$B$11,Paramètres!$A$1:$I$89,5,0)</f>
        <v>5.7639226724859328E-14</v>
      </c>
      <c r="BF180" s="14">
        <f t="shared" si="167"/>
        <v>9.2325701996134334E-13</v>
      </c>
      <c r="BG180" s="22">
        <f t="shared" si="168"/>
        <v>1.708394296311803E-12</v>
      </c>
      <c r="BH180" s="62">
        <f t="shared" si="116"/>
        <v>293.33333333333502</v>
      </c>
      <c r="BI180" s="62">
        <f ca="1">AVERAGE(OFFSET($BH$3,0,0,'Données projet'!$E$11+1,1))-AVERAGE(OFFSET($H$3,0,0,'Données projet'!$E$11+1,1))</f>
        <v>569.39473185784823</v>
      </c>
      <c r="BJ180" s="62">
        <f t="shared" si="146"/>
        <v>367.42881145517066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2.2737367544323206E-13</v>
      </c>
      <c r="BZ180" s="14">
        <f>BY180*VLOOKUP('Données projet'!$B$12,Paramètres!$A$1:$I$89,3,0)*VLOOKUP('Données projet'!$B$12,Paramètres!$A$1:$I$89,5,0)</f>
        <v>1.9508661353029313E-13</v>
      </c>
      <c r="CA180" s="14">
        <f t="shared" si="170"/>
        <v>2.711421636700695E-12</v>
      </c>
      <c r="CB180" s="22">
        <f t="shared" si="171"/>
        <v>5.0621685358189711E-12</v>
      </c>
      <c r="CC180" s="62">
        <f t="shared" si="119"/>
        <v>293.33333333333837</v>
      </c>
      <c r="CD180" s="62">
        <f ca="1">AVERAGE(OFFSET($CC$3,0,0,'Données projet'!$E$12+1,1))-AVERAGE(OFFSET($H$3,0,0,'Données projet'!$E$12+1,1))</f>
        <v>554.06253050955502</v>
      </c>
      <c r="CE180" s="62">
        <f t="shared" si="148"/>
        <v>269.71949336355789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1.1368683772161603E-13</v>
      </c>
      <c r="CU180" s="18">
        <f>CT180*VLOOKUP('Données projet'!$B$13,Paramètres!$A$1:$I$89,3,0)*VLOOKUP('Données projet'!$B$13,Paramètres!$A$1:$I$89,5,0)</f>
        <v>8.8675733422860506E-14</v>
      </c>
      <c r="CV180" s="14">
        <f t="shared" si="173"/>
        <v>1.3509285393066301E-12</v>
      </c>
      <c r="CW180" s="22">
        <f t="shared" si="174"/>
        <v>2.5073107750038623E-12</v>
      </c>
      <c r="CX180" s="62">
        <f t="shared" si="122"/>
        <v>293.33333333333582</v>
      </c>
      <c r="CY180" s="62">
        <f ca="1">AVERAGE(OFFSET($CX$3,0,0,'Données projet'!$E$13+1,1))-AVERAGE(OFFSET($H$3,0,0,'Données projet'!$E$13+1,1))</f>
        <v>292.21364130214391</v>
      </c>
      <c r="CZ180" s="62">
        <f t="shared" si="150"/>
        <v>283.48738729114024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5.6843418860808015E-14</v>
      </c>
      <c r="DP180" s="18">
        <f>DO180*VLOOKUP('Données projet'!$B$14,Paramètres!$A$1:$I$89,3,0)*VLOOKUP('Données projet'!$B$14,Paramètres!$A$1:$I$89,5,0)</f>
        <v>5.4092197387944907E-14</v>
      </c>
      <c r="DQ180" s="14">
        <f t="shared" si="176"/>
        <v>8.7287050538073676E-13</v>
      </c>
      <c r="DR180" s="22">
        <f t="shared" si="177"/>
        <v>1.6144600406554537E-12</v>
      </c>
      <c r="DS180" s="62">
        <f t="shared" si="125"/>
        <v>293.33333333333491</v>
      </c>
      <c r="DT180" s="62">
        <f ca="1">AVERAGE(OFFSET($DS$3,0,0,'Données projet'!$E$14+1,1))-AVERAGE(OFFSET($H$3,0,0,'Données projet'!$E$14+1,1))</f>
        <v>427.47603885390191</v>
      </c>
      <c r="DU180" s="62">
        <f t="shared" si="152"/>
        <v>350.88664394632116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-9.6633812063373625E-13</v>
      </c>
      <c r="EK180" s="18">
        <f>EJ180*VLOOKUP('Données projet'!$B$15,Paramètres!$A$1:$I$89,3,0)*VLOOKUP('Données projet'!$B$15,Paramètres!$A$1:$I$89,5,0)</f>
        <v>-9.3464223027694966E-13</v>
      </c>
      <c r="EL180" s="14" t="e">
        <f t="shared" si="179"/>
        <v>#NUM!</v>
      </c>
      <c r="EM180" s="22" t="e">
        <f t="shared" si="180"/>
        <v>#NUM!</v>
      </c>
      <c r="EN180" s="62" t="e">
        <f t="shared" si="128"/>
        <v>#NUM!</v>
      </c>
      <c r="EO180" s="62">
        <f ca="1">AVERAGE(OFFSET($EN$3,0,0,'Données projet'!$E$15+1,1))-AVERAGE(OFFSET($H$3,0,0,'Données projet'!$E$15+1,1))</f>
        <v>455.50822833641354</v>
      </c>
      <c r="EP180" s="62">
        <f t="shared" si="154"/>
        <v>261.14722581688039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243</v>
      </c>
      <c r="FF180" s="18">
        <f>FE180*VLOOKUP('Données projet'!$B$16,Paramètres!$A$1:$I$89,3,0)*VLOOKUP('Données projet'!$B$16,Paramètres!$A$1:$I$89,5,0)</f>
        <v>212.28480000000002</v>
      </c>
      <c r="FG180" s="14">
        <f t="shared" si="182"/>
        <v>52.434557099704193</v>
      </c>
      <c r="FH180" s="22">
        <f t="shared" si="183"/>
        <v>461.05288028198476</v>
      </c>
      <c r="FI180" s="62">
        <f t="shared" si="131"/>
        <v>754.38621361531807</v>
      </c>
      <c r="FJ180" s="62">
        <f ca="1">AVERAGE(OFFSET($FI$3,0,0,'Données projet'!$E$16+1,1))-AVERAGE(OFFSET($H$3,0,0,'Données projet'!$E$16+1,1))</f>
        <v>369.34989412920129</v>
      </c>
      <c r="FK180" s="62">
        <f t="shared" si="156"/>
        <v>371.26234252426553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0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>
        <f>FZ180*VLOOKUP('Données projet'!$B$17,Paramètres!$A$1:$I$89,3,0)*VLOOKUP('Données projet'!$B$17,Paramètres!$A$1:$I$89,5,0)</f>
        <v>0</v>
      </c>
      <c r="GB180" s="14" t="e">
        <f t="shared" si="185"/>
        <v>#NUM!</v>
      </c>
      <c r="GC180" s="22" t="e">
        <f t="shared" si="186"/>
        <v>#NUM!</v>
      </c>
      <c r="GD180" s="62" t="e">
        <f t="shared" si="134"/>
        <v>#NUM!</v>
      </c>
      <c r="GE180" s="62">
        <f ca="1">AVERAGE(OFFSET($GD$3,0,0,'Données projet'!$E$17+1,1))-AVERAGE(OFFSET($H$3,0,0,'Données projet'!$E$17+1,1))</f>
        <v>324.4489531703187</v>
      </c>
      <c r="GF180" s="62">
        <f t="shared" si="158"/>
        <v>446.55019360848706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projet'!$B$17,Paramètres!$A$1:$I$89,3,0)*0.475*44/12</f>
        <v>0</v>
      </c>
      <c r="GM180" s="23">
        <f>EXP(-LN(2)/25)*GM179+(1-EXP(-LN(2)/25))/(LN(2)/25)*Calculateur!GH180*Calculateur!GJ180*VLOOKUP('Données projet'!$B$17,Paramètres!$A$1:$I$89,3,0)*0.475*44/12</f>
        <v>0</v>
      </c>
      <c r="GN180" s="23">
        <f>EXP(-LN(2)/2)*GN179+(1-EXP(-LN(2)/2))/(LN(2)/2)*GH180*GK180*VLOOKUP('Données projet'!$B$17,Paramètres!$A$1:$I$89,3,0)*0.475*44/12</f>
        <v>0</v>
      </c>
      <c r="GO180" s="23">
        <f t="shared" si="187"/>
        <v>0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1.7053025658242404E-13</v>
      </c>
      <c r="GV180" s="18">
        <f>GU180*VLOOKUP('Données projet'!$B$18,Paramètres!$A$1:$I$89,3,0)*VLOOKUP('Données projet'!$B$18,Paramètres!$A$1:$I$89,5,0)</f>
        <v>1.1439169611549005E-13</v>
      </c>
      <c r="GW180" s="14">
        <f t="shared" si="188"/>
        <v>1.6918016515029816E-12</v>
      </c>
      <c r="GX180" s="22">
        <f t="shared" si="189"/>
        <v>3.1457867471021712E-12</v>
      </c>
      <c r="GY180" s="62">
        <f t="shared" si="137"/>
        <v>293.33333333333644</v>
      </c>
      <c r="GZ180" s="62">
        <f ca="1">AVERAGE(OFFSET($GY$3,0,0,'Données projet'!$E$18+1,1))-AVERAGE(OFFSET($H$3,0,0,'Données projet'!$E$18+1,1))</f>
        <v>312.06797204903796</v>
      </c>
      <c r="HA180" s="62">
        <f t="shared" si="160"/>
        <v>258.20189001775151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>
        <f>EXP(-LN(2)/35)*HG179+(1-EXP(-LN(2)/35))/(LN(2)/35)*HC180*HD180*VLOOKUP('Données projet'!$B$18,Paramètres!$A$1:$I$89,3,0)*0.475*44/12</f>
        <v>0</v>
      </c>
      <c r="HH180" s="23">
        <f>EXP(-LN(2)/25)*HH179+(1-EXP(-LN(2)/25))/(LN(2)/25)*Calculateur!HC180*Calculateur!HE180*VLOOKUP('Données projet'!$B$18,Paramètres!$A$1:$I$89,3,0)*0.475*44/12</f>
        <v>0</v>
      </c>
      <c r="HI180" s="23">
        <f>EXP(-LN(2)/2)*HI179+(1-EXP(-LN(2)/2))/(LN(2)/2)*HC180*HF180*VLOOKUP('Données projet'!$B$18,Paramètres!$A$1:$I$89,3,0)*0.475*44/12</f>
        <v>0</v>
      </c>
      <c r="HJ180" s="24">
        <f t="shared" si="190"/>
        <v>0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5.1431925385259088E-14</v>
      </c>
      <c r="P181" s="14">
        <f t="shared" si="141"/>
        <v>8.3482866290946129E-13</v>
      </c>
      <c r="Q181" s="22">
        <f t="shared" si="162"/>
        <v>1.5435705246133045E-12</v>
      </c>
      <c r="R181" s="62">
        <f t="shared" si="109"/>
        <v>293.33333333333485</v>
      </c>
      <c r="S181" s="62">
        <f ca="1">AVERAGE(OFFSET($R$3,0,0,'Données projet'!$E$9+1,1))-AVERAGE(OFFSET($H$3,0,0,'Données projet'!$E$9+1,1))</f>
        <v>512.84819850818667</v>
      </c>
      <c r="T181" s="62">
        <f t="shared" si="142"/>
        <v>332.61387922152159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-5.6843418860808015E-14</v>
      </c>
      <c r="AJ181" s="14">
        <f>AI181*VLOOKUP('Données projet'!$B$10,Paramètres!$A$1:$I$89,3,0)*VLOOKUP('Données projet'!$B$10,Paramètres!$A$1:$I$89,5,0)</f>
        <v>-4.1677594708744434E-14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344.45199703750711</v>
      </c>
      <c r="AO181" s="62">
        <f t="shared" si="144"/>
        <v>376.41441893222185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5.6843418860808015E-14</v>
      </c>
      <c r="BE181" s="14">
        <f>BD181*VLOOKUP('Données projet'!$B$11,Paramètres!$A$1:$I$89,3,0)*VLOOKUP('Données projet'!$B$11,Paramètres!$A$1:$I$89,5,0)</f>
        <v>5.7639226724859328E-14</v>
      </c>
      <c r="BF181" s="14">
        <f t="shared" si="167"/>
        <v>9.2325701996134334E-13</v>
      </c>
      <c r="BG181" s="22">
        <f t="shared" si="168"/>
        <v>1.708394296311803E-12</v>
      </c>
      <c r="BH181" s="62">
        <f t="shared" si="116"/>
        <v>293.33333333333502</v>
      </c>
      <c r="BI181" s="62">
        <f ca="1">AVERAGE(OFFSET($BH$3,0,0,'Données projet'!$E$11+1,1))-AVERAGE(OFFSET($H$3,0,0,'Données projet'!$E$11+1,1))</f>
        <v>569.39473185784823</v>
      </c>
      <c r="BJ181" s="62">
        <f t="shared" si="146"/>
        <v>367.42881145517066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2.2737367544323206E-13</v>
      </c>
      <c r="BZ181" s="14">
        <f>BY181*VLOOKUP('Données projet'!$B$12,Paramètres!$A$1:$I$89,3,0)*VLOOKUP('Données projet'!$B$12,Paramètres!$A$1:$I$89,5,0)</f>
        <v>1.9508661353029313E-13</v>
      </c>
      <c r="CA181" s="14">
        <f t="shared" si="170"/>
        <v>2.711421636700695E-12</v>
      </c>
      <c r="CB181" s="22">
        <f t="shared" si="171"/>
        <v>5.0621685358189711E-12</v>
      </c>
      <c r="CC181" s="62">
        <f t="shared" si="119"/>
        <v>293.33333333333837</v>
      </c>
      <c r="CD181" s="62">
        <f ca="1">AVERAGE(OFFSET($CC$3,0,0,'Données projet'!$E$12+1,1))-AVERAGE(OFFSET($H$3,0,0,'Données projet'!$E$12+1,1))</f>
        <v>554.06253050955502</v>
      </c>
      <c r="CE181" s="62">
        <f t="shared" si="148"/>
        <v>269.71949336355789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1.1368683772161603E-13</v>
      </c>
      <c r="CU181" s="18">
        <f>CT181*VLOOKUP('Données projet'!$B$13,Paramètres!$A$1:$I$89,3,0)*VLOOKUP('Données projet'!$B$13,Paramètres!$A$1:$I$89,5,0)</f>
        <v>8.8675733422860506E-14</v>
      </c>
      <c r="CV181" s="14">
        <f t="shared" si="173"/>
        <v>1.3509285393066301E-12</v>
      </c>
      <c r="CW181" s="22">
        <f t="shared" si="174"/>
        <v>2.5073107750038623E-12</v>
      </c>
      <c r="CX181" s="62">
        <f t="shared" si="122"/>
        <v>293.33333333333582</v>
      </c>
      <c r="CY181" s="62">
        <f ca="1">AVERAGE(OFFSET($CX$3,0,0,'Données projet'!$E$13+1,1))-AVERAGE(OFFSET($H$3,0,0,'Données projet'!$E$13+1,1))</f>
        <v>292.21364130214391</v>
      </c>
      <c r="CZ181" s="62">
        <f t="shared" si="150"/>
        <v>283.48738729114024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5.6843418860808015E-14</v>
      </c>
      <c r="DP181" s="18">
        <f>DO181*VLOOKUP('Données projet'!$B$14,Paramètres!$A$1:$I$89,3,0)*VLOOKUP('Données projet'!$B$14,Paramètres!$A$1:$I$89,5,0)</f>
        <v>5.4092197387944907E-14</v>
      </c>
      <c r="DQ181" s="14">
        <f t="shared" si="176"/>
        <v>8.7287050538073676E-13</v>
      </c>
      <c r="DR181" s="22">
        <f t="shared" si="177"/>
        <v>1.6144600406554537E-12</v>
      </c>
      <c r="DS181" s="62">
        <f t="shared" si="125"/>
        <v>293.33333333333491</v>
      </c>
      <c r="DT181" s="62">
        <f ca="1">AVERAGE(OFFSET($DS$3,0,0,'Données projet'!$E$14+1,1))-AVERAGE(OFFSET($H$3,0,0,'Données projet'!$E$14+1,1))</f>
        <v>427.47603885390191</v>
      </c>
      <c r="DU181" s="62">
        <f t="shared" si="152"/>
        <v>350.88664394632116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-9.6633812063373625E-13</v>
      </c>
      <c r="EK181" s="18">
        <f>EJ181*VLOOKUP('Données projet'!$B$15,Paramètres!$A$1:$I$89,3,0)*VLOOKUP('Données projet'!$B$15,Paramètres!$A$1:$I$89,5,0)</f>
        <v>-9.3464223027694966E-13</v>
      </c>
      <c r="EL181" s="14" t="e">
        <f t="shared" si="179"/>
        <v>#NUM!</v>
      </c>
      <c r="EM181" s="22" t="e">
        <f t="shared" si="180"/>
        <v>#NUM!</v>
      </c>
      <c r="EN181" s="62" t="e">
        <f t="shared" si="128"/>
        <v>#NUM!</v>
      </c>
      <c r="EO181" s="62">
        <f ca="1">AVERAGE(OFFSET($EN$3,0,0,'Données projet'!$E$15+1,1))-AVERAGE(OFFSET($H$3,0,0,'Données projet'!$E$15+1,1))</f>
        <v>455.50822833641354</v>
      </c>
      <c r="EP181" s="62">
        <f t="shared" si="154"/>
        <v>261.14722581688039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243</v>
      </c>
      <c r="FF181" s="18">
        <f>FE181*VLOOKUP('Données projet'!$B$16,Paramètres!$A$1:$I$89,3,0)*VLOOKUP('Données projet'!$B$16,Paramètres!$A$1:$I$89,5,0)</f>
        <v>212.28480000000002</v>
      </c>
      <c r="FG181" s="14">
        <f t="shared" si="182"/>
        <v>52.434557099704193</v>
      </c>
      <c r="FH181" s="22">
        <f t="shared" si="183"/>
        <v>461.05288028198476</v>
      </c>
      <c r="FI181" s="62">
        <f t="shared" si="131"/>
        <v>754.38621361531807</v>
      </c>
      <c r="FJ181" s="62">
        <f ca="1">AVERAGE(OFFSET($FI$3,0,0,'Données projet'!$E$16+1,1))-AVERAGE(OFFSET($H$3,0,0,'Données projet'!$E$16+1,1))</f>
        <v>369.34989412920129</v>
      </c>
      <c r="FK181" s="62">
        <f t="shared" si="156"/>
        <v>371.26234252426553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0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>
        <f>FZ181*VLOOKUP('Données projet'!$B$17,Paramètres!$A$1:$I$89,3,0)*VLOOKUP('Données projet'!$B$17,Paramètres!$A$1:$I$89,5,0)</f>
        <v>0</v>
      </c>
      <c r="GB181" s="14" t="e">
        <f t="shared" si="185"/>
        <v>#NUM!</v>
      </c>
      <c r="GC181" s="22" t="e">
        <f t="shared" si="186"/>
        <v>#NUM!</v>
      </c>
      <c r="GD181" s="62" t="e">
        <f t="shared" si="134"/>
        <v>#NUM!</v>
      </c>
      <c r="GE181" s="62">
        <f ca="1">AVERAGE(OFFSET($GD$3,0,0,'Données projet'!$E$17+1,1))-AVERAGE(OFFSET($H$3,0,0,'Données projet'!$E$17+1,1))</f>
        <v>324.4489531703187</v>
      </c>
      <c r="GF181" s="62">
        <f t="shared" si="158"/>
        <v>446.55019360848706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projet'!$B$17,Paramètres!$A$1:$I$89,3,0)*0.475*44/12</f>
        <v>0</v>
      </c>
      <c r="GM181" s="23">
        <f>EXP(-LN(2)/25)*GM180+(1-EXP(-LN(2)/25))/(LN(2)/25)*Calculateur!GH181*Calculateur!GJ181*VLOOKUP('Données projet'!$B$17,Paramètres!$A$1:$I$89,3,0)*0.475*44/12</f>
        <v>0</v>
      </c>
      <c r="GN181" s="23">
        <f>EXP(-LN(2)/2)*GN180+(1-EXP(-LN(2)/2))/(LN(2)/2)*GH181*GK181*VLOOKUP('Données projet'!$B$17,Paramètres!$A$1:$I$89,3,0)*0.475*44/12</f>
        <v>0</v>
      </c>
      <c r="GO181" s="23">
        <f t="shared" si="187"/>
        <v>0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1.7053025658242404E-13</v>
      </c>
      <c r="GV181" s="18">
        <f>GU181*VLOOKUP('Données projet'!$B$18,Paramètres!$A$1:$I$89,3,0)*VLOOKUP('Données projet'!$B$18,Paramètres!$A$1:$I$89,5,0)</f>
        <v>1.1439169611549005E-13</v>
      </c>
      <c r="GW181" s="14">
        <f t="shared" si="188"/>
        <v>1.6918016515029816E-12</v>
      </c>
      <c r="GX181" s="22">
        <f t="shared" si="189"/>
        <v>3.1457867471021712E-12</v>
      </c>
      <c r="GY181" s="62">
        <f t="shared" si="137"/>
        <v>293.33333333333644</v>
      </c>
      <c r="GZ181" s="62">
        <f ca="1">AVERAGE(OFFSET($GY$3,0,0,'Données projet'!$E$18+1,1))-AVERAGE(OFFSET($H$3,0,0,'Données projet'!$E$18+1,1))</f>
        <v>312.06797204903796</v>
      </c>
      <c r="HA181" s="62">
        <f t="shared" si="160"/>
        <v>258.20189001775151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>
        <f>EXP(-LN(2)/35)*HG180+(1-EXP(-LN(2)/35))/(LN(2)/35)*HC181*HD181*VLOOKUP('Données projet'!$B$18,Paramètres!$A$1:$I$89,3,0)*0.475*44/12</f>
        <v>0</v>
      </c>
      <c r="HH181" s="23">
        <f>EXP(-LN(2)/25)*HH180+(1-EXP(-LN(2)/25))/(LN(2)/25)*Calculateur!HC181*Calculateur!HE181*VLOOKUP('Données projet'!$B$18,Paramètres!$A$1:$I$89,3,0)*0.475*44/12</f>
        <v>0</v>
      </c>
      <c r="HI181" s="23">
        <f>EXP(-LN(2)/2)*HI180+(1-EXP(-LN(2)/2))/(LN(2)/2)*HC181*HF181*VLOOKUP('Données projet'!$B$18,Paramètres!$A$1:$I$89,3,0)*0.475*44/12</f>
        <v>0</v>
      </c>
      <c r="HJ181" s="24">
        <f t="shared" si="190"/>
        <v>0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5.1431925385259088E-14</v>
      </c>
      <c r="P182" s="14">
        <f t="shared" si="141"/>
        <v>8.3482866290946129E-13</v>
      </c>
      <c r="Q182" s="22">
        <f t="shared" si="162"/>
        <v>1.5435705246133045E-12</v>
      </c>
      <c r="R182" s="62">
        <f t="shared" si="109"/>
        <v>293.33333333333485</v>
      </c>
      <c r="S182" s="62">
        <f ca="1">AVERAGE(OFFSET($R$3,0,0,'Données projet'!$E$9+1,1))-AVERAGE(OFFSET($H$3,0,0,'Données projet'!$E$9+1,1))</f>
        <v>512.84819850818667</v>
      </c>
      <c r="T182" s="62">
        <f t="shared" si="142"/>
        <v>332.61387922152159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-5.6843418860808015E-14</v>
      </c>
      <c r="AJ182" s="14">
        <f>AI182*VLOOKUP('Données projet'!$B$10,Paramètres!$A$1:$I$89,3,0)*VLOOKUP('Données projet'!$B$10,Paramètres!$A$1:$I$89,5,0)</f>
        <v>-4.1677594708744434E-14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344.45199703750711</v>
      </c>
      <c r="AO182" s="62">
        <f t="shared" si="144"/>
        <v>376.41441893222185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5.6843418860808015E-14</v>
      </c>
      <c r="BE182" s="14">
        <f>BD182*VLOOKUP('Données projet'!$B$11,Paramètres!$A$1:$I$89,3,0)*VLOOKUP('Données projet'!$B$11,Paramètres!$A$1:$I$89,5,0)</f>
        <v>5.7639226724859328E-14</v>
      </c>
      <c r="BF182" s="14">
        <f t="shared" si="167"/>
        <v>9.2325701996134334E-13</v>
      </c>
      <c r="BG182" s="22">
        <f t="shared" si="168"/>
        <v>1.708394296311803E-12</v>
      </c>
      <c r="BH182" s="62">
        <f t="shared" si="116"/>
        <v>293.33333333333502</v>
      </c>
      <c r="BI182" s="62">
        <f ca="1">AVERAGE(OFFSET($BH$3,0,0,'Données projet'!$E$11+1,1))-AVERAGE(OFFSET($H$3,0,0,'Données projet'!$E$11+1,1))</f>
        <v>569.39473185784823</v>
      </c>
      <c r="BJ182" s="62">
        <f t="shared" si="146"/>
        <v>367.42881145517066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2.2737367544323206E-13</v>
      </c>
      <c r="BZ182" s="14">
        <f>BY182*VLOOKUP('Données projet'!$B$12,Paramètres!$A$1:$I$89,3,0)*VLOOKUP('Données projet'!$B$12,Paramètres!$A$1:$I$89,5,0)</f>
        <v>1.9508661353029313E-13</v>
      </c>
      <c r="CA182" s="14">
        <f t="shared" si="170"/>
        <v>2.711421636700695E-12</v>
      </c>
      <c r="CB182" s="22">
        <f t="shared" si="171"/>
        <v>5.0621685358189711E-12</v>
      </c>
      <c r="CC182" s="62">
        <f t="shared" si="119"/>
        <v>293.33333333333837</v>
      </c>
      <c r="CD182" s="62">
        <f ca="1">AVERAGE(OFFSET($CC$3,0,0,'Données projet'!$E$12+1,1))-AVERAGE(OFFSET($H$3,0,0,'Données projet'!$E$12+1,1))</f>
        <v>554.06253050955502</v>
      </c>
      <c r="CE182" s="62">
        <f t="shared" si="148"/>
        <v>269.71949336355789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1.1368683772161603E-13</v>
      </c>
      <c r="CU182" s="18">
        <f>CT182*VLOOKUP('Données projet'!$B$13,Paramètres!$A$1:$I$89,3,0)*VLOOKUP('Données projet'!$B$13,Paramètres!$A$1:$I$89,5,0)</f>
        <v>8.8675733422860506E-14</v>
      </c>
      <c r="CV182" s="14">
        <f t="shared" si="173"/>
        <v>1.3509285393066301E-12</v>
      </c>
      <c r="CW182" s="22">
        <f t="shared" si="174"/>
        <v>2.5073107750038623E-12</v>
      </c>
      <c r="CX182" s="62">
        <f t="shared" si="122"/>
        <v>293.33333333333582</v>
      </c>
      <c r="CY182" s="62">
        <f ca="1">AVERAGE(OFFSET($CX$3,0,0,'Données projet'!$E$13+1,1))-AVERAGE(OFFSET($H$3,0,0,'Données projet'!$E$13+1,1))</f>
        <v>292.21364130214391</v>
      </c>
      <c r="CZ182" s="62">
        <f t="shared" si="150"/>
        <v>283.48738729114024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5.6843418860808015E-14</v>
      </c>
      <c r="DP182" s="18">
        <f>DO182*VLOOKUP('Données projet'!$B$14,Paramètres!$A$1:$I$89,3,0)*VLOOKUP('Données projet'!$B$14,Paramètres!$A$1:$I$89,5,0)</f>
        <v>5.4092197387944907E-14</v>
      </c>
      <c r="DQ182" s="14">
        <f t="shared" si="176"/>
        <v>8.7287050538073676E-13</v>
      </c>
      <c r="DR182" s="22">
        <f t="shared" si="177"/>
        <v>1.6144600406554537E-12</v>
      </c>
      <c r="DS182" s="62">
        <f t="shared" si="125"/>
        <v>293.33333333333491</v>
      </c>
      <c r="DT182" s="62">
        <f ca="1">AVERAGE(OFFSET($DS$3,0,0,'Données projet'!$E$14+1,1))-AVERAGE(OFFSET($H$3,0,0,'Données projet'!$E$14+1,1))</f>
        <v>427.47603885390191</v>
      </c>
      <c r="DU182" s="62">
        <f t="shared" si="152"/>
        <v>350.88664394632116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-9.6633812063373625E-13</v>
      </c>
      <c r="EK182" s="18">
        <f>EJ182*VLOOKUP('Données projet'!$B$15,Paramètres!$A$1:$I$89,3,0)*VLOOKUP('Données projet'!$B$15,Paramètres!$A$1:$I$89,5,0)</f>
        <v>-9.3464223027694966E-13</v>
      </c>
      <c r="EL182" s="14" t="e">
        <f t="shared" si="179"/>
        <v>#NUM!</v>
      </c>
      <c r="EM182" s="22" t="e">
        <f t="shared" si="180"/>
        <v>#NUM!</v>
      </c>
      <c r="EN182" s="62" t="e">
        <f t="shared" si="128"/>
        <v>#NUM!</v>
      </c>
      <c r="EO182" s="62">
        <f ca="1">AVERAGE(OFFSET($EN$3,0,0,'Données projet'!$E$15+1,1))-AVERAGE(OFFSET($H$3,0,0,'Données projet'!$E$15+1,1))</f>
        <v>455.50822833641354</v>
      </c>
      <c r="EP182" s="62">
        <f t="shared" si="154"/>
        <v>261.14722581688039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243</v>
      </c>
      <c r="FF182" s="18">
        <f>FE182*VLOOKUP('Données projet'!$B$16,Paramètres!$A$1:$I$89,3,0)*VLOOKUP('Données projet'!$B$16,Paramètres!$A$1:$I$89,5,0)</f>
        <v>212.28480000000002</v>
      </c>
      <c r="FG182" s="14">
        <f t="shared" si="182"/>
        <v>52.434557099704193</v>
      </c>
      <c r="FH182" s="22">
        <f t="shared" si="183"/>
        <v>461.05288028198476</v>
      </c>
      <c r="FI182" s="62">
        <f t="shared" si="131"/>
        <v>754.38621361531807</v>
      </c>
      <c r="FJ182" s="62">
        <f ca="1">AVERAGE(OFFSET($FI$3,0,0,'Données projet'!$E$16+1,1))-AVERAGE(OFFSET($H$3,0,0,'Données projet'!$E$16+1,1))</f>
        <v>369.34989412920129</v>
      </c>
      <c r="FK182" s="62">
        <f t="shared" si="156"/>
        <v>371.26234252426553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0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>
        <f>FZ182*VLOOKUP('Données projet'!$B$17,Paramètres!$A$1:$I$89,3,0)*VLOOKUP('Données projet'!$B$17,Paramètres!$A$1:$I$89,5,0)</f>
        <v>0</v>
      </c>
      <c r="GB182" s="14" t="e">
        <f t="shared" si="185"/>
        <v>#NUM!</v>
      </c>
      <c r="GC182" s="22" t="e">
        <f t="shared" si="186"/>
        <v>#NUM!</v>
      </c>
      <c r="GD182" s="62" t="e">
        <f t="shared" si="134"/>
        <v>#NUM!</v>
      </c>
      <c r="GE182" s="62">
        <f ca="1">AVERAGE(OFFSET($GD$3,0,0,'Données projet'!$E$17+1,1))-AVERAGE(OFFSET($H$3,0,0,'Données projet'!$E$17+1,1))</f>
        <v>324.4489531703187</v>
      </c>
      <c r="GF182" s="62">
        <f t="shared" si="158"/>
        <v>446.55019360848706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projet'!$B$17,Paramètres!$A$1:$I$89,3,0)*0.475*44/12</f>
        <v>0</v>
      </c>
      <c r="GM182" s="23">
        <f>EXP(-LN(2)/25)*GM181+(1-EXP(-LN(2)/25))/(LN(2)/25)*Calculateur!GH182*Calculateur!GJ182*VLOOKUP('Données projet'!$B$17,Paramètres!$A$1:$I$89,3,0)*0.475*44/12</f>
        <v>0</v>
      </c>
      <c r="GN182" s="23">
        <f>EXP(-LN(2)/2)*GN181+(1-EXP(-LN(2)/2))/(LN(2)/2)*GH182*GK182*VLOOKUP('Données projet'!$B$17,Paramètres!$A$1:$I$89,3,0)*0.475*44/12</f>
        <v>0</v>
      </c>
      <c r="GO182" s="23">
        <f t="shared" si="187"/>
        <v>0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1.7053025658242404E-13</v>
      </c>
      <c r="GV182" s="18">
        <f>GU182*VLOOKUP('Données projet'!$B$18,Paramètres!$A$1:$I$89,3,0)*VLOOKUP('Données projet'!$B$18,Paramètres!$A$1:$I$89,5,0)</f>
        <v>1.1439169611549005E-13</v>
      </c>
      <c r="GW182" s="14">
        <f t="shared" si="188"/>
        <v>1.6918016515029816E-12</v>
      </c>
      <c r="GX182" s="22">
        <f t="shared" si="189"/>
        <v>3.1457867471021712E-12</v>
      </c>
      <c r="GY182" s="62">
        <f t="shared" si="137"/>
        <v>293.33333333333644</v>
      </c>
      <c r="GZ182" s="62">
        <f ca="1">AVERAGE(OFFSET($GY$3,0,0,'Données projet'!$E$18+1,1))-AVERAGE(OFFSET($H$3,0,0,'Données projet'!$E$18+1,1))</f>
        <v>312.06797204903796</v>
      </c>
      <c r="HA182" s="62">
        <f t="shared" si="160"/>
        <v>258.20189001775151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>
        <f>EXP(-LN(2)/35)*HG181+(1-EXP(-LN(2)/35))/(LN(2)/35)*HC182*HD182*VLOOKUP('Données projet'!$B$18,Paramètres!$A$1:$I$89,3,0)*0.475*44/12</f>
        <v>0</v>
      </c>
      <c r="HH182" s="23">
        <f>EXP(-LN(2)/25)*HH181+(1-EXP(-LN(2)/25))/(LN(2)/25)*Calculateur!HC182*Calculateur!HE182*VLOOKUP('Données projet'!$B$18,Paramètres!$A$1:$I$89,3,0)*0.475*44/12</f>
        <v>0</v>
      </c>
      <c r="HI182" s="23">
        <f>EXP(-LN(2)/2)*HI181+(1-EXP(-LN(2)/2))/(LN(2)/2)*HC182*HF182*VLOOKUP('Données projet'!$B$18,Paramètres!$A$1:$I$89,3,0)*0.475*44/12</f>
        <v>0</v>
      </c>
      <c r="HJ182" s="24">
        <f t="shared" si="190"/>
        <v>0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5.1431925385259088E-14</v>
      </c>
      <c r="P183" s="14">
        <f t="shared" si="141"/>
        <v>8.3482866290946129E-13</v>
      </c>
      <c r="Q183" s="22">
        <f t="shared" si="162"/>
        <v>1.5435705246133045E-12</v>
      </c>
      <c r="R183" s="62">
        <f t="shared" si="109"/>
        <v>293.33333333333485</v>
      </c>
      <c r="S183" s="62">
        <f ca="1">AVERAGE(OFFSET($R$3,0,0,'Données projet'!$E$9+1,1))-AVERAGE(OFFSET($H$3,0,0,'Données projet'!$E$9+1,1))</f>
        <v>512.84819850818667</v>
      </c>
      <c r="T183" s="62">
        <f t="shared" si="142"/>
        <v>332.61387922152159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-5.6843418860808015E-14</v>
      </c>
      <c r="AJ183" s="14">
        <f>AI183*VLOOKUP('Données projet'!$B$10,Paramètres!$A$1:$I$89,3,0)*VLOOKUP('Données projet'!$B$10,Paramètres!$A$1:$I$89,5,0)</f>
        <v>-4.1677594708744434E-14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344.45199703750711</v>
      </c>
      <c r="AO183" s="62">
        <f t="shared" si="144"/>
        <v>376.41441893222185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5.6843418860808015E-14</v>
      </c>
      <c r="BE183" s="14">
        <f>BD183*VLOOKUP('Données projet'!$B$11,Paramètres!$A$1:$I$89,3,0)*VLOOKUP('Données projet'!$B$11,Paramètres!$A$1:$I$89,5,0)</f>
        <v>5.7639226724859328E-14</v>
      </c>
      <c r="BF183" s="14">
        <f t="shared" si="167"/>
        <v>9.2325701996134334E-13</v>
      </c>
      <c r="BG183" s="22">
        <f t="shared" si="168"/>
        <v>1.708394296311803E-12</v>
      </c>
      <c r="BH183" s="62">
        <f t="shared" si="116"/>
        <v>293.33333333333502</v>
      </c>
      <c r="BI183" s="62">
        <f ca="1">AVERAGE(OFFSET($BH$3,0,0,'Données projet'!$E$11+1,1))-AVERAGE(OFFSET($H$3,0,0,'Données projet'!$E$11+1,1))</f>
        <v>569.39473185784823</v>
      </c>
      <c r="BJ183" s="62">
        <f t="shared" si="146"/>
        <v>367.42881145517066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2.2737367544323206E-13</v>
      </c>
      <c r="BZ183" s="14">
        <f>BY183*VLOOKUP('Données projet'!$B$12,Paramètres!$A$1:$I$89,3,0)*VLOOKUP('Données projet'!$B$12,Paramètres!$A$1:$I$89,5,0)</f>
        <v>1.9508661353029313E-13</v>
      </c>
      <c r="CA183" s="14">
        <f t="shared" si="170"/>
        <v>2.711421636700695E-12</v>
      </c>
      <c r="CB183" s="22">
        <f t="shared" si="171"/>
        <v>5.0621685358189711E-12</v>
      </c>
      <c r="CC183" s="62">
        <f t="shared" si="119"/>
        <v>293.33333333333837</v>
      </c>
      <c r="CD183" s="62">
        <f ca="1">AVERAGE(OFFSET($CC$3,0,0,'Données projet'!$E$12+1,1))-AVERAGE(OFFSET($H$3,0,0,'Données projet'!$E$12+1,1))</f>
        <v>554.06253050955502</v>
      </c>
      <c r="CE183" s="62">
        <f t="shared" si="148"/>
        <v>269.71949336355789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1.1368683772161603E-13</v>
      </c>
      <c r="CU183" s="18">
        <f>CT183*VLOOKUP('Données projet'!$B$13,Paramètres!$A$1:$I$89,3,0)*VLOOKUP('Données projet'!$B$13,Paramètres!$A$1:$I$89,5,0)</f>
        <v>8.8675733422860506E-14</v>
      </c>
      <c r="CV183" s="14">
        <f t="shared" si="173"/>
        <v>1.3509285393066301E-12</v>
      </c>
      <c r="CW183" s="22">
        <f t="shared" si="174"/>
        <v>2.5073107750038623E-12</v>
      </c>
      <c r="CX183" s="62">
        <f t="shared" si="122"/>
        <v>293.33333333333582</v>
      </c>
      <c r="CY183" s="62">
        <f ca="1">AVERAGE(OFFSET($CX$3,0,0,'Données projet'!$E$13+1,1))-AVERAGE(OFFSET($H$3,0,0,'Données projet'!$E$13+1,1))</f>
        <v>292.21364130214391</v>
      </c>
      <c r="CZ183" s="62">
        <f t="shared" si="150"/>
        <v>283.48738729114024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5.6843418860808015E-14</v>
      </c>
      <c r="DP183" s="18">
        <f>DO183*VLOOKUP('Données projet'!$B$14,Paramètres!$A$1:$I$89,3,0)*VLOOKUP('Données projet'!$B$14,Paramètres!$A$1:$I$89,5,0)</f>
        <v>5.4092197387944907E-14</v>
      </c>
      <c r="DQ183" s="14">
        <f t="shared" si="176"/>
        <v>8.7287050538073676E-13</v>
      </c>
      <c r="DR183" s="22">
        <f t="shared" si="177"/>
        <v>1.6144600406554537E-12</v>
      </c>
      <c r="DS183" s="62">
        <f t="shared" si="125"/>
        <v>293.33333333333491</v>
      </c>
      <c r="DT183" s="62">
        <f ca="1">AVERAGE(OFFSET($DS$3,0,0,'Données projet'!$E$14+1,1))-AVERAGE(OFFSET($H$3,0,0,'Données projet'!$E$14+1,1))</f>
        <v>427.47603885390191</v>
      </c>
      <c r="DU183" s="62">
        <f t="shared" si="152"/>
        <v>350.88664394632116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-9.6633812063373625E-13</v>
      </c>
      <c r="EK183" s="18">
        <f>EJ183*VLOOKUP('Données projet'!$B$15,Paramètres!$A$1:$I$89,3,0)*VLOOKUP('Données projet'!$B$15,Paramètres!$A$1:$I$89,5,0)</f>
        <v>-9.3464223027694966E-13</v>
      </c>
      <c r="EL183" s="14" t="e">
        <f t="shared" si="179"/>
        <v>#NUM!</v>
      </c>
      <c r="EM183" s="22" t="e">
        <f t="shared" si="180"/>
        <v>#NUM!</v>
      </c>
      <c r="EN183" s="62" t="e">
        <f t="shared" si="128"/>
        <v>#NUM!</v>
      </c>
      <c r="EO183" s="62">
        <f ca="1">AVERAGE(OFFSET($EN$3,0,0,'Données projet'!$E$15+1,1))-AVERAGE(OFFSET($H$3,0,0,'Données projet'!$E$15+1,1))</f>
        <v>455.50822833641354</v>
      </c>
      <c r="EP183" s="62">
        <f t="shared" si="154"/>
        <v>261.14722581688039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243</v>
      </c>
      <c r="FF183" s="18">
        <f>FE183*VLOOKUP('Données projet'!$B$16,Paramètres!$A$1:$I$89,3,0)*VLOOKUP('Données projet'!$B$16,Paramètres!$A$1:$I$89,5,0)</f>
        <v>212.28480000000002</v>
      </c>
      <c r="FG183" s="14">
        <f t="shared" si="182"/>
        <v>52.434557099704193</v>
      </c>
      <c r="FH183" s="22">
        <f t="shared" si="183"/>
        <v>461.05288028198476</v>
      </c>
      <c r="FI183" s="62">
        <f t="shared" si="131"/>
        <v>754.38621361531807</v>
      </c>
      <c r="FJ183" s="62">
        <f ca="1">AVERAGE(OFFSET($FI$3,0,0,'Données projet'!$E$16+1,1))-AVERAGE(OFFSET($H$3,0,0,'Données projet'!$E$16+1,1))</f>
        <v>369.34989412920129</v>
      </c>
      <c r="FK183" s="62">
        <f t="shared" si="156"/>
        <v>371.26234252426553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0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>
        <f>FZ183*VLOOKUP('Données projet'!$B$17,Paramètres!$A$1:$I$89,3,0)*VLOOKUP('Données projet'!$B$17,Paramètres!$A$1:$I$89,5,0)</f>
        <v>0</v>
      </c>
      <c r="GB183" s="14" t="e">
        <f t="shared" si="185"/>
        <v>#NUM!</v>
      </c>
      <c r="GC183" s="22" t="e">
        <f t="shared" si="186"/>
        <v>#NUM!</v>
      </c>
      <c r="GD183" s="62" t="e">
        <f t="shared" si="134"/>
        <v>#NUM!</v>
      </c>
      <c r="GE183" s="62">
        <f ca="1">AVERAGE(OFFSET($GD$3,0,0,'Données projet'!$E$17+1,1))-AVERAGE(OFFSET($H$3,0,0,'Données projet'!$E$17+1,1))</f>
        <v>324.4489531703187</v>
      </c>
      <c r="GF183" s="62">
        <f t="shared" si="158"/>
        <v>446.55019360848706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projet'!$B$17,Paramètres!$A$1:$I$89,3,0)*0.475*44/12</f>
        <v>0</v>
      </c>
      <c r="GM183" s="23">
        <f>EXP(-LN(2)/25)*GM182+(1-EXP(-LN(2)/25))/(LN(2)/25)*Calculateur!GH183*Calculateur!GJ183*VLOOKUP('Données projet'!$B$17,Paramètres!$A$1:$I$89,3,0)*0.475*44/12</f>
        <v>0</v>
      </c>
      <c r="GN183" s="23">
        <f>EXP(-LN(2)/2)*GN182+(1-EXP(-LN(2)/2))/(LN(2)/2)*GH183*GK183*VLOOKUP('Données projet'!$B$17,Paramètres!$A$1:$I$89,3,0)*0.475*44/12</f>
        <v>0</v>
      </c>
      <c r="GO183" s="23">
        <f t="shared" si="187"/>
        <v>0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1.7053025658242404E-13</v>
      </c>
      <c r="GV183" s="18">
        <f>GU183*VLOOKUP('Données projet'!$B$18,Paramètres!$A$1:$I$89,3,0)*VLOOKUP('Données projet'!$B$18,Paramètres!$A$1:$I$89,5,0)</f>
        <v>1.1439169611549005E-13</v>
      </c>
      <c r="GW183" s="14">
        <f t="shared" si="188"/>
        <v>1.6918016515029816E-12</v>
      </c>
      <c r="GX183" s="22">
        <f t="shared" si="189"/>
        <v>3.1457867471021712E-12</v>
      </c>
      <c r="GY183" s="62">
        <f t="shared" si="137"/>
        <v>293.33333333333644</v>
      </c>
      <c r="GZ183" s="62">
        <f ca="1">AVERAGE(OFFSET($GY$3,0,0,'Données projet'!$E$18+1,1))-AVERAGE(OFFSET($H$3,0,0,'Données projet'!$E$18+1,1))</f>
        <v>312.06797204903796</v>
      </c>
      <c r="HA183" s="62">
        <f t="shared" si="160"/>
        <v>258.20189001775151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>
        <f>EXP(-LN(2)/35)*HG182+(1-EXP(-LN(2)/35))/(LN(2)/35)*HC183*HD183*VLOOKUP('Données projet'!$B$18,Paramètres!$A$1:$I$89,3,0)*0.475*44/12</f>
        <v>0</v>
      </c>
      <c r="HH183" s="23">
        <f>EXP(-LN(2)/25)*HH182+(1-EXP(-LN(2)/25))/(LN(2)/25)*Calculateur!HC183*Calculateur!HE183*VLOOKUP('Données projet'!$B$18,Paramètres!$A$1:$I$89,3,0)*0.475*44/12</f>
        <v>0</v>
      </c>
      <c r="HI183" s="23">
        <f>EXP(-LN(2)/2)*HI182+(1-EXP(-LN(2)/2))/(LN(2)/2)*HC183*HF183*VLOOKUP('Données projet'!$B$18,Paramètres!$A$1:$I$89,3,0)*0.475*44/12</f>
        <v>0</v>
      </c>
      <c r="HJ183" s="24">
        <f t="shared" si="190"/>
        <v>0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5.1431925385259088E-14</v>
      </c>
      <c r="P184" s="14">
        <f t="shared" si="141"/>
        <v>8.3482866290946129E-13</v>
      </c>
      <c r="Q184" s="22">
        <f t="shared" si="162"/>
        <v>1.5435705246133045E-12</v>
      </c>
      <c r="R184" s="62">
        <f t="shared" si="109"/>
        <v>293.33333333333485</v>
      </c>
      <c r="S184" s="62">
        <f ca="1">AVERAGE(OFFSET($R$3,0,0,'Données projet'!$E$9+1,1))-AVERAGE(OFFSET($H$3,0,0,'Données projet'!$E$9+1,1))</f>
        <v>512.84819850818667</v>
      </c>
      <c r="T184" s="62">
        <f t="shared" si="142"/>
        <v>332.61387922152159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-5.6843418860808015E-14</v>
      </c>
      <c r="AJ184" s="14">
        <f>AI184*VLOOKUP('Données projet'!$B$10,Paramètres!$A$1:$I$89,3,0)*VLOOKUP('Données projet'!$B$10,Paramètres!$A$1:$I$89,5,0)</f>
        <v>-4.1677594708744434E-14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344.45199703750711</v>
      </c>
      <c r="AO184" s="62">
        <f t="shared" si="144"/>
        <v>376.41441893222185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5.6843418860808015E-14</v>
      </c>
      <c r="BE184" s="14">
        <f>BD184*VLOOKUP('Données projet'!$B$11,Paramètres!$A$1:$I$89,3,0)*VLOOKUP('Données projet'!$B$11,Paramètres!$A$1:$I$89,5,0)</f>
        <v>5.7639226724859328E-14</v>
      </c>
      <c r="BF184" s="14">
        <f t="shared" si="167"/>
        <v>9.2325701996134334E-13</v>
      </c>
      <c r="BG184" s="22">
        <f t="shared" si="168"/>
        <v>1.708394296311803E-12</v>
      </c>
      <c r="BH184" s="62">
        <f t="shared" si="116"/>
        <v>293.33333333333502</v>
      </c>
      <c r="BI184" s="62">
        <f ca="1">AVERAGE(OFFSET($BH$3,0,0,'Données projet'!$E$11+1,1))-AVERAGE(OFFSET($H$3,0,0,'Données projet'!$E$11+1,1))</f>
        <v>569.39473185784823</v>
      </c>
      <c r="BJ184" s="62">
        <f t="shared" si="146"/>
        <v>367.42881145517066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2.2737367544323206E-13</v>
      </c>
      <c r="BZ184" s="14">
        <f>BY184*VLOOKUP('Données projet'!$B$12,Paramètres!$A$1:$I$89,3,0)*VLOOKUP('Données projet'!$B$12,Paramètres!$A$1:$I$89,5,0)</f>
        <v>1.9508661353029313E-13</v>
      </c>
      <c r="CA184" s="14">
        <f t="shared" si="170"/>
        <v>2.711421636700695E-12</v>
      </c>
      <c r="CB184" s="22">
        <f t="shared" si="171"/>
        <v>5.0621685358189711E-12</v>
      </c>
      <c r="CC184" s="62">
        <f t="shared" si="119"/>
        <v>293.33333333333837</v>
      </c>
      <c r="CD184" s="62">
        <f ca="1">AVERAGE(OFFSET($CC$3,0,0,'Données projet'!$E$12+1,1))-AVERAGE(OFFSET($H$3,0,0,'Données projet'!$E$12+1,1))</f>
        <v>554.06253050955502</v>
      </c>
      <c r="CE184" s="62">
        <f t="shared" si="148"/>
        <v>269.71949336355789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1.1368683772161603E-13</v>
      </c>
      <c r="CU184" s="18">
        <f>CT184*VLOOKUP('Données projet'!$B$13,Paramètres!$A$1:$I$89,3,0)*VLOOKUP('Données projet'!$B$13,Paramètres!$A$1:$I$89,5,0)</f>
        <v>8.8675733422860506E-14</v>
      </c>
      <c r="CV184" s="14">
        <f t="shared" si="173"/>
        <v>1.3509285393066301E-12</v>
      </c>
      <c r="CW184" s="22">
        <f t="shared" si="174"/>
        <v>2.5073107750038623E-12</v>
      </c>
      <c r="CX184" s="62">
        <f t="shared" si="122"/>
        <v>293.33333333333582</v>
      </c>
      <c r="CY184" s="62">
        <f ca="1">AVERAGE(OFFSET($CX$3,0,0,'Données projet'!$E$13+1,1))-AVERAGE(OFFSET($H$3,0,0,'Données projet'!$E$13+1,1))</f>
        <v>292.21364130214391</v>
      </c>
      <c r="CZ184" s="62">
        <f t="shared" si="150"/>
        <v>283.48738729114024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5.6843418860808015E-14</v>
      </c>
      <c r="DP184" s="18">
        <f>DO184*VLOOKUP('Données projet'!$B$14,Paramètres!$A$1:$I$89,3,0)*VLOOKUP('Données projet'!$B$14,Paramètres!$A$1:$I$89,5,0)</f>
        <v>5.4092197387944907E-14</v>
      </c>
      <c r="DQ184" s="14">
        <f t="shared" si="176"/>
        <v>8.7287050538073676E-13</v>
      </c>
      <c r="DR184" s="22">
        <f t="shared" si="177"/>
        <v>1.6144600406554537E-12</v>
      </c>
      <c r="DS184" s="62">
        <f t="shared" si="125"/>
        <v>293.33333333333491</v>
      </c>
      <c r="DT184" s="62">
        <f ca="1">AVERAGE(OFFSET($DS$3,0,0,'Données projet'!$E$14+1,1))-AVERAGE(OFFSET($H$3,0,0,'Données projet'!$E$14+1,1))</f>
        <v>427.47603885390191</v>
      </c>
      <c r="DU184" s="62">
        <f t="shared" si="152"/>
        <v>350.88664394632116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-9.6633812063373625E-13</v>
      </c>
      <c r="EK184" s="18">
        <f>EJ184*VLOOKUP('Données projet'!$B$15,Paramètres!$A$1:$I$89,3,0)*VLOOKUP('Données projet'!$B$15,Paramètres!$A$1:$I$89,5,0)</f>
        <v>-9.3464223027694966E-13</v>
      </c>
      <c r="EL184" s="14" t="e">
        <f t="shared" si="179"/>
        <v>#NUM!</v>
      </c>
      <c r="EM184" s="22" t="e">
        <f t="shared" si="180"/>
        <v>#NUM!</v>
      </c>
      <c r="EN184" s="62" t="e">
        <f t="shared" si="128"/>
        <v>#NUM!</v>
      </c>
      <c r="EO184" s="62">
        <f ca="1">AVERAGE(OFFSET($EN$3,0,0,'Données projet'!$E$15+1,1))-AVERAGE(OFFSET($H$3,0,0,'Données projet'!$E$15+1,1))</f>
        <v>455.50822833641354</v>
      </c>
      <c r="EP184" s="62">
        <f t="shared" si="154"/>
        <v>261.14722581688039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243</v>
      </c>
      <c r="FF184" s="18">
        <f>FE184*VLOOKUP('Données projet'!$B$16,Paramètres!$A$1:$I$89,3,0)*VLOOKUP('Données projet'!$B$16,Paramètres!$A$1:$I$89,5,0)</f>
        <v>212.28480000000002</v>
      </c>
      <c r="FG184" s="14">
        <f t="shared" si="182"/>
        <v>52.434557099704193</v>
      </c>
      <c r="FH184" s="22">
        <f t="shared" si="183"/>
        <v>461.05288028198476</v>
      </c>
      <c r="FI184" s="62">
        <f t="shared" si="131"/>
        <v>754.38621361531807</v>
      </c>
      <c r="FJ184" s="62">
        <f ca="1">AVERAGE(OFFSET($FI$3,0,0,'Données projet'!$E$16+1,1))-AVERAGE(OFFSET($H$3,0,0,'Données projet'!$E$16+1,1))</f>
        <v>369.34989412920129</v>
      </c>
      <c r="FK184" s="62">
        <f t="shared" si="156"/>
        <v>371.26234252426553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0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>
        <f>FZ184*VLOOKUP('Données projet'!$B$17,Paramètres!$A$1:$I$89,3,0)*VLOOKUP('Données projet'!$B$17,Paramètres!$A$1:$I$89,5,0)</f>
        <v>0</v>
      </c>
      <c r="GB184" s="14" t="e">
        <f t="shared" si="185"/>
        <v>#NUM!</v>
      </c>
      <c r="GC184" s="22" t="e">
        <f t="shared" si="186"/>
        <v>#NUM!</v>
      </c>
      <c r="GD184" s="62" t="e">
        <f t="shared" si="134"/>
        <v>#NUM!</v>
      </c>
      <c r="GE184" s="62">
        <f ca="1">AVERAGE(OFFSET($GD$3,0,0,'Données projet'!$E$17+1,1))-AVERAGE(OFFSET($H$3,0,0,'Données projet'!$E$17+1,1))</f>
        <v>324.4489531703187</v>
      </c>
      <c r="GF184" s="62">
        <f t="shared" si="158"/>
        <v>446.55019360848706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projet'!$B$17,Paramètres!$A$1:$I$89,3,0)*0.475*44/12</f>
        <v>0</v>
      </c>
      <c r="GM184" s="23">
        <f>EXP(-LN(2)/25)*GM183+(1-EXP(-LN(2)/25))/(LN(2)/25)*Calculateur!GH184*Calculateur!GJ184*VLOOKUP('Données projet'!$B$17,Paramètres!$A$1:$I$89,3,0)*0.475*44/12</f>
        <v>0</v>
      </c>
      <c r="GN184" s="23">
        <f>EXP(-LN(2)/2)*GN183+(1-EXP(-LN(2)/2))/(LN(2)/2)*GH184*GK184*VLOOKUP('Données projet'!$B$17,Paramètres!$A$1:$I$89,3,0)*0.475*44/12</f>
        <v>0</v>
      </c>
      <c r="GO184" s="23">
        <f t="shared" si="187"/>
        <v>0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1.7053025658242404E-13</v>
      </c>
      <c r="GV184" s="18">
        <f>GU184*VLOOKUP('Données projet'!$B$18,Paramètres!$A$1:$I$89,3,0)*VLOOKUP('Données projet'!$B$18,Paramètres!$A$1:$I$89,5,0)</f>
        <v>1.1439169611549005E-13</v>
      </c>
      <c r="GW184" s="14">
        <f t="shared" si="188"/>
        <v>1.6918016515029816E-12</v>
      </c>
      <c r="GX184" s="22">
        <f t="shared" si="189"/>
        <v>3.1457867471021712E-12</v>
      </c>
      <c r="GY184" s="62">
        <f t="shared" si="137"/>
        <v>293.33333333333644</v>
      </c>
      <c r="GZ184" s="62">
        <f ca="1">AVERAGE(OFFSET($GY$3,0,0,'Données projet'!$E$18+1,1))-AVERAGE(OFFSET($H$3,0,0,'Données projet'!$E$18+1,1))</f>
        <v>312.06797204903796</v>
      </c>
      <c r="HA184" s="62">
        <f t="shared" si="160"/>
        <v>258.20189001775151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>
        <f>EXP(-LN(2)/35)*HG183+(1-EXP(-LN(2)/35))/(LN(2)/35)*HC184*HD184*VLOOKUP('Données projet'!$B$18,Paramètres!$A$1:$I$89,3,0)*0.475*44/12</f>
        <v>0</v>
      </c>
      <c r="HH184" s="23">
        <f>EXP(-LN(2)/25)*HH183+(1-EXP(-LN(2)/25))/(LN(2)/25)*Calculateur!HC184*Calculateur!HE184*VLOOKUP('Données projet'!$B$18,Paramètres!$A$1:$I$89,3,0)*0.475*44/12</f>
        <v>0</v>
      </c>
      <c r="HI184" s="23">
        <f>EXP(-LN(2)/2)*HI183+(1-EXP(-LN(2)/2))/(LN(2)/2)*HC184*HF184*VLOOKUP('Données projet'!$B$18,Paramètres!$A$1:$I$89,3,0)*0.475*44/12</f>
        <v>0</v>
      </c>
      <c r="HJ184" s="24">
        <f t="shared" si="190"/>
        <v>0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5.1431925385259088E-14</v>
      </c>
      <c r="P185" s="14">
        <f t="shared" si="141"/>
        <v>8.3482866290946129E-13</v>
      </c>
      <c r="Q185" s="22">
        <f t="shared" si="162"/>
        <v>1.5435705246133045E-12</v>
      </c>
      <c r="R185" s="62">
        <f t="shared" si="109"/>
        <v>293.33333333333485</v>
      </c>
      <c r="S185" s="62">
        <f ca="1">AVERAGE(OFFSET($R$3,0,0,'Données projet'!$E$9+1,1))-AVERAGE(OFFSET($H$3,0,0,'Données projet'!$E$9+1,1))</f>
        <v>512.84819850818667</v>
      </c>
      <c r="T185" s="62">
        <f t="shared" si="142"/>
        <v>332.61387922152159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-5.6843418860808015E-14</v>
      </c>
      <c r="AJ185" s="14">
        <f>AI185*VLOOKUP('Données projet'!$B$10,Paramètres!$A$1:$I$89,3,0)*VLOOKUP('Données projet'!$B$10,Paramètres!$A$1:$I$89,5,0)</f>
        <v>-4.1677594708744434E-14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344.45199703750711</v>
      </c>
      <c r="AO185" s="62">
        <f t="shared" si="144"/>
        <v>376.41441893222185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5.6843418860808015E-14</v>
      </c>
      <c r="BE185" s="14">
        <f>BD185*VLOOKUP('Données projet'!$B$11,Paramètres!$A$1:$I$89,3,0)*VLOOKUP('Données projet'!$B$11,Paramètres!$A$1:$I$89,5,0)</f>
        <v>5.7639226724859328E-14</v>
      </c>
      <c r="BF185" s="14">
        <f t="shared" si="167"/>
        <v>9.2325701996134334E-13</v>
      </c>
      <c r="BG185" s="22">
        <f t="shared" si="168"/>
        <v>1.708394296311803E-12</v>
      </c>
      <c r="BH185" s="62">
        <f t="shared" si="116"/>
        <v>293.33333333333502</v>
      </c>
      <c r="BI185" s="62">
        <f ca="1">AVERAGE(OFFSET($BH$3,0,0,'Données projet'!$E$11+1,1))-AVERAGE(OFFSET($H$3,0,0,'Données projet'!$E$11+1,1))</f>
        <v>569.39473185784823</v>
      </c>
      <c r="BJ185" s="62">
        <f t="shared" si="146"/>
        <v>367.42881145517066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2.2737367544323206E-13</v>
      </c>
      <c r="BZ185" s="14">
        <f>BY185*VLOOKUP('Données projet'!$B$12,Paramètres!$A$1:$I$89,3,0)*VLOOKUP('Données projet'!$B$12,Paramètres!$A$1:$I$89,5,0)</f>
        <v>1.9508661353029313E-13</v>
      </c>
      <c r="CA185" s="14">
        <f t="shared" si="170"/>
        <v>2.711421636700695E-12</v>
      </c>
      <c r="CB185" s="22">
        <f t="shared" si="171"/>
        <v>5.0621685358189711E-12</v>
      </c>
      <c r="CC185" s="62">
        <f t="shared" si="119"/>
        <v>293.33333333333837</v>
      </c>
      <c r="CD185" s="62">
        <f ca="1">AVERAGE(OFFSET($CC$3,0,0,'Données projet'!$E$12+1,1))-AVERAGE(OFFSET($H$3,0,0,'Données projet'!$E$12+1,1))</f>
        <v>554.06253050955502</v>
      </c>
      <c r="CE185" s="62">
        <f t="shared" si="148"/>
        <v>269.71949336355789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1.1368683772161603E-13</v>
      </c>
      <c r="CU185" s="18">
        <f>CT185*VLOOKUP('Données projet'!$B$13,Paramètres!$A$1:$I$89,3,0)*VLOOKUP('Données projet'!$B$13,Paramètres!$A$1:$I$89,5,0)</f>
        <v>8.8675733422860506E-14</v>
      </c>
      <c r="CV185" s="14">
        <f t="shared" si="173"/>
        <v>1.3509285393066301E-12</v>
      </c>
      <c r="CW185" s="22">
        <f t="shared" si="174"/>
        <v>2.5073107750038623E-12</v>
      </c>
      <c r="CX185" s="62">
        <f t="shared" si="122"/>
        <v>293.33333333333582</v>
      </c>
      <c r="CY185" s="62">
        <f ca="1">AVERAGE(OFFSET($CX$3,0,0,'Données projet'!$E$13+1,1))-AVERAGE(OFFSET($H$3,0,0,'Données projet'!$E$13+1,1))</f>
        <v>292.21364130214391</v>
      </c>
      <c r="CZ185" s="62">
        <f t="shared" si="150"/>
        <v>283.48738729114024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5.6843418860808015E-14</v>
      </c>
      <c r="DP185" s="18">
        <f>DO185*VLOOKUP('Données projet'!$B$14,Paramètres!$A$1:$I$89,3,0)*VLOOKUP('Données projet'!$B$14,Paramètres!$A$1:$I$89,5,0)</f>
        <v>5.4092197387944907E-14</v>
      </c>
      <c r="DQ185" s="14">
        <f t="shared" si="176"/>
        <v>8.7287050538073676E-13</v>
      </c>
      <c r="DR185" s="22">
        <f t="shared" si="177"/>
        <v>1.6144600406554537E-12</v>
      </c>
      <c r="DS185" s="62">
        <f t="shared" si="125"/>
        <v>293.33333333333491</v>
      </c>
      <c r="DT185" s="62">
        <f ca="1">AVERAGE(OFFSET($DS$3,0,0,'Données projet'!$E$14+1,1))-AVERAGE(OFFSET($H$3,0,0,'Données projet'!$E$14+1,1))</f>
        <v>427.47603885390191</v>
      </c>
      <c r="DU185" s="62">
        <f t="shared" si="152"/>
        <v>350.88664394632116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-9.6633812063373625E-13</v>
      </c>
      <c r="EK185" s="18">
        <f>EJ185*VLOOKUP('Données projet'!$B$15,Paramètres!$A$1:$I$89,3,0)*VLOOKUP('Données projet'!$B$15,Paramètres!$A$1:$I$89,5,0)</f>
        <v>-9.3464223027694966E-13</v>
      </c>
      <c r="EL185" s="14" t="e">
        <f t="shared" si="179"/>
        <v>#NUM!</v>
      </c>
      <c r="EM185" s="22" t="e">
        <f t="shared" si="180"/>
        <v>#NUM!</v>
      </c>
      <c r="EN185" s="62" t="e">
        <f t="shared" si="128"/>
        <v>#NUM!</v>
      </c>
      <c r="EO185" s="62">
        <f ca="1">AVERAGE(OFFSET($EN$3,0,0,'Données projet'!$E$15+1,1))-AVERAGE(OFFSET($H$3,0,0,'Données projet'!$E$15+1,1))</f>
        <v>455.50822833641354</v>
      </c>
      <c r="EP185" s="62">
        <f t="shared" si="154"/>
        <v>261.14722581688039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243</v>
      </c>
      <c r="FF185" s="18">
        <f>FE185*VLOOKUP('Données projet'!$B$16,Paramètres!$A$1:$I$89,3,0)*VLOOKUP('Données projet'!$B$16,Paramètres!$A$1:$I$89,5,0)</f>
        <v>212.28480000000002</v>
      </c>
      <c r="FG185" s="14">
        <f t="shared" si="182"/>
        <v>52.434557099704193</v>
      </c>
      <c r="FH185" s="22">
        <f t="shared" si="183"/>
        <v>461.05288028198476</v>
      </c>
      <c r="FI185" s="62">
        <f t="shared" si="131"/>
        <v>754.38621361531807</v>
      </c>
      <c r="FJ185" s="62">
        <f ca="1">AVERAGE(OFFSET($FI$3,0,0,'Données projet'!$E$16+1,1))-AVERAGE(OFFSET($H$3,0,0,'Données projet'!$E$16+1,1))</f>
        <v>369.34989412920129</v>
      </c>
      <c r="FK185" s="62">
        <f t="shared" si="156"/>
        <v>371.26234252426553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0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>
        <f>FZ185*VLOOKUP('Données projet'!$B$17,Paramètres!$A$1:$I$89,3,0)*VLOOKUP('Données projet'!$B$17,Paramètres!$A$1:$I$89,5,0)</f>
        <v>0</v>
      </c>
      <c r="GB185" s="14" t="e">
        <f t="shared" si="185"/>
        <v>#NUM!</v>
      </c>
      <c r="GC185" s="22" t="e">
        <f t="shared" si="186"/>
        <v>#NUM!</v>
      </c>
      <c r="GD185" s="62" t="e">
        <f t="shared" si="134"/>
        <v>#NUM!</v>
      </c>
      <c r="GE185" s="62">
        <f ca="1">AVERAGE(OFFSET($GD$3,0,0,'Données projet'!$E$17+1,1))-AVERAGE(OFFSET($H$3,0,0,'Données projet'!$E$17+1,1))</f>
        <v>324.4489531703187</v>
      </c>
      <c r="GF185" s="62">
        <f t="shared" si="158"/>
        <v>446.55019360848706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projet'!$B$17,Paramètres!$A$1:$I$89,3,0)*0.475*44/12</f>
        <v>0</v>
      </c>
      <c r="GM185" s="23">
        <f>EXP(-LN(2)/25)*GM184+(1-EXP(-LN(2)/25))/(LN(2)/25)*Calculateur!GH185*Calculateur!GJ185*VLOOKUP('Données projet'!$B$17,Paramètres!$A$1:$I$89,3,0)*0.475*44/12</f>
        <v>0</v>
      </c>
      <c r="GN185" s="23">
        <f>EXP(-LN(2)/2)*GN184+(1-EXP(-LN(2)/2))/(LN(2)/2)*GH185*GK185*VLOOKUP('Données projet'!$B$17,Paramètres!$A$1:$I$89,3,0)*0.475*44/12</f>
        <v>0</v>
      </c>
      <c r="GO185" s="23">
        <f t="shared" si="187"/>
        <v>0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1.7053025658242404E-13</v>
      </c>
      <c r="GV185" s="18">
        <f>GU185*VLOOKUP('Données projet'!$B$18,Paramètres!$A$1:$I$89,3,0)*VLOOKUP('Données projet'!$B$18,Paramètres!$A$1:$I$89,5,0)</f>
        <v>1.1439169611549005E-13</v>
      </c>
      <c r="GW185" s="14">
        <f t="shared" si="188"/>
        <v>1.6918016515029816E-12</v>
      </c>
      <c r="GX185" s="22">
        <f t="shared" si="189"/>
        <v>3.1457867471021712E-12</v>
      </c>
      <c r="GY185" s="62">
        <f t="shared" si="137"/>
        <v>293.33333333333644</v>
      </c>
      <c r="GZ185" s="62">
        <f ca="1">AVERAGE(OFFSET($GY$3,0,0,'Données projet'!$E$18+1,1))-AVERAGE(OFFSET($H$3,0,0,'Données projet'!$E$18+1,1))</f>
        <v>312.06797204903796</v>
      </c>
      <c r="HA185" s="62">
        <f t="shared" si="160"/>
        <v>258.20189001775151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>
        <f>EXP(-LN(2)/35)*HG184+(1-EXP(-LN(2)/35))/(LN(2)/35)*HC185*HD185*VLOOKUP('Données projet'!$B$18,Paramètres!$A$1:$I$89,3,0)*0.475*44/12</f>
        <v>0</v>
      </c>
      <c r="HH185" s="23">
        <f>EXP(-LN(2)/25)*HH184+(1-EXP(-LN(2)/25))/(LN(2)/25)*Calculateur!HC185*Calculateur!HE185*VLOOKUP('Données projet'!$B$18,Paramètres!$A$1:$I$89,3,0)*0.475*44/12</f>
        <v>0</v>
      </c>
      <c r="HI185" s="23">
        <f>EXP(-LN(2)/2)*HI184+(1-EXP(-LN(2)/2))/(LN(2)/2)*HC185*HF185*VLOOKUP('Données projet'!$B$18,Paramètres!$A$1:$I$89,3,0)*0.475*44/12</f>
        <v>0</v>
      </c>
      <c r="HJ185" s="24">
        <f t="shared" si="190"/>
        <v>0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5.1431925385259088E-14</v>
      </c>
      <c r="P186" s="14">
        <f t="shared" si="141"/>
        <v>8.3482866290946129E-13</v>
      </c>
      <c r="Q186" s="22">
        <f t="shared" si="162"/>
        <v>1.5435705246133045E-12</v>
      </c>
      <c r="R186" s="62">
        <f t="shared" si="109"/>
        <v>293.33333333333485</v>
      </c>
      <c r="S186" s="62">
        <f ca="1">AVERAGE(OFFSET($R$3,0,0,'Données projet'!$E$9+1,1))-AVERAGE(OFFSET($H$3,0,0,'Données projet'!$E$9+1,1))</f>
        <v>512.84819850818667</v>
      </c>
      <c r="T186" s="62">
        <f t="shared" si="142"/>
        <v>332.61387922152159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-5.6843418860808015E-14</v>
      </c>
      <c r="AJ186" s="14">
        <f>AI186*VLOOKUP('Données projet'!$B$10,Paramètres!$A$1:$I$89,3,0)*VLOOKUP('Données projet'!$B$10,Paramètres!$A$1:$I$89,5,0)</f>
        <v>-4.1677594708744434E-14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344.45199703750711</v>
      </c>
      <c r="AO186" s="62">
        <f t="shared" si="144"/>
        <v>376.41441893222185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5.6843418860808015E-14</v>
      </c>
      <c r="BE186" s="14">
        <f>BD186*VLOOKUP('Données projet'!$B$11,Paramètres!$A$1:$I$89,3,0)*VLOOKUP('Données projet'!$B$11,Paramètres!$A$1:$I$89,5,0)</f>
        <v>5.7639226724859328E-14</v>
      </c>
      <c r="BF186" s="14">
        <f t="shared" si="167"/>
        <v>9.2325701996134334E-13</v>
      </c>
      <c r="BG186" s="22">
        <f t="shared" si="168"/>
        <v>1.708394296311803E-12</v>
      </c>
      <c r="BH186" s="62">
        <f t="shared" si="116"/>
        <v>293.33333333333502</v>
      </c>
      <c r="BI186" s="62">
        <f ca="1">AVERAGE(OFFSET($BH$3,0,0,'Données projet'!$E$11+1,1))-AVERAGE(OFFSET($H$3,0,0,'Données projet'!$E$11+1,1))</f>
        <v>569.39473185784823</v>
      </c>
      <c r="BJ186" s="62">
        <f t="shared" si="146"/>
        <v>367.42881145517066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2.2737367544323206E-13</v>
      </c>
      <c r="BZ186" s="14">
        <f>BY186*VLOOKUP('Données projet'!$B$12,Paramètres!$A$1:$I$89,3,0)*VLOOKUP('Données projet'!$B$12,Paramètres!$A$1:$I$89,5,0)</f>
        <v>1.9508661353029313E-13</v>
      </c>
      <c r="CA186" s="14">
        <f t="shared" si="170"/>
        <v>2.711421636700695E-12</v>
      </c>
      <c r="CB186" s="22">
        <f t="shared" si="171"/>
        <v>5.0621685358189711E-12</v>
      </c>
      <c r="CC186" s="62">
        <f t="shared" si="119"/>
        <v>293.33333333333837</v>
      </c>
      <c r="CD186" s="62">
        <f ca="1">AVERAGE(OFFSET($CC$3,0,0,'Données projet'!$E$12+1,1))-AVERAGE(OFFSET($H$3,0,0,'Données projet'!$E$12+1,1))</f>
        <v>554.06253050955502</v>
      </c>
      <c r="CE186" s="62">
        <f t="shared" si="148"/>
        <v>269.71949336355789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1.1368683772161603E-13</v>
      </c>
      <c r="CU186" s="18">
        <f>CT186*VLOOKUP('Données projet'!$B$13,Paramètres!$A$1:$I$89,3,0)*VLOOKUP('Données projet'!$B$13,Paramètres!$A$1:$I$89,5,0)</f>
        <v>8.8675733422860506E-14</v>
      </c>
      <c r="CV186" s="14">
        <f t="shared" si="173"/>
        <v>1.3509285393066301E-12</v>
      </c>
      <c r="CW186" s="22">
        <f t="shared" si="174"/>
        <v>2.5073107750038623E-12</v>
      </c>
      <c r="CX186" s="62">
        <f t="shared" si="122"/>
        <v>293.33333333333582</v>
      </c>
      <c r="CY186" s="62">
        <f ca="1">AVERAGE(OFFSET($CX$3,0,0,'Données projet'!$E$13+1,1))-AVERAGE(OFFSET($H$3,0,0,'Données projet'!$E$13+1,1))</f>
        <v>292.21364130214391</v>
      </c>
      <c r="CZ186" s="62">
        <f t="shared" si="150"/>
        <v>283.48738729114024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5.6843418860808015E-14</v>
      </c>
      <c r="DP186" s="18">
        <f>DO186*VLOOKUP('Données projet'!$B$14,Paramètres!$A$1:$I$89,3,0)*VLOOKUP('Données projet'!$B$14,Paramètres!$A$1:$I$89,5,0)</f>
        <v>5.4092197387944907E-14</v>
      </c>
      <c r="DQ186" s="14">
        <f t="shared" si="176"/>
        <v>8.7287050538073676E-13</v>
      </c>
      <c r="DR186" s="22">
        <f t="shared" si="177"/>
        <v>1.6144600406554537E-12</v>
      </c>
      <c r="DS186" s="62">
        <f t="shared" si="125"/>
        <v>293.33333333333491</v>
      </c>
      <c r="DT186" s="62">
        <f ca="1">AVERAGE(OFFSET($DS$3,0,0,'Données projet'!$E$14+1,1))-AVERAGE(OFFSET($H$3,0,0,'Données projet'!$E$14+1,1))</f>
        <v>427.47603885390191</v>
      </c>
      <c r="DU186" s="62">
        <f t="shared" si="152"/>
        <v>350.88664394632116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-9.6633812063373625E-13</v>
      </c>
      <c r="EK186" s="18">
        <f>EJ186*VLOOKUP('Données projet'!$B$15,Paramètres!$A$1:$I$89,3,0)*VLOOKUP('Données projet'!$B$15,Paramètres!$A$1:$I$89,5,0)</f>
        <v>-9.3464223027694966E-13</v>
      </c>
      <c r="EL186" s="14" t="e">
        <f t="shared" si="179"/>
        <v>#NUM!</v>
      </c>
      <c r="EM186" s="22" t="e">
        <f t="shared" si="180"/>
        <v>#NUM!</v>
      </c>
      <c r="EN186" s="62" t="e">
        <f t="shared" si="128"/>
        <v>#NUM!</v>
      </c>
      <c r="EO186" s="62">
        <f ca="1">AVERAGE(OFFSET($EN$3,0,0,'Données projet'!$E$15+1,1))-AVERAGE(OFFSET($H$3,0,0,'Données projet'!$E$15+1,1))</f>
        <v>455.50822833641354</v>
      </c>
      <c r="EP186" s="62">
        <f t="shared" si="154"/>
        <v>261.14722581688039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243</v>
      </c>
      <c r="FF186" s="18">
        <f>FE186*VLOOKUP('Données projet'!$B$16,Paramètres!$A$1:$I$89,3,0)*VLOOKUP('Données projet'!$B$16,Paramètres!$A$1:$I$89,5,0)</f>
        <v>212.28480000000002</v>
      </c>
      <c r="FG186" s="14">
        <f t="shared" si="182"/>
        <v>52.434557099704193</v>
      </c>
      <c r="FH186" s="22">
        <f t="shared" si="183"/>
        <v>461.05288028198476</v>
      </c>
      <c r="FI186" s="62">
        <f t="shared" si="131"/>
        <v>754.38621361531807</v>
      </c>
      <c r="FJ186" s="62">
        <f ca="1">AVERAGE(OFFSET($FI$3,0,0,'Données projet'!$E$16+1,1))-AVERAGE(OFFSET($H$3,0,0,'Données projet'!$E$16+1,1))</f>
        <v>369.34989412920129</v>
      </c>
      <c r="FK186" s="62">
        <f t="shared" si="156"/>
        <v>371.26234252426553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0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>
        <f>FZ186*VLOOKUP('Données projet'!$B$17,Paramètres!$A$1:$I$89,3,0)*VLOOKUP('Données projet'!$B$17,Paramètres!$A$1:$I$89,5,0)</f>
        <v>0</v>
      </c>
      <c r="GB186" s="14" t="e">
        <f t="shared" si="185"/>
        <v>#NUM!</v>
      </c>
      <c r="GC186" s="22" t="e">
        <f t="shared" si="186"/>
        <v>#NUM!</v>
      </c>
      <c r="GD186" s="62" t="e">
        <f t="shared" si="134"/>
        <v>#NUM!</v>
      </c>
      <c r="GE186" s="62">
        <f ca="1">AVERAGE(OFFSET($GD$3,0,0,'Données projet'!$E$17+1,1))-AVERAGE(OFFSET($H$3,0,0,'Données projet'!$E$17+1,1))</f>
        <v>324.4489531703187</v>
      </c>
      <c r="GF186" s="62">
        <f t="shared" si="158"/>
        <v>446.55019360848706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projet'!$B$17,Paramètres!$A$1:$I$89,3,0)*0.475*44/12</f>
        <v>0</v>
      </c>
      <c r="GM186" s="23">
        <f>EXP(-LN(2)/25)*GM185+(1-EXP(-LN(2)/25))/(LN(2)/25)*Calculateur!GH186*Calculateur!GJ186*VLOOKUP('Données projet'!$B$17,Paramètres!$A$1:$I$89,3,0)*0.475*44/12</f>
        <v>0</v>
      </c>
      <c r="GN186" s="23">
        <f>EXP(-LN(2)/2)*GN185+(1-EXP(-LN(2)/2))/(LN(2)/2)*GH186*GK186*VLOOKUP('Données projet'!$B$17,Paramètres!$A$1:$I$89,3,0)*0.475*44/12</f>
        <v>0</v>
      </c>
      <c r="GO186" s="23">
        <f t="shared" si="187"/>
        <v>0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1.7053025658242404E-13</v>
      </c>
      <c r="GV186" s="18">
        <f>GU186*VLOOKUP('Données projet'!$B$18,Paramètres!$A$1:$I$89,3,0)*VLOOKUP('Données projet'!$B$18,Paramètres!$A$1:$I$89,5,0)</f>
        <v>1.1439169611549005E-13</v>
      </c>
      <c r="GW186" s="14">
        <f t="shared" si="188"/>
        <v>1.6918016515029816E-12</v>
      </c>
      <c r="GX186" s="22">
        <f t="shared" si="189"/>
        <v>3.1457867471021712E-12</v>
      </c>
      <c r="GY186" s="62">
        <f t="shared" si="137"/>
        <v>293.33333333333644</v>
      </c>
      <c r="GZ186" s="62">
        <f ca="1">AVERAGE(OFFSET($GY$3,0,0,'Données projet'!$E$18+1,1))-AVERAGE(OFFSET($H$3,0,0,'Données projet'!$E$18+1,1))</f>
        <v>312.06797204903796</v>
      </c>
      <c r="HA186" s="62">
        <f t="shared" si="160"/>
        <v>258.20189001775151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>
        <f>EXP(-LN(2)/35)*HG185+(1-EXP(-LN(2)/35))/(LN(2)/35)*HC186*HD186*VLOOKUP('Données projet'!$B$18,Paramètres!$A$1:$I$89,3,0)*0.475*44/12</f>
        <v>0</v>
      </c>
      <c r="HH186" s="23">
        <f>EXP(-LN(2)/25)*HH185+(1-EXP(-LN(2)/25))/(LN(2)/25)*Calculateur!HC186*Calculateur!HE186*VLOOKUP('Données projet'!$B$18,Paramètres!$A$1:$I$89,3,0)*0.475*44/12</f>
        <v>0</v>
      </c>
      <c r="HI186" s="23">
        <f>EXP(-LN(2)/2)*HI185+(1-EXP(-LN(2)/2))/(LN(2)/2)*HC186*HF186*VLOOKUP('Données projet'!$B$18,Paramètres!$A$1:$I$89,3,0)*0.475*44/12</f>
        <v>0</v>
      </c>
      <c r="HJ186" s="24">
        <f t="shared" si="190"/>
        <v>0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5.1431925385259088E-14</v>
      </c>
      <c r="P187" s="14">
        <f t="shared" si="141"/>
        <v>8.3482866290946129E-13</v>
      </c>
      <c r="Q187" s="22">
        <f t="shared" si="162"/>
        <v>1.5435705246133045E-12</v>
      </c>
      <c r="R187" s="62">
        <f t="shared" si="109"/>
        <v>293.33333333333485</v>
      </c>
      <c r="S187" s="62">
        <f ca="1">AVERAGE(OFFSET($R$3,0,0,'Données projet'!$E$9+1,1))-AVERAGE(OFFSET($H$3,0,0,'Données projet'!$E$9+1,1))</f>
        <v>512.84819850818667</v>
      </c>
      <c r="T187" s="62">
        <f t="shared" si="142"/>
        <v>332.61387922152159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-5.6843418860808015E-14</v>
      </c>
      <c r="AJ187" s="14">
        <f>AI187*VLOOKUP('Données projet'!$B$10,Paramètres!$A$1:$I$89,3,0)*VLOOKUP('Données projet'!$B$10,Paramètres!$A$1:$I$89,5,0)</f>
        <v>-4.1677594708744434E-14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344.45199703750711</v>
      </c>
      <c r="AO187" s="62">
        <f t="shared" si="144"/>
        <v>376.41441893222185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5.6843418860808015E-14</v>
      </c>
      <c r="BE187" s="14">
        <f>BD187*VLOOKUP('Données projet'!$B$11,Paramètres!$A$1:$I$89,3,0)*VLOOKUP('Données projet'!$B$11,Paramètres!$A$1:$I$89,5,0)</f>
        <v>5.7639226724859328E-14</v>
      </c>
      <c r="BF187" s="14">
        <f t="shared" si="167"/>
        <v>9.2325701996134334E-13</v>
      </c>
      <c r="BG187" s="22">
        <f t="shared" si="168"/>
        <v>1.708394296311803E-12</v>
      </c>
      <c r="BH187" s="62">
        <f t="shared" si="116"/>
        <v>293.33333333333502</v>
      </c>
      <c r="BI187" s="62">
        <f ca="1">AVERAGE(OFFSET($BH$3,0,0,'Données projet'!$E$11+1,1))-AVERAGE(OFFSET($H$3,0,0,'Données projet'!$E$11+1,1))</f>
        <v>569.39473185784823</v>
      </c>
      <c r="BJ187" s="62">
        <f t="shared" si="146"/>
        <v>367.42881145517066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2.2737367544323206E-13</v>
      </c>
      <c r="BZ187" s="14">
        <f>BY187*VLOOKUP('Données projet'!$B$12,Paramètres!$A$1:$I$89,3,0)*VLOOKUP('Données projet'!$B$12,Paramètres!$A$1:$I$89,5,0)</f>
        <v>1.9508661353029313E-13</v>
      </c>
      <c r="CA187" s="14">
        <f t="shared" si="170"/>
        <v>2.711421636700695E-12</v>
      </c>
      <c r="CB187" s="22">
        <f t="shared" si="171"/>
        <v>5.0621685358189711E-12</v>
      </c>
      <c r="CC187" s="62">
        <f t="shared" si="119"/>
        <v>293.33333333333837</v>
      </c>
      <c r="CD187" s="62">
        <f ca="1">AVERAGE(OFFSET($CC$3,0,0,'Données projet'!$E$12+1,1))-AVERAGE(OFFSET($H$3,0,0,'Données projet'!$E$12+1,1))</f>
        <v>554.06253050955502</v>
      </c>
      <c r="CE187" s="62">
        <f t="shared" si="148"/>
        <v>269.71949336355789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1.1368683772161603E-13</v>
      </c>
      <c r="CU187" s="18">
        <f>CT187*VLOOKUP('Données projet'!$B$13,Paramètres!$A$1:$I$89,3,0)*VLOOKUP('Données projet'!$B$13,Paramètres!$A$1:$I$89,5,0)</f>
        <v>8.8675733422860506E-14</v>
      </c>
      <c r="CV187" s="14">
        <f t="shared" si="173"/>
        <v>1.3509285393066301E-12</v>
      </c>
      <c r="CW187" s="22">
        <f t="shared" si="174"/>
        <v>2.5073107750038623E-12</v>
      </c>
      <c r="CX187" s="62">
        <f t="shared" si="122"/>
        <v>293.33333333333582</v>
      </c>
      <c r="CY187" s="62">
        <f ca="1">AVERAGE(OFFSET($CX$3,0,0,'Données projet'!$E$13+1,1))-AVERAGE(OFFSET($H$3,0,0,'Données projet'!$E$13+1,1))</f>
        <v>292.21364130214391</v>
      </c>
      <c r="CZ187" s="62">
        <f t="shared" si="150"/>
        <v>283.48738729114024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5.6843418860808015E-14</v>
      </c>
      <c r="DP187" s="18">
        <f>DO187*VLOOKUP('Données projet'!$B$14,Paramètres!$A$1:$I$89,3,0)*VLOOKUP('Données projet'!$B$14,Paramètres!$A$1:$I$89,5,0)</f>
        <v>5.4092197387944907E-14</v>
      </c>
      <c r="DQ187" s="14">
        <f t="shared" si="176"/>
        <v>8.7287050538073676E-13</v>
      </c>
      <c r="DR187" s="22">
        <f t="shared" si="177"/>
        <v>1.6144600406554537E-12</v>
      </c>
      <c r="DS187" s="62">
        <f t="shared" si="125"/>
        <v>293.33333333333491</v>
      </c>
      <c r="DT187" s="62">
        <f ca="1">AVERAGE(OFFSET($DS$3,0,0,'Données projet'!$E$14+1,1))-AVERAGE(OFFSET($H$3,0,0,'Données projet'!$E$14+1,1))</f>
        <v>427.47603885390191</v>
      </c>
      <c r="DU187" s="62">
        <f t="shared" si="152"/>
        <v>350.88664394632116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-9.6633812063373625E-13</v>
      </c>
      <c r="EK187" s="18">
        <f>EJ187*VLOOKUP('Données projet'!$B$15,Paramètres!$A$1:$I$89,3,0)*VLOOKUP('Données projet'!$B$15,Paramètres!$A$1:$I$89,5,0)</f>
        <v>-9.3464223027694966E-13</v>
      </c>
      <c r="EL187" s="14" t="e">
        <f t="shared" si="179"/>
        <v>#NUM!</v>
      </c>
      <c r="EM187" s="22" t="e">
        <f t="shared" si="180"/>
        <v>#NUM!</v>
      </c>
      <c r="EN187" s="62" t="e">
        <f t="shared" si="128"/>
        <v>#NUM!</v>
      </c>
      <c r="EO187" s="62">
        <f ca="1">AVERAGE(OFFSET($EN$3,0,0,'Données projet'!$E$15+1,1))-AVERAGE(OFFSET($H$3,0,0,'Données projet'!$E$15+1,1))</f>
        <v>455.50822833641354</v>
      </c>
      <c r="EP187" s="62">
        <f t="shared" si="154"/>
        <v>261.14722581688039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243</v>
      </c>
      <c r="FF187" s="18">
        <f>FE187*VLOOKUP('Données projet'!$B$16,Paramètres!$A$1:$I$89,3,0)*VLOOKUP('Données projet'!$B$16,Paramètres!$A$1:$I$89,5,0)</f>
        <v>212.28480000000002</v>
      </c>
      <c r="FG187" s="14">
        <f t="shared" si="182"/>
        <v>52.434557099704193</v>
      </c>
      <c r="FH187" s="22">
        <f t="shared" si="183"/>
        <v>461.05288028198476</v>
      </c>
      <c r="FI187" s="62">
        <f t="shared" si="131"/>
        <v>754.38621361531807</v>
      </c>
      <c r="FJ187" s="62">
        <f ca="1">AVERAGE(OFFSET($FI$3,0,0,'Données projet'!$E$16+1,1))-AVERAGE(OFFSET($H$3,0,0,'Données projet'!$E$16+1,1))</f>
        <v>369.34989412920129</v>
      </c>
      <c r="FK187" s="62">
        <f t="shared" si="156"/>
        <v>371.26234252426553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0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>
        <f>FZ187*VLOOKUP('Données projet'!$B$17,Paramètres!$A$1:$I$89,3,0)*VLOOKUP('Données projet'!$B$17,Paramètres!$A$1:$I$89,5,0)</f>
        <v>0</v>
      </c>
      <c r="GB187" s="14" t="e">
        <f t="shared" si="185"/>
        <v>#NUM!</v>
      </c>
      <c r="GC187" s="22" t="e">
        <f t="shared" si="186"/>
        <v>#NUM!</v>
      </c>
      <c r="GD187" s="62" t="e">
        <f t="shared" si="134"/>
        <v>#NUM!</v>
      </c>
      <c r="GE187" s="62">
        <f ca="1">AVERAGE(OFFSET($GD$3,0,0,'Données projet'!$E$17+1,1))-AVERAGE(OFFSET($H$3,0,0,'Données projet'!$E$17+1,1))</f>
        <v>324.4489531703187</v>
      </c>
      <c r="GF187" s="62">
        <f t="shared" si="158"/>
        <v>446.55019360848706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projet'!$B$17,Paramètres!$A$1:$I$89,3,0)*0.475*44/12</f>
        <v>0</v>
      </c>
      <c r="GM187" s="23">
        <f>EXP(-LN(2)/25)*GM186+(1-EXP(-LN(2)/25))/(LN(2)/25)*Calculateur!GH187*Calculateur!GJ187*VLOOKUP('Données projet'!$B$17,Paramètres!$A$1:$I$89,3,0)*0.475*44/12</f>
        <v>0</v>
      </c>
      <c r="GN187" s="23">
        <f>EXP(-LN(2)/2)*GN186+(1-EXP(-LN(2)/2))/(LN(2)/2)*GH187*GK187*VLOOKUP('Données projet'!$B$17,Paramètres!$A$1:$I$89,3,0)*0.475*44/12</f>
        <v>0</v>
      </c>
      <c r="GO187" s="23">
        <f t="shared" si="187"/>
        <v>0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1.7053025658242404E-13</v>
      </c>
      <c r="GV187" s="18">
        <f>GU187*VLOOKUP('Données projet'!$B$18,Paramètres!$A$1:$I$89,3,0)*VLOOKUP('Données projet'!$B$18,Paramètres!$A$1:$I$89,5,0)</f>
        <v>1.1439169611549005E-13</v>
      </c>
      <c r="GW187" s="14">
        <f t="shared" si="188"/>
        <v>1.6918016515029816E-12</v>
      </c>
      <c r="GX187" s="22">
        <f t="shared" si="189"/>
        <v>3.1457867471021712E-12</v>
      </c>
      <c r="GY187" s="62">
        <f t="shared" si="137"/>
        <v>293.33333333333644</v>
      </c>
      <c r="GZ187" s="62">
        <f ca="1">AVERAGE(OFFSET($GY$3,0,0,'Données projet'!$E$18+1,1))-AVERAGE(OFFSET($H$3,0,0,'Données projet'!$E$18+1,1))</f>
        <v>312.06797204903796</v>
      </c>
      <c r="HA187" s="62">
        <f t="shared" si="160"/>
        <v>258.20189001775151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>
        <f>EXP(-LN(2)/35)*HG186+(1-EXP(-LN(2)/35))/(LN(2)/35)*HC187*HD187*VLOOKUP('Données projet'!$B$18,Paramètres!$A$1:$I$89,3,0)*0.475*44/12</f>
        <v>0</v>
      </c>
      <c r="HH187" s="23">
        <f>EXP(-LN(2)/25)*HH186+(1-EXP(-LN(2)/25))/(LN(2)/25)*Calculateur!HC187*Calculateur!HE187*VLOOKUP('Données projet'!$B$18,Paramètres!$A$1:$I$89,3,0)*0.475*44/12</f>
        <v>0</v>
      </c>
      <c r="HI187" s="23">
        <f>EXP(-LN(2)/2)*HI186+(1-EXP(-LN(2)/2))/(LN(2)/2)*HC187*HF187*VLOOKUP('Données projet'!$B$18,Paramètres!$A$1:$I$89,3,0)*0.475*44/12</f>
        <v>0</v>
      </c>
      <c r="HJ187" s="24">
        <f t="shared" si="190"/>
        <v>0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5.1431925385259088E-14</v>
      </c>
      <c r="P188" s="14">
        <f t="shared" si="141"/>
        <v>8.3482866290946129E-13</v>
      </c>
      <c r="Q188" s="22">
        <f t="shared" si="162"/>
        <v>1.5435705246133045E-12</v>
      </c>
      <c r="R188" s="62">
        <f t="shared" si="109"/>
        <v>293.33333333333485</v>
      </c>
      <c r="S188" s="62">
        <f ca="1">AVERAGE(OFFSET($R$3,0,0,'Données projet'!$E$9+1,1))-AVERAGE(OFFSET($H$3,0,0,'Données projet'!$E$9+1,1))</f>
        <v>512.84819850818667</v>
      </c>
      <c r="T188" s="62">
        <f t="shared" si="142"/>
        <v>332.61387922152159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-5.6843418860808015E-14</v>
      </c>
      <c r="AJ188" s="14">
        <f>AI188*VLOOKUP('Données projet'!$B$10,Paramètres!$A$1:$I$89,3,0)*VLOOKUP('Données projet'!$B$10,Paramètres!$A$1:$I$89,5,0)</f>
        <v>-4.1677594708744434E-14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344.45199703750711</v>
      </c>
      <c r="AO188" s="62">
        <f t="shared" si="144"/>
        <v>376.41441893222185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5.6843418860808015E-14</v>
      </c>
      <c r="BE188" s="14">
        <f>BD188*VLOOKUP('Données projet'!$B$11,Paramètres!$A$1:$I$89,3,0)*VLOOKUP('Données projet'!$B$11,Paramètres!$A$1:$I$89,5,0)</f>
        <v>5.7639226724859328E-14</v>
      </c>
      <c r="BF188" s="14">
        <f t="shared" si="167"/>
        <v>9.2325701996134334E-13</v>
      </c>
      <c r="BG188" s="22">
        <f t="shared" si="168"/>
        <v>1.708394296311803E-12</v>
      </c>
      <c r="BH188" s="62">
        <f t="shared" si="116"/>
        <v>293.33333333333502</v>
      </c>
      <c r="BI188" s="62">
        <f ca="1">AVERAGE(OFFSET($BH$3,0,0,'Données projet'!$E$11+1,1))-AVERAGE(OFFSET($H$3,0,0,'Données projet'!$E$11+1,1))</f>
        <v>569.39473185784823</v>
      </c>
      <c r="BJ188" s="62">
        <f t="shared" si="146"/>
        <v>367.42881145517066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2.2737367544323206E-13</v>
      </c>
      <c r="BZ188" s="14">
        <f>BY188*VLOOKUP('Données projet'!$B$12,Paramètres!$A$1:$I$89,3,0)*VLOOKUP('Données projet'!$B$12,Paramètres!$A$1:$I$89,5,0)</f>
        <v>1.9508661353029313E-13</v>
      </c>
      <c r="CA188" s="14">
        <f t="shared" si="170"/>
        <v>2.711421636700695E-12</v>
      </c>
      <c r="CB188" s="22">
        <f t="shared" si="171"/>
        <v>5.0621685358189711E-12</v>
      </c>
      <c r="CC188" s="62">
        <f t="shared" si="119"/>
        <v>293.33333333333837</v>
      </c>
      <c r="CD188" s="62">
        <f ca="1">AVERAGE(OFFSET($CC$3,0,0,'Données projet'!$E$12+1,1))-AVERAGE(OFFSET($H$3,0,0,'Données projet'!$E$12+1,1))</f>
        <v>554.06253050955502</v>
      </c>
      <c r="CE188" s="62">
        <f t="shared" si="148"/>
        <v>269.71949336355789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1.1368683772161603E-13</v>
      </c>
      <c r="CU188" s="18">
        <f>CT188*VLOOKUP('Données projet'!$B$13,Paramètres!$A$1:$I$89,3,0)*VLOOKUP('Données projet'!$B$13,Paramètres!$A$1:$I$89,5,0)</f>
        <v>8.8675733422860506E-14</v>
      </c>
      <c r="CV188" s="14">
        <f t="shared" si="173"/>
        <v>1.3509285393066301E-12</v>
      </c>
      <c r="CW188" s="22">
        <f t="shared" si="174"/>
        <v>2.5073107750038623E-12</v>
      </c>
      <c r="CX188" s="62">
        <f t="shared" si="122"/>
        <v>293.33333333333582</v>
      </c>
      <c r="CY188" s="62">
        <f ca="1">AVERAGE(OFFSET($CX$3,0,0,'Données projet'!$E$13+1,1))-AVERAGE(OFFSET($H$3,0,0,'Données projet'!$E$13+1,1))</f>
        <v>292.21364130214391</v>
      </c>
      <c r="CZ188" s="62">
        <f t="shared" si="150"/>
        <v>283.48738729114024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5.6843418860808015E-14</v>
      </c>
      <c r="DP188" s="18">
        <f>DO188*VLOOKUP('Données projet'!$B$14,Paramètres!$A$1:$I$89,3,0)*VLOOKUP('Données projet'!$B$14,Paramètres!$A$1:$I$89,5,0)</f>
        <v>5.4092197387944907E-14</v>
      </c>
      <c r="DQ188" s="14">
        <f t="shared" si="176"/>
        <v>8.7287050538073676E-13</v>
      </c>
      <c r="DR188" s="22">
        <f t="shared" si="177"/>
        <v>1.6144600406554537E-12</v>
      </c>
      <c r="DS188" s="62">
        <f t="shared" si="125"/>
        <v>293.33333333333491</v>
      </c>
      <c r="DT188" s="62">
        <f ca="1">AVERAGE(OFFSET($DS$3,0,0,'Données projet'!$E$14+1,1))-AVERAGE(OFFSET($H$3,0,0,'Données projet'!$E$14+1,1))</f>
        <v>427.47603885390191</v>
      </c>
      <c r="DU188" s="62">
        <f t="shared" si="152"/>
        <v>350.88664394632116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-9.6633812063373625E-13</v>
      </c>
      <c r="EK188" s="18">
        <f>EJ188*VLOOKUP('Données projet'!$B$15,Paramètres!$A$1:$I$89,3,0)*VLOOKUP('Données projet'!$B$15,Paramètres!$A$1:$I$89,5,0)</f>
        <v>-9.3464223027694966E-13</v>
      </c>
      <c r="EL188" s="14" t="e">
        <f t="shared" si="179"/>
        <v>#NUM!</v>
      </c>
      <c r="EM188" s="22" t="e">
        <f t="shared" si="180"/>
        <v>#NUM!</v>
      </c>
      <c r="EN188" s="62" t="e">
        <f t="shared" si="128"/>
        <v>#NUM!</v>
      </c>
      <c r="EO188" s="62">
        <f ca="1">AVERAGE(OFFSET($EN$3,0,0,'Données projet'!$E$15+1,1))-AVERAGE(OFFSET($H$3,0,0,'Données projet'!$E$15+1,1))</f>
        <v>455.50822833641354</v>
      </c>
      <c r="EP188" s="62">
        <f t="shared" si="154"/>
        <v>261.14722581688039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243</v>
      </c>
      <c r="FF188" s="18">
        <f>FE188*VLOOKUP('Données projet'!$B$16,Paramètres!$A$1:$I$89,3,0)*VLOOKUP('Données projet'!$B$16,Paramètres!$A$1:$I$89,5,0)</f>
        <v>212.28480000000002</v>
      </c>
      <c r="FG188" s="14">
        <f t="shared" si="182"/>
        <v>52.434557099704193</v>
      </c>
      <c r="FH188" s="22">
        <f t="shared" si="183"/>
        <v>461.05288028198476</v>
      </c>
      <c r="FI188" s="62">
        <f t="shared" si="131"/>
        <v>754.38621361531807</v>
      </c>
      <c r="FJ188" s="62">
        <f ca="1">AVERAGE(OFFSET($FI$3,0,0,'Données projet'!$E$16+1,1))-AVERAGE(OFFSET($H$3,0,0,'Données projet'!$E$16+1,1))</f>
        <v>369.34989412920129</v>
      </c>
      <c r="FK188" s="62">
        <f t="shared" si="156"/>
        <v>371.26234252426553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0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>
        <f>FZ188*VLOOKUP('Données projet'!$B$17,Paramètres!$A$1:$I$89,3,0)*VLOOKUP('Données projet'!$B$17,Paramètres!$A$1:$I$89,5,0)</f>
        <v>0</v>
      </c>
      <c r="GB188" s="14" t="e">
        <f t="shared" si="185"/>
        <v>#NUM!</v>
      </c>
      <c r="GC188" s="22" t="e">
        <f t="shared" si="186"/>
        <v>#NUM!</v>
      </c>
      <c r="GD188" s="62" t="e">
        <f t="shared" si="134"/>
        <v>#NUM!</v>
      </c>
      <c r="GE188" s="62">
        <f ca="1">AVERAGE(OFFSET($GD$3,0,0,'Données projet'!$E$17+1,1))-AVERAGE(OFFSET($H$3,0,0,'Données projet'!$E$17+1,1))</f>
        <v>324.4489531703187</v>
      </c>
      <c r="GF188" s="62">
        <f t="shared" si="158"/>
        <v>446.55019360848706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projet'!$B$17,Paramètres!$A$1:$I$89,3,0)*0.475*44/12</f>
        <v>0</v>
      </c>
      <c r="GM188" s="23">
        <f>EXP(-LN(2)/25)*GM187+(1-EXP(-LN(2)/25))/(LN(2)/25)*Calculateur!GH188*Calculateur!GJ188*VLOOKUP('Données projet'!$B$17,Paramètres!$A$1:$I$89,3,0)*0.475*44/12</f>
        <v>0</v>
      </c>
      <c r="GN188" s="23">
        <f>EXP(-LN(2)/2)*GN187+(1-EXP(-LN(2)/2))/(LN(2)/2)*GH188*GK188*VLOOKUP('Données projet'!$B$17,Paramètres!$A$1:$I$89,3,0)*0.475*44/12</f>
        <v>0</v>
      </c>
      <c r="GO188" s="23">
        <f t="shared" si="187"/>
        <v>0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1.7053025658242404E-13</v>
      </c>
      <c r="GV188" s="18">
        <f>GU188*VLOOKUP('Données projet'!$B$18,Paramètres!$A$1:$I$89,3,0)*VLOOKUP('Données projet'!$B$18,Paramètres!$A$1:$I$89,5,0)</f>
        <v>1.1439169611549005E-13</v>
      </c>
      <c r="GW188" s="14">
        <f t="shared" si="188"/>
        <v>1.6918016515029816E-12</v>
      </c>
      <c r="GX188" s="22">
        <f t="shared" si="189"/>
        <v>3.1457867471021712E-12</v>
      </c>
      <c r="GY188" s="62">
        <f t="shared" si="137"/>
        <v>293.33333333333644</v>
      </c>
      <c r="GZ188" s="62">
        <f ca="1">AVERAGE(OFFSET($GY$3,0,0,'Données projet'!$E$18+1,1))-AVERAGE(OFFSET($H$3,0,0,'Données projet'!$E$18+1,1))</f>
        <v>312.06797204903796</v>
      </c>
      <c r="HA188" s="62">
        <f t="shared" si="160"/>
        <v>258.20189001775151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>
        <f>EXP(-LN(2)/35)*HG187+(1-EXP(-LN(2)/35))/(LN(2)/35)*HC188*HD188*VLOOKUP('Données projet'!$B$18,Paramètres!$A$1:$I$89,3,0)*0.475*44/12</f>
        <v>0</v>
      </c>
      <c r="HH188" s="23">
        <f>EXP(-LN(2)/25)*HH187+(1-EXP(-LN(2)/25))/(LN(2)/25)*Calculateur!HC188*Calculateur!HE188*VLOOKUP('Données projet'!$B$18,Paramètres!$A$1:$I$89,3,0)*0.475*44/12</f>
        <v>0</v>
      </c>
      <c r="HI188" s="23">
        <f>EXP(-LN(2)/2)*HI187+(1-EXP(-LN(2)/2))/(LN(2)/2)*HC188*HF188*VLOOKUP('Données projet'!$B$18,Paramètres!$A$1:$I$89,3,0)*0.475*44/12</f>
        <v>0</v>
      </c>
      <c r="HJ188" s="24">
        <f t="shared" si="190"/>
        <v>0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5.1431925385259088E-14</v>
      </c>
      <c r="P189" s="14">
        <f t="shared" si="141"/>
        <v>8.3482866290946129E-13</v>
      </c>
      <c r="Q189" s="22">
        <f t="shared" si="162"/>
        <v>1.5435705246133045E-12</v>
      </c>
      <c r="R189" s="62">
        <f t="shared" si="109"/>
        <v>293.33333333333485</v>
      </c>
      <c r="S189" s="62">
        <f ca="1">AVERAGE(OFFSET($R$3,0,0,'Données projet'!$E$9+1,1))-AVERAGE(OFFSET($H$3,0,0,'Données projet'!$E$9+1,1))</f>
        <v>512.84819850818667</v>
      </c>
      <c r="T189" s="62">
        <f t="shared" si="142"/>
        <v>332.61387922152159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-5.6843418860808015E-14</v>
      </c>
      <c r="AJ189" s="14">
        <f>AI189*VLOOKUP('Données projet'!$B$10,Paramètres!$A$1:$I$89,3,0)*VLOOKUP('Données projet'!$B$10,Paramètres!$A$1:$I$89,5,0)</f>
        <v>-4.1677594708744434E-14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344.45199703750711</v>
      </c>
      <c r="AO189" s="62">
        <f t="shared" si="144"/>
        <v>376.41441893222185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5.6843418860808015E-14</v>
      </c>
      <c r="BE189" s="14">
        <f>BD189*VLOOKUP('Données projet'!$B$11,Paramètres!$A$1:$I$89,3,0)*VLOOKUP('Données projet'!$B$11,Paramètres!$A$1:$I$89,5,0)</f>
        <v>5.7639226724859328E-14</v>
      </c>
      <c r="BF189" s="14">
        <f t="shared" si="167"/>
        <v>9.2325701996134334E-13</v>
      </c>
      <c r="BG189" s="22">
        <f t="shared" si="168"/>
        <v>1.708394296311803E-12</v>
      </c>
      <c r="BH189" s="62">
        <f t="shared" si="116"/>
        <v>293.33333333333502</v>
      </c>
      <c r="BI189" s="62">
        <f ca="1">AVERAGE(OFFSET($BH$3,0,0,'Données projet'!$E$11+1,1))-AVERAGE(OFFSET($H$3,0,0,'Données projet'!$E$11+1,1))</f>
        <v>569.39473185784823</v>
      </c>
      <c r="BJ189" s="62">
        <f t="shared" si="146"/>
        <v>367.42881145517066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2.2737367544323206E-13</v>
      </c>
      <c r="BZ189" s="14">
        <f>BY189*VLOOKUP('Données projet'!$B$12,Paramètres!$A$1:$I$89,3,0)*VLOOKUP('Données projet'!$B$12,Paramètres!$A$1:$I$89,5,0)</f>
        <v>1.9508661353029313E-13</v>
      </c>
      <c r="CA189" s="14">
        <f t="shared" si="170"/>
        <v>2.711421636700695E-12</v>
      </c>
      <c r="CB189" s="22">
        <f t="shared" si="171"/>
        <v>5.0621685358189711E-12</v>
      </c>
      <c r="CC189" s="62">
        <f t="shared" si="119"/>
        <v>293.33333333333837</v>
      </c>
      <c r="CD189" s="62">
        <f ca="1">AVERAGE(OFFSET($CC$3,0,0,'Données projet'!$E$12+1,1))-AVERAGE(OFFSET($H$3,0,0,'Données projet'!$E$12+1,1))</f>
        <v>554.06253050955502</v>
      </c>
      <c r="CE189" s="62">
        <f t="shared" si="148"/>
        <v>269.71949336355789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1.1368683772161603E-13</v>
      </c>
      <c r="CU189" s="18">
        <f>CT189*VLOOKUP('Données projet'!$B$13,Paramètres!$A$1:$I$89,3,0)*VLOOKUP('Données projet'!$B$13,Paramètres!$A$1:$I$89,5,0)</f>
        <v>8.8675733422860506E-14</v>
      </c>
      <c r="CV189" s="14">
        <f t="shared" si="173"/>
        <v>1.3509285393066301E-12</v>
      </c>
      <c r="CW189" s="22">
        <f t="shared" si="174"/>
        <v>2.5073107750038623E-12</v>
      </c>
      <c r="CX189" s="62">
        <f t="shared" si="122"/>
        <v>293.33333333333582</v>
      </c>
      <c r="CY189" s="62">
        <f ca="1">AVERAGE(OFFSET($CX$3,0,0,'Données projet'!$E$13+1,1))-AVERAGE(OFFSET($H$3,0,0,'Données projet'!$E$13+1,1))</f>
        <v>292.21364130214391</v>
      </c>
      <c r="CZ189" s="62">
        <f t="shared" si="150"/>
        <v>283.48738729114024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5.6843418860808015E-14</v>
      </c>
      <c r="DP189" s="18">
        <f>DO189*VLOOKUP('Données projet'!$B$14,Paramètres!$A$1:$I$89,3,0)*VLOOKUP('Données projet'!$B$14,Paramètres!$A$1:$I$89,5,0)</f>
        <v>5.4092197387944907E-14</v>
      </c>
      <c r="DQ189" s="14">
        <f t="shared" si="176"/>
        <v>8.7287050538073676E-13</v>
      </c>
      <c r="DR189" s="22">
        <f t="shared" si="177"/>
        <v>1.6144600406554537E-12</v>
      </c>
      <c r="DS189" s="62">
        <f t="shared" si="125"/>
        <v>293.33333333333491</v>
      </c>
      <c r="DT189" s="62">
        <f ca="1">AVERAGE(OFFSET($DS$3,0,0,'Données projet'!$E$14+1,1))-AVERAGE(OFFSET($H$3,0,0,'Données projet'!$E$14+1,1))</f>
        <v>427.47603885390191</v>
      </c>
      <c r="DU189" s="62">
        <f t="shared" si="152"/>
        <v>350.88664394632116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-9.6633812063373625E-13</v>
      </c>
      <c r="EK189" s="18">
        <f>EJ189*VLOOKUP('Données projet'!$B$15,Paramètres!$A$1:$I$89,3,0)*VLOOKUP('Données projet'!$B$15,Paramètres!$A$1:$I$89,5,0)</f>
        <v>-9.3464223027694966E-13</v>
      </c>
      <c r="EL189" s="14" t="e">
        <f t="shared" si="179"/>
        <v>#NUM!</v>
      </c>
      <c r="EM189" s="22" t="e">
        <f t="shared" si="180"/>
        <v>#NUM!</v>
      </c>
      <c r="EN189" s="62" t="e">
        <f t="shared" si="128"/>
        <v>#NUM!</v>
      </c>
      <c r="EO189" s="62">
        <f ca="1">AVERAGE(OFFSET($EN$3,0,0,'Données projet'!$E$15+1,1))-AVERAGE(OFFSET($H$3,0,0,'Données projet'!$E$15+1,1))</f>
        <v>455.50822833641354</v>
      </c>
      <c r="EP189" s="62">
        <f t="shared" si="154"/>
        <v>261.14722581688039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243</v>
      </c>
      <c r="FF189" s="18">
        <f>FE189*VLOOKUP('Données projet'!$B$16,Paramètres!$A$1:$I$89,3,0)*VLOOKUP('Données projet'!$B$16,Paramètres!$A$1:$I$89,5,0)</f>
        <v>212.28480000000002</v>
      </c>
      <c r="FG189" s="14">
        <f t="shared" si="182"/>
        <v>52.434557099704193</v>
      </c>
      <c r="FH189" s="22">
        <f t="shared" si="183"/>
        <v>461.05288028198476</v>
      </c>
      <c r="FI189" s="62">
        <f t="shared" si="131"/>
        <v>754.38621361531807</v>
      </c>
      <c r="FJ189" s="62">
        <f ca="1">AVERAGE(OFFSET($FI$3,0,0,'Données projet'!$E$16+1,1))-AVERAGE(OFFSET($H$3,0,0,'Données projet'!$E$16+1,1))</f>
        <v>369.34989412920129</v>
      </c>
      <c r="FK189" s="62">
        <f t="shared" si="156"/>
        <v>371.26234252426553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0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>
        <f>FZ189*VLOOKUP('Données projet'!$B$17,Paramètres!$A$1:$I$89,3,0)*VLOOKUP('Données projet'!$B$17,Paramètres!$A$1:$I$89,5,0)</f>
        <v>0</v>
      </c>
      <c r="GB189" s="14" t="e">
        <f t="shared" si="185"/>
        <v>#NUM!</v>
      </c>
      <c r="GC189" s="22" t="e">
        <f t="shared" si="186"/>
        <v>#NUM!</v>
      </c>
      <c r="GD189" s="62" t="e">
        <f t="shared" si="134"/>
        <v>#NUM!</v>
      </c>
      <c r="GE189" s="62">
        <f ca="1">AVERAGE(OFFSET($GD$3,0,0,'Données projet'!$E$17+1,1))-AVERAGE(OFFSET($H$3,0,0,'Données projet'!$E$17+1,1))</f>
        <v>324.4489531703187</v>
      </c>
      <c r="GF189" s="62">
        <f t="shared" si="158"/>
        <v>446.55019360848706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projet'!$B$17,Paramètres!$A$1:$I$89,3,0)*0.475*44/12</f>
        <v>0</v>
      </c>
      <c r="GM189" s="23">
        <f>EXP(-LN(2)/25)*GM188+(1-EXP(-LN(2)/25))/(LN(2)/25)*Calculateur!GH189*Calculateur!GJ189*VLOOKUP('Données projet'!$B$17,Paramètres!$A$1:$I$89,3,0)*0.475*44/12</f>
        <v>0</v>
      </c>
      <c r="GN189" s="23">
        <f>EXP(-LN(2)/2)*GN188+(1-EXP(-LN(2)/2))/(LN(2)/2)*GH189*GK189*VLOOKUP('Données projet'!$B$17,Paramètres!$A$1:$I$89,3,0)*0.475*44/12</f>
        <v>0</v>
      </c>
      <c r="GO189" s="23">
        <f t="shared" si="187"/>
        <v>0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1.7053025658242404E-13</v>
      </c>
      <c r="GV189" s="18">
        <f>GU189*VLOOKUP('Données projet'!$B$18,Paramètres!$A$1:$I$89,3,0)*VLOOKUP('Données projet'!$B$18,Paramètres!$A$1:$I$89,5,0)</f>
        <v>1.1439169611549005E-13</v>
      </c>
      <c r="GW189" s="14">
        <f t="shared" si="188"/>
        <v>1.6918016515029816E-12</v>
      </c>
      <c r="GX189" s="22">
        <f t="shared" si="189"/>
        <v>3.1457867471021712E-12</v>
      </c>
      <c r="GY189" s="62">
        <f t="shared" si="137"/>
        <v>293.33333333333644</v>
      </c>
      <c r="GZ189" s="62">
        <f ca="1">AVERAGE(OFFSET($GY$3,0,0,'Données projet'!$E$18+1,1))-AVERAGE(OFFSET($H$3,0,0,'Données projet'!$E$18+1,1))</f>
        <v>312.06797204903796</v>
      </c>
      <c r="HA189" s="62">
        <f t="shared" si="160"/>
        <v>258.20189001775151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>
        <f>EXP(-LN(2)/35)*HG188+(1-EXP(-LN(2)/35))/(LN(2)/35)*HC189*HD189*VLOOKUP('Données projet'!$B$18,Paramètres!$A$1:$I$89,3,0)*0.475*44/12</f>
        <v>0</v>
      </c>
      <c r="HH189" s="23">
        <f>EXP(-LN(2)/25)*HH188+(1-EXP(-LN(2)/25))/(LN(2)/25)*Calculateur!HC189*Calculateur!HE189*VLOOKUP('Données projet'!$B$18,Paramètres!$A$1:$I$89,3,0)*0.475*44/12</f>
        <v>0</v>
      </c>
      <c r="HI189" s="23">
        <f>EXP(-LN(2)/2)*HI188+(1-EXP(-LN(2)/2))/(LN(2)/2)*HC189*HF189*VLOOKUP('Données projet'!$B$18,Paramètres!$A$1:$I$89,3,0)*0.475*44/12</f>
        <v>0</v>
      </c>
      <c r="HJ189" s="24">
        <f t="shared" si="190"/>
        <v>0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5.1431925385259088E-14</v>
      </c>
      <c r="P190" s="14">
        <f t="shared" si="141"/>
        <v>8.3482866290946129E-13</v>
      </c>
      <c r="Q190" s="22">
        <f t="shared" si="162"/>
        <v>1.5435705246133045E-12</v>
      </c>
      <c r="R190" s="62">
        <f t="shared" si="109"/>
        <v>293.33333333333485</v>
      </c>
      <c r="S190" s="62">
        <f ca="1">AVERAGE(OFFSET($R$3,0,0,'Données projet'!$E$9+1,1))-AVERAGE(OFFSET($H$3,0,0,'Données projet'!$E$9+1,1))</f>
        <v>512.84819850818667</v>
      </c>
      <c r="T190" s="62">
        <f t="shared" si="142"/>
        <v>332.61387922152159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-5.6843418860808015E-14</v>
      </c>
      <c r="AJ190" s="14">
        <f>AI190*VLOOKUP('Données projet'!$B$10,Paramètres!$A$1:$I$89,3,0)*VLOOKUP('Données projet'!$B$10,Paramètres!$A$1:$I$89,5,0)</f>
        <v>-4.1677594708744434E-14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344.45199703750711</v>
      </c>
      <c r="AO190" s="62">
        <f t="shared" si="144"/>
        <v>376.41441893222185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5.6843418860808015E-14</v>
      </c>
      <c r="BE190" s="14">
        <f>BD190*VLOOKUP('Données projet'!$B$11,Paramètres!$A$1:$I$89,3,0)*VLOOKUP('Données projet'!$B$11,Paramètres!$A$1:$I$89,5,0)</f>
        <v>5.7639226724859328E-14</v>
      </c>
      <c r="BF190" s="14">
        <f t="shared" si="167"/>
        <v>9.2325701996134334E-13</v>
      </c>
      <c r="BG190" s="22">
        <f t="shared" si="168"/>
        <v>1.708394296311803E-12</v>
      </c>
      <c r="BH190" s="62">
        <f t="shared" si="116"/>
        <v>293.33333333333502</v>
      </c>
      <c r="BI190" s="62">
        <f ca="1">AVERAGE(OFFSET($BH$3,0,0,'Données projet'!$E$11+1,1))-AVERAGE(OFFSET($H$3,0,0,'Données projet'!$E$11+1,1))</f>
        <v>569.39473185784823</v>
      </c>
      <c r="BJ190" s="62">
        <f t="shared" si="146"/>
        <v>367.42881145517066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2.2737367544323206E-13</v>
      </c>
      <c r="BZ190" s="14">
        <f>BY190*VLOOKUP('Données projet'!$B$12,Paramètres!$A$1:$I$89,3,0)*VLOOKUP('Données projet'!$B$12,Paramètres!$A$1:$I$89,5,0)</f>
        <v>1.9508661353029313E-13</v>
      </c>
      <c r="CA190" s="14">
        <f t="shared" si="170"/>
        <v>2.711421636700695E-12</v>
      </c>
      <c r="CB190" s="22">
        <f t="shared" si="171"/>
        <v>5.0621685358189711E-12</v>
      </c>
      <c r="CC190" s="62">
        <f t="shared" si="119"/>
        <v>293.33333333333837</v>
      </c>
      <c r="CD190" s="62">
        <f ca="1">AVERAGE(OFFSET($CC$3,0,0,'Données projet'!$E$12+1,1))-AVERAGE(OFFSET($H$3,0,0,'Données projet'!$E$12+1,1))</f>
        <v>554.06253050955502</v>
      </c>
      <c r="CE190" s="62">
        <f t="shared" si="148"/>
        <v>269.71949336355789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1.1368683772161603E-13</v>
      </c>
      <c r="CU190" s="18">
        <f>CT190*VLOOKUP('Données projet'!$B$13,Paramètres!$A$1:$I$89,3,0)*VLOOKUP('Données projet'!$B$13,Paramètres!$A$1:$I$89,5,0)</f>
        <v>8.8675733422860506E-14</v>
      </c>
      <c r="CV190" s="14">
        <f t="shared" si="173"/>
        <v>1.3509285393066301E-12</v>
      </c>
      <c r="CW190" s="22">
        <f t="shared" si="174"/>
        <v>2.5073107750038623E-12</v>
      </c>
      <c r="CX190" s="62">
        <f t="shared" si="122"/>
        <v>293.33333333333582</v>
      </c>
      <c r="CY190" s="62">
        <f ca="1">AVERAGE(OFFSET($CX$3,0,0,'Données projet'!$E$13+1,1))-AVERAGE(OFFSET($H$3,0,0,'Données projet'!$E$13+1,1))</f>
        <v>292.21364130214391</v>
      </c>
      <c r="CZ190" s="62">
        <f t="shared" si="150"/>
        <v>283.48738729114024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5.6843418860808015E-14</v>
      </c>
      <c r="DP190" s="18">
        <f>DO190*VLOOKUP('Données projet'!$B$14,Paramètres!$A$1:$I$89,3,0)*VLOOKUP('Données projet'!$B$14,Paramètres!$A$1:$I$89,5,0)</f>
        <v>5.4092197387944907E-14</v>
      </c>
      <c r="DQ190" s="14">
        <f t="shared" si="176"/>
        <v>8.7287050538073676E-13</v>
      </c>
      <c r="DR190" s="22">
        <f t="shared" si="177"/>
        <v>1.6144600406554537E-12</v>
      </c>
      <c r="DS190" s="62">
        <f t="shared" si="125"/>
        <v>293.33333333333491</v>
      </c>
      <c r="DT190" s="62">
        <f ca="1">AVERAGE(OFFSET($DS$3,0,0,'Données projet'!$E$14+1,1))-AVERAGE(OFFSET($H$3,0,0,'Données projet'!$E$14+1,1))</f>
        <v>427.47603885390191</v>
      </c>
      <c r="DU190" s="62">
        <f t="shared" si="152"/>
        <v>350.88664394632116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-9.6633812063373625E-13</v>
      </c>
      <c r="EK190" s="18">
        <f>EJ190*VLOOKUP('Données projet'!$B$15,Paramètres!$A$1:$I$89,3,0)*VLOOKUP('Données projet'!$B$15,Paramètres!$A$1:$I$89,5,0)</f>
        <v>-9.3464223027694966E-13</v>
      </c>
      <c r="EL190" s="14" t="e">
        <f t="shared" si="179"/>
        <v>#NUM!</v>
      </c>
      <c r="EM190" s="22" t="e">
        <f t="shared" si="180"/>
        <v>#NUM!</v>
      </c>
      <c r="EN190" s="62" t="e">
        <f t="shared" si="128"/>
        <v>#NUM!</v>
      </c>
      <c r="EO190" s="62">
        <f ca="1">AVERAGE(OFFSET($EN$3,0,0,'Données projet'!$E$15+1,1))-AVERAGE(OFFSET($H$3,0,0,'Données projet'!$E$15+1,1))</f>
        <v>455.50822833641354</v>
      </c>
      <c r="EP190" s="62">
        <f t="shared" si="154"/>
        <v>261.14722581688039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243</v>
      </c>
      <c r="FF190" s="18">
        <f>FE190*VLOOKUP('Données projet'!$B$16,Paramètres!$A$1:$I$89,3,0)*VLOOKUP('Données projet'!$B$16,Paramètres!$A$1:$I$89,5,0)</f>
        <v>212.28480000000002</v>
      </c>
      <c r="FG190" s="14">
        <f t="shared" si="182"/>
        <v>52.434557099704193</v>
      </c>
      <c r="FH190" s="22">
        <f t="shared" si="183"/>
        <v>461.05288028198476</v>
      </c>
      <c r="FI190" s="62">
        <f t="shared" si="131"/>
        <v>754.38621361531807</v>
      </c>
      <c r="FJ190" s="62">
        <f ca="1">AVERAGE(OFFSET($FI$3,0,0,'Données projet'!$E$16+1,1))-AVERAGE(OFFSET($H$3,0,0,'Données projet'!$E$16+1,1))</f>
        <v>369.34989412920129</v>
      </c>
      <c r="FK190" s="62">
        <f t="shared" si="156"/>
        <v>371.26234252426553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0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>
        <f>FZ190*VLOOKUP('Données projet'!$B$17,Paramètres!$A$1:$I$89,3,0)*VLOOKUP('Données projet'!$B$17,Paramètres!$A$1:$I$89,5,0)</f>
        <v>0</v>
      </c>
      <c r="GB190" s="14" t="e">
        <f t="shared" si="185"/>
        <v>#NUM!</v>
      </c>
      <c r="GC190" s="22" t="e">
        <f t="shared" si="186"/>
        <v>#NUM!</v>
      </c>
      <c r="GD190" s="62" t="e">
        <f t="shared" si="134"/>
        <v>#NUM!</v>
      </c>
      <c r="GE190" s="62">
        <f ca="1">AVERAGE(OFFSET($GD$3,0,0,'Données projet'!$E$17+1,1))-AVERAGE(OFFSET($H$3,0,0,'Données projet'!$E$17+1,1))</f>
        <v>324.4489531703187</v>
      </c>
      <c r="GF190" s="62">
        <f t="shared" si="158"/>
        <v>446.55019360848706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projet'!$B$17,Paramètres!$A$1:$I$89,3,0)*0.475*44/12</f>
        <v>0</v>
      </c>
      <c r="GM190" s="23">
        <f>EXP(-LN(2)/25)*GM189+(1-EXP(-LN(2)/25))/(LN(2)/25)*Calculateur!GH190*Calculateur!GJ190*VLOOKUP('Données projet'!$B$17,Paramètres!$A$1:$I$89,3,0)*0.475*44/12</f>
        <v>0</v>
      </c>
      <c r="GN190" s="23">
        <f>EXP(-LN(2)/2)*GN189+(1-EXP(-LN(2)/2))/(LN(2)/2)*GH190*GK190*VLOOKUP('Données projet'!$B$17,Paramètres!$A$1:$I$89,3,0)*0.475*44/12</f>
        <v>0</v>
      </c>
      <c r="GO190" s="23">
        <f t="shared" si="187"/>
        <v>0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1.7053025658242404E-13</v>
      </c>
      <c r="GV190" s="18">
        <f>GU190*VLOOKUP('Données projet'!$B$18,Paramètres!$A$1:$I$89,3,0)*VLOOKUP('Données projet'!$B$18,Paramètres!$A$1:$I$89,5,0)</f>
        <v>1.1439169611549005E-13</v>
      </c>
      <c r="GW190" s="14">
        <f t="shared" si="188"/>
        <v>1.6918016515029816E-12</v>
      </c>
      <c r="GX190" s="22">
        <f t="shared" si="189"/>
        <v>3.1457867471021712E-12</v>
      </c>
      <c r="GY190" s="62">
        <f t="shared" si="137"/>
        <v>293.33333333333644</v>
      </c>
      <c r="GZ190" s="62">
        <f ca="1">AVERAGE(OFFSET($GY$3,0,0,'Données projet'!$E$18+1,1))-AVERAGE(OFFSET($H$3,0,0,'Données projet'!$E$18+1,1))</f>
        <v>312.06797204903796</v>
      </c>
      <c r="HA190" s="62">
        <f t="shared" si="160"/>
        <v>258.20189001775151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>
        <f>EXP(-LN(2)/35)*HG189+(1-EXP(-LN(2)/35))/(LN(2)/35)*HC190*HD190*VLOOKUP('Données projet'!$B$18,Paramètres!$A$1:$I$89,3,0)*0.475*44/12</f>
        <v>0</v>
      </c>
      <c r="HH190" s="23">
        <f>EXP(-LN(2)/25)*HH189+(1-EXP(-LN(2)/25))/(LN(2)/25)*Calculateur!HC190*Calculateur!HE190*VLOOKUP('Données projet'!$B$18,Paramètres!$A$1:$I$89,3,0)*0.475*44/12</f>
        <v>0</v>
      </c>
      <c r="HI190" s="23">
        <f>EXP(-LN(2)/2)*HI189+(1-EXP(-LN(2)/2))/(LN(2)/2)*HC190*HF190*VLOOKUP('Données projet'!$B$18,Paramètres!$A$1:$I$89,3,0)*0.475*44/12</f>
        <v>0</v>
      </c>
      <c r="HJ190" s="24">
        <f t="shared" si="190"/>
        <v>0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5.1431925385259088E-14</v>
      </c>
      <c r="P191" s="14">
        <f t="shared" si="141"/>
        <v>8.3482866290946129E-13</v>
      </c>
      <c r="Q191" s="22">
        <f t="shared" si="162"/>
        <v>1.5435705246133045E-12</v>
      </c>
      <c r="R191" s="62">
        <f t="shared" si="109"/>
        <v>293.33333333333485</v>
      </c>
      <c r="S191" s="62">
        <f ca="1">AVERAGE(OFFSET($R$3,0,0,'Données projet'!$E$9+1,1))-AVERAGE(OFFSET($H$3,0,0,'Données projet'!$E$9+1,1))</f>
        <v>512.84819850818667</v>
      </c>
      <c r="T191" s="62">
        <f t="shared" si="142"/>
        <v>332.61387922152159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-5.6843418860808015E-14</v>
      </c>
      <c r="AJ191" s="14">
        <f>AI191*VLOOKUP('Données projet'!$B$10,Paramètres!$A$1:$I$89,3,0)*VLOOKUP('Données projet'!$B$10,Paramètres!$A$1:$I$89,5,0)</f>
        <v>-4.1677594708744434E-14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344.45199703750711</v>
      </c>
      <c r="AO191" s="62">
        <f t="shared" si="144"/>
        <v>376.41441893222185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5.6843418860808015E-14</v>
      </c>
      <c r="BE191" s="14">
        <f>BD191*VLOOKUP('Données projet'!$B$11,Paramètres!$A$1:$I$89,3,0)*VLOOKUP('Données projet'!$B$11,Paramètres!$A$1:$I$89,5,0)</f>
        <v>5.7639226724859328E-14</v>
      </c>
      <c r="BF191" s="14">
        <f t="shared" si="167"/>
        <v>9.2325701996134334E-13</v>
      </c>
      <c r="BG191" s="22">
        <f t="shared" si="168"/>
        <v>1.708394296311803E-12</v>
      </c>
      <c r="BH191" s="62">
        <f t="shared" si="116"/>
        <v>293.33333333333502</v>
      </c>
      <c r="BI191" s="62">
        <f ca="1">AVERAGE(OFFSET($BH$3,0,0,'Données projet'!$E$11+1,1))-AVERAGE(OFFSET($H$3,0,0,'Données projet'!$E$11+1,1))</f>
        <v>569.39473185784823</v>
      </c>
      <c r="BJ191" s="62">
        <f t="shared" si="146"/>
        <v>367.42881145517066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2.2737367544323206E-13</v>
      </c>
      <c r="BZ191" s="14">
        <f>BY191*VLOOKUP('Données projet'!$B$12,Paramètres!$A$1:$I$89,3,0)*VLOOKUP('Données projet'!$B$12,Paramètres!$A$1:$I$89,5,0)</f>
        <v>1.9508661353029313E-13</v>
      </c>
      <c r="CA191" s="14">
        <f t="shared" si="170"/>
        <v>2.711421636700695E-12</v>
      </c>
      <c r="CB191" s="22">
        <f t="shared" si="171"/>
        <v>5.0621685358189711E-12</v>
      </c>
      <c r="CC191" s="62">
        <f t="shared" si="119"/>
        <v>293.33333333333837</v>
      </c>
      <c r="CD191" s="62">
        <f ca="1">AVERAGE(OFFSET($CC$3,0,0,'Données projet'!$E$12+1,1))-AVERAGE(OFFSET($H$3,0,0,'Données projet'!$E$12+1,1))</f>
        <v>554.06253050955502</v>
      </c>
      <c r="CE191" s="62">
        <f t="shared" si="148"/>
        <v>269.71949336355789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1.1368683772161603E-13</v>
      </c>
      <c r="CU191" s="18">
        <f>CT191*VLOOKUP('Données projet'!$B$13,Paramètres!$A$1:$I$89,3,0)*VLOOKUP('Données projet'!$B$13,Paramètres!$A$1:$I$89,5,0)</f>
        <v>8.8675733422860506E-14</v>
      </c>
      <c r="CV191" s="14">
        <f t="shared" si="173"/>
        <v>1.3509285393066301E-12</v>
      </c>
      <c r="CW191" s="22">
        <f t="shared" si="174"/>
        <v>2.5073107750038623E-12</v>
      </c>
      <c r="CX191" s="62">
        <f t="shared" si="122"/>
        <v>293.33333333333582</v>
      </c>
      <c r="CY191" s="62">
        <f ca="1">AVERAGE(OFFSET($CX$3,0,0,'Données projet'!$E$13+1,1))-AVERAGE(OFFSET($H$3,0,0,'Données projet'!$E$13+1,1))</f>
        <v>292.21364130214391</v>
      </c>
      <c r="CZ191" s="62">
        <f t="shared" si="150"/>
        <v>283.48738729114024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5.6843418860808015E-14</v>
      </c>
      <c r="DP191" s="18">
        <f>DO191*VLOOKUP('Données projet'!$B$14,Paramètres!$A$1:$I$89,3,0)*VLOOKUP('Données projet'!$B$14,Paramètres!$A$1:$I$89,5,0)</f>
        <v>5.4092197387944907E-14</v>
      </c>
      <c r="DQ191" s="14">
        <f t="shared" si="176"/>
        <v>8.7287050538073676E-13</v>
      </c>
      <c r="DR191" s="22">
        <f t="shared" si="177"/>
        <v>1.6144600406554537E-12</v>
      </c>
      <c r="DS191" s="62">
        <f t="shared" si="125"/>
        <v>293.33333333333491</v>
      </c>
      <c r="DT191" s="62">
        <f ca="1">AVERAGE(OFFSET($DS$3,0,0,'Données projet'!$E$14+1,1))-AVERAGE(OFFSET($H$3,0,0,'Données projet'!$E$14+1,1))</f>
        <v>427.47603885390191</v>
      </c>
      <c r="DU191" s="62">
        <f t="shared" si="152"/>
        <v>350.88664394632116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-9.6633812063373625E-13</v>
      </c>
      <c r="EK191" s="18">
        <f>EJ191*VLOOKUP('Données projet'!$B$15,Paramètres!$A$1:$I$89,3,0)*VLOOKUP('Données projet'!$B$15,Paramètres!$A$1:$I$89,5,0)</f>
        <v>-9.3464223027694966E-13</v>
      </c>
      <c r="EL191" s="14" t="e">
        <f t="shared" si="179"/>
        <v>#NUM!</v>
      </c>
      <c r="EM191" s="22" t="e">
        <f t="shared" si="180"/>
        <v>#NUM!</v>
      </c>
      <c r="EN191" s="62" t="e">
        <f t="shared" si="128"/>
        <v>#NUM!</v>
      </c>
      <c r="EO191" s="62">
        <f ca="1">AVERAGE(OFFSET($EN$3,0,0,'Données projet'!$E$15+1,1))-AVERAGE(OFFSET($H$3,0,0,'Données projet'!$E$15+1,1))</f>
        <v>455.50822833641354</v>
      </c>
      <c r="EP191" s="62">
        <f t="shared" si="154"/>
        <v>261.14722581688039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243</v>
      </c>
      <c r="FF191" s="18">
        <f>FE191*VLOOKUP('Données projet'!$B$16,Paramètres!$A$1:$I$89,3,0)*VLOOKUP('Données projet'!$B$16,Paramètres!$A$1:$I$89,5,0)</f>
        <v>212.28480000000002</v>
      </c>
      <c r="FG191" s="14">
        <f t="shared" si="182"/>
        <v>52.434557099704193</v>
      </c>
      <c r="FH191" s="22">
        <f t="shared" si="183"/>
        <v>461.05288028198476</v>
      </c>
      <c r="FI191" s="62">
        <f t="shared" si="131"/>
        <v>754.38621361531807</v>
      </c>
      <c r="FJ191" s="62">
        <f ca="1">AVERAGE(OFFSET($FI$3,0,0,'Données projet'!$E$16+1,1))-AVERAGE(OFFSET($H$3,0,0,'Données projet'!$E$16+1,1))</f>
        <v>369.34989412920129</v>
      </c>
      <c r="FK191" s="62">
        <f t="shared" si="156"/>
        <v>371.26234252426553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0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>
        <f>FZ191*VLOOKUP('Données projet'!$B$17,Paramètres!$A$1:$I$89,3,0)*VLOOKUP('Données projet'!$B$17,Paramètres!$A$1:$I$89,5,0)</f>
        <v>0</v>
      </c>
      <c r="GB191" s="14" t="e">
        <f t="shared" si="185"/>
        <v>#NUM!</v>
      </c>
      <c r="GC191" s="22" t="e">
        <f t="shared" si="186"/>
        <v>#NUM!</v>
      </c>
      <c r="GD191" s="62" t="e">
        <f t="shared" si="134"/>
        <v>#NUM!</v>
      </c>
      <c r="GE191" s="62">
        <f ca="1">AVERAGE(OFFSET($GD$3,0,0,'Données projet'!$E$17+1,1))-AVERAGE(OFFSET($H$3,0,0,'Données projet'!$E$17+1,1))</f>
        <v>324.4489531703187</v>
      </c>
      <c r="GF191" s="62">
        <f t="shared" si="158"/>
        <v>446.55019360848706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projet'!$B$17,Paramètres!$A$1:$I$89,3,0)*0.475*44/12</f>
        <v>0</v>
      </c>
      <c r="GM191" s="23">
        <f>EXP(-LN(2)/25)*GM190+(1-EXP(-LN(2)/25))/(LN(2)/25)*Calculateur!GH191*Calculateur!GJ191*VLOOKUP('Données projet'!$B$17,Paramètres!$A$1:$I$89,3,0)*0.475*44/12</f>
        <v>0</v>
      </c>
      <c r="GN191" s="23">
        <f>EXP(-LN(2)/2)*GN190+(1-EXP(-LN(2)/2))/(LN(2)/2)*GH191*GK191*VLOOKUP('Données projet'!$B$17,Paramètres!$A$1:$I$89,3,0)*0.475*44/12</f>
        <v>0</v>
      </c>
      <c r="GO191" s="23">
        <f t="shared" si="187"/>
        <v>0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1.7053025658242404E-13</v>
      </c>
      <c r="GV191" s="18">
        <f>GU191*VLOOKUP('Données projet'!$B$18,Paramètres!$A$1:$I$89,3,0)*VLOOKUP('Données projet'!$B$18,Paramètres!$A$1:$I$89,5,0)</f>
        <v>1.1439169611549005E-13</v>
      </c>
      <c r="GW191" s="14">
        <f t="shared" si="188"/>
        <v>1.6918016515029816E-12</v>
      </c>
      <c r="GX191" s="22">
        <f t="shared" si="189"/>
        <v>3.1457867471021712E-12</v>
      </c>
      <c r="GY191" s="62">
        <f t="shared" si="137"/>
        <v>293.33333333333644</v>
      </c>
      <c r="GZ191" s="62">
        <f ca="1">AVERAGE(OFFSET($GY$3,0,0,'Données projet'!$E$18+1,1))-AVERAGE(OFFSET($H$3,0,0,'Données projet'!$E$18+1,1))</f>
        <v>312.06797204903796</v>
      </c>
      <c r="HA191" s="62">
        <f t="shared" si="160"/>
        <v>258.20189001775151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>
        <f>EXP(-LN(2)/35)*HG190+(1-EXP(-LN(2)/35))/(LN(2)/35)*HC191*HD191*VLOOKUP('Données projet'!$B$18,Paramètres!$A$1:$I$89,3,0)*0.475*44/12</f>
        <v>0</v>
      </c>
      <c r="HH191" s="23">
        <f>EXP(-LN(2)/25)*HH190+(1-EXP(-LN(2)/25))/(LN(2)/25)*Calculateur!HC191*Calculateur!HE191*VLOOKUP('Données projet'!$B$18,Paramètres!$A$1:$I$89,3,0)*0.475*44/12</f>
        <v>0</v>
      </c>
      <c r="HI191" s="23">
        <f>EXP(-LN(2)/2)*HI190+(1-EXP(-LN(2)/2))/(LN(2)/2)*HC191*HF191*VLOOKUP('Données projet'!$B$18,Paramètres!$A$1:$I$89,3,0)*0.475*44/12</f>
        <v>0</v>
      </c>
      <c r="HJ191" s="24">
        <f t="shared" si="190"/>
        <v>0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5.1431925385259088E-14</v>
      </c>
      <c r="P192" s="14">
        <f t="shared" si="141"/>
        <v>8.3482866290946129E-13</v>
      </c>
      <c r="Q192" s="22">
        <f t="shared" si="162"/>
        <v>1.5435705246133045E-12</v>
      </c>
      <c r="R192" s="62">
        <f t="shared" si="109"/>
        <v>293.33333333333485</v>
      </c>
      <c r="S192" s="62">
        <f ca="1">AVERAGE(OFFSET($R$3,0,0,'Données projet'!$E$9+1,1))-AVERAGE(OFFSET($H$3,0,0,'Données projet'!$E$9+1,1))</f>
        <v>512.84819850818667</v>
      </c>
      <c r="T192" s="62">
        <f t="shared" si="142"/>
        <v>332.61387922152159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-5.6843418860808015E-14</v>
      </c>
      <c r="AJ192" s="14">
        <f>AI192*VLOOKUP('Données projet'!$B$10,Paramètres!$A$1:$I$89,3,0)*VLOOKUP('Données projet'!$B$10,Paramètres!$A$1:$I$89,5,0)</f>
        <v>-4.1677594708744434E-14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344.45199703750711</v>
      </c>
      <c r="AO192" s="62">
        <f t="shared" si="144"/>
        <v>376.41441893222185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5.6843418860808015E-14</v>
      </c>
      <c r="BE192" s="14">
        <f>BD192*VLOOKUP('Données projet'!$B$11,Paramètres!$A$1:$I$89,3,0)*VLOOKUP('Données projet'!$B$11,Paramètres!$A$1:$I$89,5,0)</f>
        <v>5.7639226724859328E-14</v>
      </c>
      <c r="BF192" s="14">
        <f t="shared" si="167"/>
        <v>9.2325701996134334E-13</v>
      </c>
      <c r="BG192" s="22">
        <f t="shared" si="168"/>
        <v>1.708394296311803E-12</v>
      </c>
      <c r="BH192" s="62">
        <f t="shared" si="116"/>
        <v>293.33333333333502</v>
      </c>
      <c r="BI192" s="62">
        <f ca="1">AVERAGE(OFFSET($BH$3,0,0,'Données projet'!$E$11+1,1))-AVERAGE(OFFSET($H$3,0,0,'Données projet'!$E$11+1,1))</f>
        <v>569.39473185784823</v>
      </c>
      <c r="BJ192" s="62">
        <f t="shared" si="146"/>
        <v>367.42881145517066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2.2737367544323206E-13</v>
      </c>
      <c r="BZ192" s="14">
        <f>BY192*VLOOKUP('Données projet'!$B$12,Paramètres!$A$1:$I$89,3,0)*VLOOKUP('Données projet'!$B$12,Paramètres!$A$1:$I$89,5,0)</f>
        <v>1.9508661353029313E-13</v>
      </c>
      <c r="CA192" s="14">
        <f t="shared" si="170"/>
        <v>2.711421636700695E-12</v>
      </c>
      <c r="CB192" s="22">
        <f t="shared" si="171"/>
        <v>5.0621685358189711E-12</v>
      </c>
      <c r="CC192" s="62">
        <f t="shared" si="119"/>
        <v>293.33333333333837</v>
      </c>
      <c r="CD192" s="62">
        <f ca="1">AVERAGE(OFFSET($CC$3,0,0,'Données projet'!$E$12+1,1))-AVERAGE(OFFSET($H$3,0,0,'Données projet'!$E$12+1,1))</f>
        <v>554.06253050955502</v>
      </c>
      <c r="CE192" s="62">
        <f t="shared" si="148"/>
        <v>269.71949336355789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1.1368683772161603E-13</v>
      </c>
      <c r="CU192" s="18">
        <f>CT192*VLOOKUP('Données projet'!$B$13,Paramètres!$A$1:$I$89,3,0)*VLOOKUP('Données projet'!$B$13,Paramètres!$A$1:$I$89,5,0)</f>
        <v>8.8675733422860506E-14</v>
      </c>
      <c r="CV192" s="14">
        <f t="shared" si="173"/>
        <v>1.3509285393066301E-12</v>
      </c>
      <c r="CW192" s="22">
        <f t="shared" si="174"/>
        <v>2.5073107750038623E-12</v>
      </c>
      <c r="CX192" s="62">
        <f t="shared" si="122"/>
        <v>293.33333333333582</v>
      </c>
      <c r="CY192" s="62">
        <f ca="1">AVERAGE(OFFSET($CX$3,0,0,'Données projet'!$E$13+1,1))-AVERAGE(OFFSET($H$3,0,0,'Données projet'!$E$13+1,1))</f>
        <v>292.21364130214391</v>
      </c>
      <c r="CZ192" s="62">
        <f t="shared" si="150"/>
        <v>283.48738729114024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5.6843418860808015E-14</v>
      </c>
      <c r="DP192" s="18">
        <f>DO192*VLOOKUP('Données projet'!$B$14,Paramètres!$A$1:$I$89,3,0)*VLOOKUP('Données projet'!$B$14,Paramètres!$A$1:$I$89,5,0)</f>
        <v>5.4092197387944907E-14</v>
      </c>
      <c r="DQ192" s="14">
        <f t="shared" si="176"/>
        <v>8.7287050538073676E-13</v>
      </c>
      <c r="DR192" s="22">
        <f t="shared" si="177"/>
        <v>1.6144600406554537E-12</v>
      </c>
      <c r="DS192" s="62">
        <f t="shared" si="125"/>
        <v>293.33333333333491</v>
      </c>
      <c r="DT192" s="62">
        <f ca="1">AVERAGE(OFFSET($DS$3,0,0,'Données projet'!$E$14+1,1))-AVERAGE(OFFSET($H$3,0,0,'Données projet'!$E$14+1,1))</f>
        <v>427.47603885390191</v>
      </c>
      <c r="DU192" s="62">
        <f t="shared" si="152"/>
        <v>350.88664394632116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-9.6633812063373625E-13</v>
      </c>
      <c r="EK192" s="18">
        <f>EJ192*VLOOKUP('Données projet'!$B$15,Paramètres!$A$1:$I$89,3,0)*VLOOKUP('Données projet'!$B$15,Paramètres!$A$1:$I$89,5,0)</f>
        <v>-9.3464223027694966E-13</v>
      </c>
      <c r="EL192" s="14" t="e">
        <f t="shared" si="179"/>
        <v>#NUM!</v>
      </c>
      <c r="EM192" s="22" t="e">
        <f t="shared" si="180"/>
        <v>#NUM!</v>
      </c>
      <c r="EN192" s="62" t="e">
        <f t="shared" si="128"/>
        <v>#NUM!</v>
      </c>
      <c r="EO192" s="62">
        <f ca="1">AVERAGE(OFFSET($EN$3,0,0,'Données projet'!$E$15+1,1))-AVERAGE(OFFSET($H$3,0,0,'Données projet'!$E$15+1,1))</f>
        <v>455.50822833641354</v>
      </c>
      <c r="EP192" s="62">
        <f t="shared" si="154"/>
        <v>261.14722581688039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243</v>
      </c>
      <c r="FF192" s="18">
        <f>FE192*VLOOKUP('Données projet'!$B$16,Paramètres!$A$1:$I$89,3,0)*VLOOKUP('Données projet'!$B$16,Paramètres!$A$1:$I$89,5,0)</f>
        <v>212.28480000000002</v>
      </c>
      <c r="FG192" s="14">
        <f t="shared" si="182"/>
        <v>52.434557099704193</v>
      </c>
      <c r="FH192" s="22">
        <f t="shared" si="183"/>
        <v>461.05288028198476</v>
      </c>
      <c r="FI192" s="62">
        <f t="shared" si="131"/>
        <v>754.38621361531807</v>
      </c>
      <c r="FJ192" s="62">
        <f ca="1">AVERAGE(OFFSET($FI$3,0,0,'Données projet'!$E$16+1,1))-AVERAGE(OFFSET($H$3,0,0,'Données projet'!$E$16+1,1))</f>
        <v>369.34989412920129</v>
      </c>
      <c r="FK192" s="62">
        <f t="shared" si="156"/>
        <v>371.26234252426553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0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>
        <f>FZ192*VLOOKUP('Données projet'!$B$17,Paramètres!$A$1:$I$89,3,0)*VLOOKUP('Données projet'!$B$17,Paramètres!$A$1:$I$89,5,0)</f>
        <v>0</v>
      </c>
      <c r="GB192" s="14" t="e">
        <f t="shared" si="185"/>
        <v>#NUM!</v>
      </c>
      <c r="GC192" s="22" t="e">
        <f t="shared" si="186"/>
        <v>#NUM!</v>
      </c>
      <c r="GD192" s="62" t="e">
        <f t="shared" si="134"/>
        <v>#NUM!</v>
      </c>
      <c r="GE192" s="62">
        <f ca="1">AVERAGE(OFFSET($GD$3,0,0,'Données projet'!$E$17+1,1))-AVERAGE(OFFSET($H$3,0,0,'Données projet'!$E$17+1,1))</f>
        <v>324.4489531703187</v>
      </c>
      <c r="GF192" s="62">
        <f t="shared" si="158"/>
        <v>446.55019360848706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projet'!$B$17,Paramètres!$A$1:$I$89,3,0)*0.475*44/12</f>
        <v>0</v>
      </c>
      <c r="GM192" s="23">
        <f>EXP(-LN(2)/25)*GM191+(1-EXP(-LN(2)/25))/(LN(2)/25)*Calculateur!GH192*Calculateur!GJ192*VLOOKUP('Données projet'!$B$17,Paramètres!$A$1:$I$89,3,0)*0.475*44/12</f>
        <v>0</v>
      </c>
      <c r="GN192" s="23">
        <f>EXP(-LN(2)/2)*GN191+(1-EXP(-LN(2)/2))/(LN(2)/2)*GH192*GK192*VLOOKUP('Données projet'!$B$17,Paramètres!$A$1:$I$89,3,0)*0.475*44/12</f>
        <v>0</v>
      </c>
      <c r="GO192" s="23">
        <f t="shared" si="187"/>
        <v>0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1.7053025658242404E-13</v>
      </c>
      <c r="GV192" s="18">
        <f>GU192*VLOOKUP('Données projet'!$B$18,Paramètres!$A$1:$I$89,3,0)*VLOOKUP('Données projet'!$B$18,Paramètres!$A$1:$I$89,5,0)</f>
        <v>1.1439169611549005E-13</v>
      </c>
      <c r="GW192" s="14">
        <f t="shared" si="188"/>
        <v>1.6918016515029816E-12</v>
      </c>
      <c r="GX192" s="22">
        <f t="shared" si="189"/>
        <v>3.1457867471021712E-12</v>
      </c>
      <c r="GY192" s="62">
        <f t="shared" si="137"/>
        <v>293.33333333333644</v>
      </c>
      <c r="GZ192" s="62">
        <f ca="1">AVERAGE(OFFSET($GY$3,0,0,'Données projet'!$E$18+1,1))-AVERAGE(OFFSET($H$3,0,0,'Données projet'!$E$18+1,1))</f>
        <v>312.06797204903796</v>
      </c>
      <c r="HA192" s="62">
        <f t="shared" si="160"/>
        <v>258.20189001775151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>
        <f>EXP(-LN(2)/35)*HG191+(1-EXP(-LN(2)/35))/(LN(2)/35)*HC192*HD192*VLOOKUP('Données projet'!$B$18,Paramètres!$A$1:$I$89,3,0)*0.475*44/12</f>
        <v>0</v>
      </c>
      <c r="HH192" s="23">
        <f>EXP(-LN(2)/25)*HH191+(1-EXP(-LN(2)/25))/(LN(2)/25)*Calculateur!HC192*Calculateur!HE192*VLOOKUP('Données projet'!$B$18,Paramètres!$A$1:$I$89,3,0)*0.475*44/12</f>
        <v>0</v>
      </c>
      <c r="HI192" s="23">
        <f>EXP(-LN(2)/2)*HI191+(1-EXP(-LN(2)/2))/(LN(2)/2)*HC192*HF192*VLOOKUP('Données projet'!$B$18,Paramètres!$A$1:$I$89,3,0)*0.475*44/12</f>
        <v>0</v>
      </c>
      <c r="HJ192" s="24">
        <f t="shared" si="190"/>
        <v>0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5.1431925385259088E-14</v>
      </c>
      <c r="P193" s="14">
        <f t="shared" si="141"/>
        <v>8.3482866290946129E-13</v>
      </c>
      <c r="Q193" s="22">
        <f t="shared" si="162"/>
        <v>1.5435705246133045E-12</v>
      </c>
      <c r="R193" s="62">
        <f t="shared" si="109"/>
        <v>293.33333333333485</v>
      </c>
      <c r="S193" s="62">
        <f ca="1">AVERAGE(OFFSET($R$3,0,0,'Données projet'!$E$9+1,1))-AVERAGE(OFFSET($H$3,0,0,'Données projet'!$E$9+1,1))</f>
        <v>512.84819850818667</v>
      </c>
      <c r="T193" s="62">
        <f t="shared" si="142"/>
        <v>332.61387922152159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-5.6843418860808015E-14</v>
      </c>
      <c r="AJ193" s="14">
        <f>AI193*VLOOKUP('Données projet'!$B$10,Paramètres!$A$1:$I$89,3,0)*VLOOKUP('Données projet'!$B$10,Paramètres!$A$1:$I$89,5,0)</f>
        <v>-4.1677594708744434E-14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344.45199703750711</v>
      </c>
      <c r="AO193" s="62">
        <f t="shared" si="144"/>
        <v>376.41441893222185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5.6843418860808015E-14</v>
      </c>
      <c r="BE193" s="14">
        <f>BD193*VLOOKUP('Données projet'!$B$11,Paramètres!$A$1:$I$89,3,0)*VLOOKUP('Données projet'!$B$11,Paramètres!$A$1:$I$89,5,0)</f>
        <v>5.7639226724859328E-14</v>
      </c>
      <c r="BF193" s="14">
        <f t="shared" si="167"/>
        <v>9.2325701996134334E-13</v>
      </c>
      <c r="BG193" s="22">
        <f t="shared" si="168"/>
        <v>1.708394296311803E-12</v>
      </c>
      <c r="BH193" s="62">
        <f t="shared" si="116"/>
        <v>293.33333333333502</v>
      </c>
      <c r="BI193" s="62">
        <f ca="1">AVERAGE(OFFSET($BH$3,0,0,'Données projet'!$E$11+1,1))-AVERAGE(OFFSET($H$3,0,0,'Données projet'!$E$11+1,1))</f>
        <v>569.39473185784823</v>
      </c>
      <c r="BJ193" s="62">
        <f t="shared" si="146"/>
        <v>367.42881145517066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2.2737367544323206E-13</v>
      </c>
      <c r="BZ193" s="14">
        <f>BY193*VLOOKUP('Données projet'!$B$12,Paramètres!$A$1:$I$89,3,0)*VLOOKUP('Données projet'!$B$12,Paramètres!$A$1:$I$89,5,0)</f>
        <v>1.9508661353029313E-13</v>
      </c>
      <c r="CA193" s="14">
        <f t="shared" si="170"/>
        <v>2.711421636700695E-12</v>
      </c>
      <c r="CB193" s="22">
        <f t="shared" si="171"/>
        <v>5.0621685358189711E-12</v>
      </c>
      <c r="CC193" s="62">
        <f t="shared" si="119"/>
        <v>293.33333333333837</v>
      </c>
      <c r="CD193" s="62">
        <f ca="1">AVERAGE(OFFSET($CC$3,0,0,'Données projet'!$E$12+1,1))-AVERAGE(OFFSET($H$3,0,0,'Données projet'!$E$12+1,1))</f>
        <v>554.06253050955502</v>
      </c>
      <c r="CE193" s="62">
        <f t="shared" si="148"/>
        <v>269.71949336355789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1.1368683772161603E-13</v>
      </c>
      <c r="CU193" s="18">
        <f>CT193*VLOOKUP('Données projet'!$B$13,Paramètres!$A$1:$I$89,3,0)*VLOOKUP('Données projet'!$B$13,Paramètres!$A$1:$I$89,5,0)</f>
        <v>8.8675733422860506E-14</v>
      </c>
      <c r="CV193" s="14">
        <f t="shared" si="173"/>
        <v>1.3509285393066301E-12</v>
      </c>
      <c r="CW193" s="22">
        <f t="shared" si="174"/>
        <v>2.5073107750038623E-12</v>
      </c>
      <c r="CX193" s="62">
        <f t="shared" si="122"/>
        <v>293.33333333333582</v>
      </c>
      <c r="CY193" s="62">
        <f ca="1">AVERAGE(OFFSET($CX$3,0,0,'Données projet'!$E$13+1,1))-AVERAGE(OFFSET($H$3,0,0,'Données projet'!$E$13+1,1))</f>
        <v>292.21364130214391</v>
      </c>
      <c r="CZ193" s="62">
        <f t="shared" si="150"/>
        <v>283.48738729114024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5.6843418860808015E-14</v>
      </c>
      <c r="DP193" s="18">
        <f>DO193*VLOOKUP('Données projet'!$B$14,Paramètres!$A$1:$I$89,3,0)*VLOOKUP('Données projet'!$B$14,Paramètres!$A$1:$I$89,5,0)</f>
        <v>5.4092197387944907E-14</v>
      </c>
      <c r="DQ193" s="14">
        <f t="shared" si="176"/>
        <v>8.7287050538073676E-13</v>
      </c>
      <c r="DR193" s="22">
        <f t="shared" si="177"/>
        <v>1.6144600406554537E-12</v>
      </c>
      <c r="DS193" s="62">
        <f t="shared" si="125"/>
        <v>293.33333333333491</v>
      </c>
      <c r="DT193" s="62">
        <f ca="1">AVERAGE(OFFSET($DS$3,0,0,'Données projet'!$E$14+1,1))-AVERAGE(OFFSET($H$3,0,0,'Données projet'!$E$14+1,1))</f>
        <v>427.47603885390191</v>
      </c>
      <c r="DU193" s="62">
        <f t="shared" si="152"/>
        <v>350.88664394632116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-9.6633812063373625E-13</v>
      </c>
      <c r="EK193" s="18">
        <f>EJ193*VLOOKUP('Données projet'!$B$15,Paramètres!$A$1:$I$89,3,0)*VLOOKUP('Données projet'!$B$15,Paramètres!$A$1:$I$89,5,0)</f>
        <v>-9.3464223027694966E-13</v>
      </c>
      <c r="EL193" s="14" t="e">
        <f t="shared" si="179"/>
        <v>#NUM!</v>
      </c>
      <c r="EM193" s="22" t="e">
        <f t="shared" si="180"/>
        <v>#NUM!</v>
      </c>
      <c r="EN193" s="62" t="e">
        <f t="shared" si="128"/>
        <v>#NUM!</v>
      </c>
      <c r="EO193" s="62">
        <f ca="1">AVERAGE(OFFSET($EN$3,0,0,'Données projet'!$E$15+1,1))-AVERAGE(OFFSET($H$3,0,0,'Données projet'!$E$15+1,1))</f>
        <v>455.50822833641354</v>
      </c>
      <c r="EP193" s="62">
        <f t="shared" si="154"/>
        <v>261.14722581688039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243</v>
      </c>
      <c r="FF193" s="18">
        <f>FE193*VLOOKUP('Données projet'!$B$16,Paramètres!$A$1:$I$89,3,0)*VLOOKUP('Données projet'!$B$16,Paramètres!$A$1:$I$89,5,0)</f>
        <v>212.28480000000002</v>
      </c>
      <c r="FG193" s="14">
        <f t="shared" si="182"/>
        <v>52.434557099704193</v>
      </c>
      <c r="FH193" s="22">
        <f t="shared" si="183"/>
        <v>461.05288028198476</v>
      </c>
      <c r="FI193" s="62">
        <f t="shared" si="131"/>
        <v>754.38621361531807</v>
      </c>
      <c r="FJ193" s="62">
        <f ca="1">AVERAGE(OFFSET($FI$3,0,0,'Données projet'!$E$16+1,1))-AVERAGE(OFFSET($H$3,0,0,'Données projet'!$E$16+1,1))</f>
        <v>369.34989412920129</v>
      </c>
      <c r="FK193" s="62">
        <f t="shared" si="156"/>
        <v>371.26234252426553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0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>
        <f>FZ193*VLOOKUP('Données projet'!$B$17,Paramètres!$A$1:$I$89,3,0)*VLOOKUP('Données projet'!$B$17,Paramètres!$A$1:$I$89,5,0)</f>
        <v>0</v>
      </c>
      <c r="GB193" s="14" t="e">
        <f t="shared" si="185"/>
        <v>#NUM!</v>
      </c>
      <c r="GC193" s="22" t="e">
        <f t="shared" si="186"/>
        <v>#NUM!</v>
      </c>
      <c r="GD193" s="62" t="e">
        <f t="shared" si="134"/>
        <v>#NUM!</v>
      </c>
      <c r="GE193" s="62">
        <f ca="1">AVERAGE(OFFSET($GD$3,0,0,'Données projet'!$E$17+1,1))-AVERAGE(OFFSET($H$3,0,0,'Données projet'!$E$17+1,1))</f>
        <v>324.4489531703187</v>
      </c>
      <c r="GF193" s="62">
        <f t="shared" si="158"/>
        <v>446.55019360848706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projet'!$B$17,Paramètres!$A$1:$I$89,3,0)*0.475*44/12</f>
        <v>0</v>
      </c>
      <c r="GM193" s="23">
        <f>EXP(-LN(2)/25)*GM192+(1-EXP(-LN(2)/25))/(LN(2)/25)*Calculateur!GH193*Calculateur!GJ193*VLOOKUP('Données projet'!$B$17,Paramètres!$A$1:$I$89,3,0)*0.475*44/12</f>
        <v>0</v>
      </c>
      <c r="GN193" s="23">
        <f>EXP(-LN(2)/2)*GN192+(1-EXP(-LN(2)/2))/(LN(2)/2)*GH193*GK193*VLOOKUP('Données projet'!$B$17,Paramètres!$A$1:$I$89,3,0)*0.475*44/12</f>
        <v>0</v>
      </c>
      <c r="GO193" s="23">
        <f t="shared" si="187"/>
        <v>0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1.7053025658242404E-13</v>
      </c>
      <c r="GV193" s="18">
        <f>GU193*VLOOKUP('Données projet'!$B$18,Paramètres!$A$1:$I$89,3,0)*VLOOKUP('Données projet'!$B$18,Paramètres!$A$1:$I$89,5,0)</f>
        <v>1.1439169611549005E-13</v>
      </c>
      <c r="GW193" s="14">
        <f t="shared" si="188"/>
        <v>1.6918016515029816E-12</v>
      </c>
      <c r="GX193" s="22">
        <f t="shared" si="189"/>
        <v>3.1457867471021712E-12</v>
      </c>
      <c r="GY193" s="62">
        <f t="shared" si="137"/>
        <v>293.33333333333644</v>
      </c>
      <c r="GZ193" s="62">
        <f ca="1">AVERAGE(OFFSET($GY$3,0,0,'Données projet'!$E$18+1,1))-AVERAGE(OFFSET($H$3,0,0,'Données projet'!$E$18+1,1))</f>
        <v>312.06797204903796</v>
      </c>
      <c r="HA193" s="62">
        <f t="shared" si="160"/>
        <v>258.20189001775151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>
        <f>EXP(-LN(2)/35)*HG192+(1-EXP(-LN(2)/35))/(LN(2)/35)*HC193*HD193*VLOOKUP('Données projet'!$B$18,Paramètres!$A$1:$I$89,3,0)*0.475*44/12</f>
        <v>0</v>
      </c>
      <c r="HH193" s="23">
        <f>EXP(-LN(2)/25)*HH192+(1-EXP(-LN(2)/25))/(LN(2)/25)*Calculateur!HC193*Calculateur!HE193*VLOOKUP('Données projet'!$B$18,Paramètres!$A$1:$I$89,3,0)*0.475*44/12</f>
        <v>0</v>
      </c>
      <c r="HI193" s="23">
        <f>EXP(-LN(2)/2)*HI192+(1-EXP(-LN(2)/2))/(LN(2)/2)*HC193*HF193*VLOOKUP('Données projet'!$B$18,Paramètres!$A$1:$I$89,3,0)*0.475*44/12</f>
        <v>0</v>
      </c>
      <c r="HJ193" s="24">
        <f t="shared" si="190"/>
        <v>0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5.1431925385259088E-14</v>
      </c>
      <c r="P194" s="14">
        <f t="shared" si="141"/>
        <v>8.3482866290946129E-13</v>
      </c>
      <c r="Q194" s="22">
        <f t="shared" si="162"/>
        <v>1.5435705246133045E-12</v>
      </c>
      <c r="R194" s="62">
        <f t="shared" si="109"/>
        <v>293.33333333333485</v>
      </c>
      <c r="S194" s="62">
        <f ca="1">AVERAGE(OFFSET($R$3,0,0,'Données projet'!$E$9+1,1))-AVERAGE(OFFSET($H$3,0,0,'Données projet'!$E$9+1,1))</f>
        <v>512.84819850818667</v>
      </c>
      <c r="T194" s="62">
        <f t="shared" si="142"/>
        <v>332.61387922152159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-5.6843418860808015E-14</v>
      </c>
      <c r="AJ194" s="14">
        <f>AI194*VLOOKUP('Données projet'!$B$10,Paramètres!$A$1:$I$89,3,0)*VLOOKUP('Données projet'!$B$10,Paramètres!$A$1:$I$89,5,0)</f>
        <v>-4.1677594708744434E-14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344.45199703750711</v>
      </c>
      <c r="AO194" s="62">
        <f t="shared" si="144"/>
        <v>376.41441893222185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5.6843418860808015E-14</v>
      </c>
      <c r="BE194" s="14">
        <f>BD194*VLOOKUP('Données projet'!$B$11,Paramètres!$A$1:$I$89,3,0)*VLOOKUP('Données projet'!$B$11,Paramètres!$A$1:$I$89,5,0)</f>
        <v>5.7639226724859328E-14</v>
      </c>
      <c r="BF194" s="14">
        <f t="shared" si="167"/>
        <v>9.2325701996134334E-13</v>
      </c>
      <c r="BG194" s="22">
        <f t="shared" si="168"/>
        <v>1.708394296311803E-12</v>
      </c>
      <c r="BH194" s="62">
        <f t="shared" si="116"/>
        <v>293.33333333333502</v>
      </c>
      <c r="BI194" s="62">
        <f ca="1">AVERAGE(OFFSET($BH$3,0,0,'Données projet'!$E$11+1,1))-AVERAGE(OFFSET($H$3,0,0,'Données projet'!$E$11+1,1))</f>
        <v>569.39473185784823</v>
      </c>
      <c r="BJ194" s="62">
        <f t="shared" si="146"/>
        <v>367.42881145517066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2.2737367544323206E-13</v>
      </c>
      <c r="BZ194" s="14">
        <f>BY194*VLOOKUP('Données projet'!$B$12,Paramètres!$A$1:$I$89,3,0)*VLOOKUP('Données projet'!$B$12,Paramètres!$A$1:$I$89,5,0)</f>
        <v>1.9508661353029313E-13</v>
      </c>
      <c r="CA194" s="14">
        <f t="shared" si="170"/>
        <v>2.711421636700695E-12</v>
      </c>
      <c r="CB194" s="22">
        <f t="shared" si="171"/>
        <v>5.0621685358189711E-12</v>
      </c>
      <c r="CC194" s="62">
        <f t="shared" si="119"/>
        <v>293.33333333333837</v>
      </c>
      <c r="CD194" s="62">
        <f ca="1">AVERAGE(OFFSET($CC$3,0,0,'Données projet'!$E$12+1,1))-AVERAGE(OFFSET($H$3,0,0,'Données projet'!$E$12+1,1))</f>
        <v>554.06253050955502</v>
      </c>
      <c r="CE194" s="62">
        <f t="shared" si="148"/>
        <v>269.71949336355789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1.1368683772161603E-13</v>
      </c>
      <c r="CU194" s="18">
        <f>CT194*VLOOKUP('Données projet'!$B$13,Paramètres!$A$1:$I$89,3,0)*VLOOKUP('Données projet'!$B$13,Paramètres!$A$1:$I$89,5,0)</f>
        <v>8.8675733422860506E-14</v>
      </c>
      <c r="CV194" s="14">
        <f t="shared" si="173"/>
        <v>1.3509285393066301E-12</v>
      </c>
      <c r="CW194" s="22">
        <f t="shared" si="174"/>
        <v>2.5073107750038623E-12</v>
      </c>
      <c r="CX194" s="62">
        <f t="shared" si="122"/>
        <v>293.33333333333582</v>
      </c>
      <c r="CY194" s="62">
        <f ca="1">AVERAGE(OFFSET($CX$3,0,0,'Données projet'!$E$13+1,1))-AVERAGE(OFFSET($H$3,0,0,'Données projet'!$E$13+1,1))</f>
        <v>292.21364130214391</v>
      </c>
      <c r="CZ194" s="62">
        <f t="shared" si="150"/>
        <v>283.48738729114024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5.6843418860808015E-14</v>
      </c>
      <c r="DP194" s="18">
        <f>DO194*VLOOKUP('Données projet'!$B$14,Paramètres!$A$1:$I$89,3,0)*VLOOKUP('Données projet'!$B$14,Paramètres!$A$1:$I$89,5,0)</f>
        <v>5.4092197387944907E-14</v>
      </c>
      <c r="DQ194" s="14">
        <f t="shared" si="176"/>
        <v>8.7287050538073676E-13</v>
      </c>
      <c r="DR194" s="22">
        <f t="shared" si="177"/>
        <v>1.6144600406554537E-12</v>
      </c>
      <c r="DS194" s="62">
        <f t="shared" si="125"/>
        <v>293.33333333333491</v>
      </c>
      <c r="DT194" s="62">
        <f ca="1">AVERAGE(OFFSET($DS$3,0,0,'Données projet'!$E$14+1,1))-AVERAGE(OFFSET($H$3,0,0,'Données projet'!$E$14+1,1))</f>
        <v>427.47603885390191</v>
      </c>
      <c r="DU194" s="62">
        <f t="shared" si="152"/>
        <v>350.88664394632116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-9.6633812063373625E-13</v>
      </c>
      <c r="EK194" s="18">
        <f>EJ194*VLOOKUP('Données projet'!$B$15,Paramètres!$A$1:$I$89,3,0)*VLOOKUP('Données projet'!$B$15,Paramètres!$A$1:$I$89,5,0)</f>
        <v>-9.3464223027694966E-13</v>
      </c>
      <c r="EL194" s="14" t="e">
        <f t="shared" si="179"/>
        <v>#NUM!</v>
      </c>
      <c r="EM194" s="22" t="e">
        <f t="shared" si="180"/>
        <v>#NUM!</v>
      </c>
      <c r="EN194" s="62" t="e">
        <f t="shared" si="128"/>
        <v>#NUM!</v>
      </c>
      <c r="EO194" s="62">
        <f ca="1">AVERAGE(OFFSET($EN$3,0,0,'Données projet'!$E$15+1,1))-AVERAGE(OFFSET($H$3,0,0,'Données projet'!$E$15+1,1))</f>
        <v>455.50822833641354</v>
      </c>
      <c r="EP194" s="62">
        <f t="shared" si="154"/>
        <v>261.14722581688039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243</v>
      </c>
      <c r="FF194" s="18">
        <f>FE194*VLOOKUP('Données projet'!$B$16,Paramètres!$A$1:$I$89,3,0)*VLOOKUP('Données projet'!$B$16,Paramètres!$A$1:$I$89,5,0)</f>
        <v>212.28480000000002</v>
      </c>
      <c r="FG194" s="14">
        <f t="shared" si="182"/>
        <v>52.434557099704193</v>
      </c>
      <c r="FH194" s="22">
        <f t="shared" si="183"/>
        <v>461.05288028198476</v>
      </c>
      <c r="FI194" s="62">
        <f t="shared" si="131"/>
        <v>754.38621361531807</v>
      </c>
      <c r="FJ194" s="62">
        <f ca="1">AVERAGE(OFFSET($FI$3,0,0,'Données projet'!$E$16+1,1))-AVERAGE(OFFSET($H$3,0,0,'Données projet'!$E$16+1,1))</f>
        <v>369.34989412920129</v>
      </c>
      <c r="FK194" s="62">
        <f t="shared" si="156"/>
        <v>371.26234252426553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0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>
        <f>FZ194*VLOOKUP('Données projet'!$B$17,Paramètres!$A$1:$I$89,3,0)*VLOOKUP('Données projet'!$B$17,Paramètres!$A$1:$I$89,5,0)</f>
        <v>0</v>
      </c>
      <c r="GB194" s="14" t="e">
        <f t="shared" si="185"/>
        <v>#NUM!</v>
      </c>
      <c r="GC194" s="22" t="e">
        <f t="shared" si="186"/>
        <v>#NUM!</v>
      </c>
      <c r="GD194" s="62" t="e">
        <f t="shared" si="134"/>
        <v>#NUM!</v>
      </c>
      <c r="GE194" s="62">
        <f ca="1">AVERAGE(OFFSET($GD$3,0,0,'Données projet'!$E$17+1,1))-AVERAGE(OFFSET($H$3,0,0,'Données projet'!$E$17+1,1))</f>
        <v>324.4489531703187</v>
      </c>
      <c r="GF194" s="62">
        <f t="shared" si="158"/>
        <v>446.55019360848706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projet'!$B$17,Paramètres!$A$1:$I$89,3,0)*0.475*44/12</f>
        <v>0</v>
      </c>
      <c r="GM194" s="23">
        <f>EXP(-LN(2)/25)*GM193+(1-EXP(-LN(2)/25))/(LN(2)/25)*Calculateur!GH194*Calculateur!GJ194*VLOOKUP('Données projet'!$B$17,Paramètres!$A$1:$I$89,3,0)*0.475*44/12</f>
        <v>0</v>
      </c>
      <c r="GN194" s="23">
        <f>EXP(-LN(2)/2)*GN193+(1-EXP(-LN(2)/2))/(LN(2)/2)*GH194*GK194*VLOOKUP('Données projet'!$B$17,Paramètres!$A$1:$I$89,3,0)*0.475*44/12</f>
        <v>0</v>
      </c>
      <c r="GO194" s="23">
        <f t="shared" si="187"/>
        <v>0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1.7053025658242404E-13</v>
      </c>
      <c r="GV194" s="18">
        <f>GU194*VLOOKUP('Données projet'!$B$18,Paramètres!$A$1:$I$89,3,0)*VLOOKUP('Données projet'!$B$18,Paramètres!$A$1:$I$89,5,0)</f>
        <v>1.1439169611549005E-13</v>
      </c>
      <c r="GW194" s="14">
        <f t="shared" si="188"/>
        <v>1.6918016515029816E-12</v>
      </c>
      <c r="GX194" s="22">
        <f t="shared" si="189"/>
        <v>3.1457867471021712E-12</v>
      </c>
      <c r="GY194" s="62">
        <f t="shared" si="137"/>
        <v>293.33333333333644</v>
      </c>
      <c r="GZ194" s="62">
        <f ca="1">AVERAGE(OFFSET($GY$3,0,0,'Données projet'!$E$18+1,1))-AVERAGE(OFFSET($H$3,0,0,'Données projet'!$E$18+1,1))</f>
        <v>312.06797204903796</v>
      </c>
      <c r="HA194" s="62">
        <f t="shared" si="160"/>
        <v>258.20189001775151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>
        <f>EXP(-LN(2)/35)*HG193+(1-EXP(-LN(2)/35))/(LN(2)/35)*HC194*HD194*VLOOKUP('Données projet'!$B$18,Paramètres!$A$1:$I$89,3,0)*0.475*44/12</f>
        <v>0</v>
      </c>
      <c r="HH194" s="23">
        <f>EXP(-LN(2)/25)*HH193+(1-EXP(-LN(2)/25))/(LN(2)/25)*Calculateur!HC194*Calculateur!HE194*VLOOKUP('Données projet'!$B$18,Paramètres!$A$1:$I$89,3,0)*0.475*44/12</f>
        <v>0</v>
      </c>
      <c r="HI194" s="23">
        <f>EXP(-LN(2)/2)*HI193+(1-EXP(-LN(2)/2))/(LN(2)/2)*HC194*HF194*VLOOKUP('Données projet'!$B$18,Paramètres!$A$1:$I$89,3,0)*0.475*44/12</f>
        <v>0</v>
      </c>
      <c r="HJ194" s="24">
        <f t="shared" si="190"/>
        <v>0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5.1431925385259088E-14</v>
      </c>
      <c r="P195" s="14">
        <f t="shared" si="141"/>
        <v>8.3482866290946129E-13</v>
      </c>
      <c r="Q195" s="22">
        <f t="shared" si="162"/>
        <v>1.5435705246133045E-12</v>
      </c>
      <c r="R195" s="62">
        <f t="shared" ref="R195:R203" si="191">Q195+(I195+J195)*44/12</f>
        <v>293.33333333333485</v>
      </c>
      <c r="S195" s="62">
        <f ca="1">AVERAGE(OFFSET($R$3,0,0,'Données projet'!$E$9+1,1))-AVERAGE(OFFSET($H$3,0,0,'Données projet'!$E$9+1,1))</f>
        <v>512.84819850818667</v>
      </c>
      <c r="T195" s="62">
        <f t="shared" si="142"/>
        <v>332.61387922152159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-5.6843418860808015E-14</v>
      </c>
      <c r="AJ195" s="14">
        <f>AI195*VLOOKUP('Données projet'!$B$10,Paramètres!$A$1:$I$89,3,0)*VLOOKUP('Données projet'!$B$10,Paramètres!$A$1:$I$89,5,0)</f>
        <v>-4.1677594708744434E-14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344.45199703750711</v>
      </c>
      <c r="AO195" s="62">
        <f t="shared" si="144"/>
        <v>376.41441893222185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5.6843418860808015E-14</v>
      </c>
      <c r="BE195" s="14">
        <f>BD195*VLOOKUP('Données projet'!$B$11,Paramètres!$A$1:$I$89,3,0)*VLOOKUP('Données projet'!$B$11,Paramètres!$A$1:$I$89,5,0)</f>
        <v>5.7639226724859328E-14</v>
      </c>
      <c r="BF195" s="14">
        <f t="shared" si="167"/>
        <v>9.2325701996134334E-13</v>
      </c>
      <c r="BG195" s="22">
        <f t="shared" si="168"/>
        <v>1.708394296311803E-12</v>
      </c>
      <c r="BH195" s="62">
        <f t="shared" si="116"/>
        <v>293.33333333333502</v>
      </c>
      <c r="BI195" s="62">
        <f ca="1">AVERAGE(OFFSET($BH$3,0,0,'Données projet'!$E$11+1,1))-AVERAGE(OFFSET($H$3,0,0,'Données projet'!$E$11+1,1))</f>
        <v>569.39473185784823</v>
      </c>
      <c r="BJ195" s="62">
        <f t="shared" si="146"/>
        <v>367.42881145517066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2.2737367544323206E-13</v>
      </c>
      <c r="BZ195" s="14">
        <f>BY195*VLOOKUP('Données projet'!$B$12,Paramètres!$A$1:$I$89,3,0)*VLOOKUP('Données projet'!$B$12,Paramètres!$A$1:$I$89,5,0)</f>
        <v>1.9508661353029313E-13</v>
      </c>
      <c r="CA195" s="14">
        <f t="shared" si="170"/>
        <v>2.711421636700695E-12</v>
      </c>
      <c r="CB195" s="22">
        <f t="shared" si="171"/>
        <v>5.0621685358189711E-12</v>
      </c>
      <c r="CC195" s="62">
        <f t="shared" si="119"/>
        <v>293.33333333333837</v>
      </c>
      <c r="CD195" s="62">
        <f ca="1">AVERAGE(OFFSET($CC$3,0,0,'Données projet'!$E$12+1,1))-AVERAGE(OFFSET($H$3,0,0,'Données projet'!$E$12+1,1))</f>
        <v>554.06253050955502</v>
      </c>
      <c r="CE195" s="62">
        <f t="shared" si="148"/>
        <v>269.71949336355789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1.1368683772161603E-13</v>
      </c>
      <c r="CU195" s="18">
        <f>CT195*VLOOKUP('Données projet'!$B$13,Paramètres!$A$1:$I$89,3,0)*VLOOKUP('Données projet'!$B$13,Paramètres!$A$1:$I$89,5,0)</f>
        <v>8.8675733422860506E-14</v>
      </c>
      <c r="CV195" s="14">
        <f t="shared" si="173"/>
        <v>1.3509285393066301E-12</v>
      </c>
      <c r="CW195" s="22">
        <f t="shared" si="174"/>
        <v>2.5073107750038623E-12</v>
      </c>
      <c r="CX195" s="62">
        <f t="shared" si="122"/>
        <v>293.33333333333582</v>
      </c>
      <c r="CY195" s="62">
        <f ca="1">AVERAGE(OFFSET($CX$3,0,0,'Données projet'!$E$13+1,1))-AVERAGE(OFFSET($H$3,0,0,'Données projet'!$E$13+1,1))</f>
        <v>292.21364130214391</v>
      </c>
      <c r="CZ195" s="62">
        <f t="shared" si="150"/>
        <v>283.48738729114024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5.6843418860808015E-14</v>
      </c>
      <c r="DP195" s="18">
        <f>DO195*VLOOKUP('Données projet'!$B$14,Paramètres!$A$1:$I$89,3,0)*VLOOKUP('Données projet'!$B$14,Paramètres!$A$1:$I$89,5,0)</f>
        <v>5.4092197387944907E-14</v>
      </c>
      <c r="DQ195" s="14">
        <f t="shared" si="176"/>
        <v>8.7287050538073676E-13</v>
      </c>
      <c r="DR195" s="22">
        <f t="shared" si="177"/>
        <v>1.6144600406554537E-12</v>
      </c>
      <c r="DS195" s="62">
        <f t="shared" si="125"/>
        <v>293.33333333333491</v>
      </c>
      <c r="DT195" s="62">
        <f ca="1">AVERAGE(OFFSET($DS$3,0,0,'Données projet'!$E$14+1,1))-AVERAGE(OFFSET($H$3,0,0,'Données projet'!$E$14+1,1))</f>
        <v>427.47603885390191</v>
      </c>
      <c r="DU195" s="62">
        <f t="shared" si="152"/>
        <v>350.88664394632116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-9.6633812063373625E-13</v>
      </c>
      <c r="EK195" s="18">
        <f>EJ195*VLOOKUP('Données projet'!$B$15,Paramètres!$A$1:$I$89,3,0)*VLOOKUP('Données projet'!$B$15,Paramètres!$A$1:$I$89,5,0)</f>
        <v>-9.3464223027694966E-13</v>
      </c>
      <c r="EL195" s="14" t="e">
        <f t="shared" si="179"/>
        <v>#NUM!</v>
      </c>
      <c r="EM195" s="22" t="e">
        <f t="shared" si="180"/>
        <v>#NUM!</v>
      </c>
      <c r="EN195" s="62" t="e">
        <f t="shared" si="128"/>
        <v>#NUM!</v>
      </c>
      <c r="EO195" s="62">
        <f ca="1">AVERAGE(OFFSET($EN$3,0,0,'Données projet'!$E$15+1,1))-AVERAGE(OFFSET($H$3,0,0,'Données projet'!$E$15+1,1))</f>
        <v>455.50822833641354</v>
      </c>
      <c r="EP195" s="62">
        <f t="shared" si="154"/>
        <v>261.14722581688039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243</v>
      </c>
      <c r="FF195" s="18">
        <f>FE195*VLOOKUP('Données projet'!$B$16,Paramètres!$A$1:$I$89,3,0)*VLOOKUP('Données projet'!$B$16,Paramètres!$A$1:$I$89,5,0)</f>
        <v>212.28480000000002</v>
      </c>
      <c r="FG195" s="14">
        <f t="shared" si="182"/>
        <v>52.434557099704193</v>
      </c>
      <c r="FH195" s="22">
        <f t="shared" si="183"/>
        <v>461.05288028198476</v>
      </c>
      <c r="FI195" s="62">
        <f t="shared" si="131"/>
        <v>754.38621361531807</v>
      </c>
      <c r="FJ195" s="62">
        <f ca="1">AVERAGE(OFFSET($FI$3,0,0,'Données projet'!$E$16+1,1))-AVERAGE(OFFSET($H$3,0,0,'Données projet'!$E$16+1,1))</f>
        <v>369.34989412920129</v>
      </c>
      <c r="FK195" s="62">
        <f t="shared" si="156"/>
        <v>371.26234252426553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0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>
        <f>FZ195*VLOOKUP('Données projet'!$B$17,Paramètres!$A$1:$I$89,3,0)*VLOOKUP('Données projet'!$B$17,Paramètres!$A$1:$I$89,5,0)</f>
        <v>0</v>
      </c>
      <c r="GB195" s="14" t="e">
        <f t="shared" si="185"/>
        <v>#NUM!</v>
      </c>
      <c r="GC195" s="22" t="e">
        <f t="shared" si="186"/>
        <v>#NUM!</v>
      </c>
      <c r="GD195" s="62" t="e">
        <f t="shared" si="134"/>
        <v>#NUM!</v>
      </c>
      <c r="GE195" s="62">
        <f ca="1">AVERAGE(OFFSET($GD$3,0,0,'Données projet'!$E$17+1,1))-AVERAGE(OFFSET($H$3,0,0,'Données projet'!$E$17+1,1))</f>
        <v>324.4489531703187</v>
      </c>
      <c r="GF195" s="62">
        <f t="shared" si="158"/>
        <v>446.55019360848706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projet'!$B$17,Paramètres!$A$1:$I$89,3,0)*0.475*44/12</f>
        <v>0</v>
      </c>
      <c r="GM195" s="23">
        <f>EXP(-LN(2)/25)*GM194+(1-EXP(-LN(2)/25))/(LN(2)/25)*Calculateur!GH195*Calculateur!GJ195*VLOOKUP('Données projet'!$B$17,Paramètres!$A$1:$I$89,3,0)*0.475*44/12</f>
        <v>0</v>
      </c>
      <c r="GN195" s="23">
        <f>EXP(-LN(2)/2)*GN194+(1-EXP(-LN(2)/2))/(LN(2)/2)*GH195*GK195*VLOOKUP('Données projet'!$B$17,Paramètres!$A$1:$I$89,3,0)*0.475*44/12</f>
        <v>0</v>
      </c>
      <c r="GO195" s="23">
        <f t="shared" si="187"/>
        <v>0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1.7053025658242404E-13</v>
      </c>
      <c r="GV195" s="18">
        <f>GU195*VLOOKUP('Données projet'!$B$18,Paramètres!$A$1:$I$89,3,0)*VLOOKUP('Données projet'!$B$18,Paramètres!$A$1:$I$89,5,0)</f>
        <v>1.1439169611549005E-13</v>
      </c>
      <c r="GW195" s="14">
        <f t="shared" si="188"/>
        <v>1.6918016515029816E-12</v>
      </c>
      <c r="GX195" s="22">
        <f t="shared" si="189"/>
        <v>3.1457867471021712E-12</v>
      </c>
      <c r="GY195" s="62">
        <f t="shared" si="137"/>
        <v>293.33333333333644</v>
      </c>
      <c r="GZ195" s="62">
        <f ca="1">AVERAGE(OFFSET($GY$3,0,0,'Données projet'!$E$18+1,1))-AVERAGE(OFFSET($H$3,0,0,'Données projet'!$E$18+1,1))</f>
        <v>312.06797204903796</v>
      </c>
      <c r="HA195" s="62">
        <f t="shared" si="160"/>
        <v>258.20189001775151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>
        <f>EXP(-LN(2)/35)*HG194+(1-EXP(-LN(2)/35))/(LN(2)/35)*HC195*HD195*VLOOKUP('Données projet'!$B$18,Paramètres!$A$1:$I$89,3,0)*0.475*44/12</f>
        <v>0</v>
      </c>
      <c r="HH195" s="23">
        <f>EXP(-LN(2)/25)*HH194+(1-EXP(-LN(2)/25))/(LN(2)/25)*Calculateur!HC195*Calculateur!HE195*VLOOKUP('Données projet'!$B$18,Paramètres!$A$1:$I$89,3,0)*0.475*44/12</f>
        <v>0</v>
      </c>
      <c r="HI195" s="23">
        <f>EXP(-LN(2)/2)*HI194+(1-EXP(-LN(2)/2))/(LN(2)/2)*HC195*HF195*VLOOKUP('Données projet'!$B$18,Paramètres!$A$1:$I$89,3,0)*0.475*44/12</f>
        <v>0</v>
      </c>
      <c r="HJ195" s="24">
        <f t="shared" si="190"/>
        <v>0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5.1431925385259088E-14</v>
      </c>
      <c r="P196" s="14">
        <f t="shared" si="141"/>
        <v>8.3482866290946129E-13</v>
      </c>
      <c r="Q196" s="22">
        <f t="shared" si="162"/>
        <v>1.5435705246133045E-12</v>
      </c>
      <c r="R196" s="62">
        <f t="shared" si="191"/>
        <v>293.33333333333485</v>
      </c>
      <c r="S196" s="62">
        <f ca="1">AVERAGE(OFFSET($R$3,0,0,'Données projet'!$E$9+1,1))-AVERAGE(OFFSET($H$3,0,0,'Données projet'!$E$9+1,1))</f>
        <v>512.84819850818667</v>
      </c>
      <c r="T196" s="62">
        <f t="shared" si="142"/>
        <v>332.61387922152159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-5.6843418860808015E-14</v>
      </c>
      <c r="AJ196" s="14">
        <f>AI196*VLOOKUP('Données projet'!$B$10,Paramètres!$A$1:$I$89,3,0)*VLOOKUP('Données projet'!$B$10,Paramètres!$A$1:$I$89,5,0)</f>
        <v>-4.1677594708744434E-14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344.45199703750711</v>
      </c>
      <c r="AO196" s="62">
        <f t="shared" si="144"/>
        <v>376.41441893222185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5.6843418860808015E-14</v>
      </c>
      <c r="BE196" s="14">
        <f>BD196*VLOOKUP('Données projet'!$B$11,Paramètres!$A$1:$I$89,3,0)*VLOOKUP('Données projet'!$B$11,Paramètres!$A$1:$I$89,5,0)</f>
        <v>5.7639226724859328E-14</v>
      </c>
      <c r="BF196" s="14">
        <f t="shared" si="167"/>
        <v>9.2325701996134334E-13</v>
      </c>
      <c r="BG196" s="22">
        <f t="shared" si="168"/>
        <v>1.708394296311803E-12</v>
      </c>
      <c r="BH196" s="62">
        <f t="shared" ref="BH196:BH203" si="194">BG196+(AY196+AZ196)*44/12</f>
        <v>293.33333333333502</v>
      </c>
      <c r="BI196" s="62">
        <f ca="1">AVERAGE(OFFSET($BH$3,0,0,'Données projet'!$E$11+1,1))-AVERAGE(OFFSET($H$3,0,0,'Données projet'!$E$11+1,1))</f>
        <v>569.39473185784823</v>
      </c>
      <c r="BJ196" s="62">
        <f t="shared" si="146"/>
        <v>367.42881145517066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2.2737367544323206E-13</v>
      </c>
      <c r="BZ196" s="14">
        <f>BY196*VLOOKUP('Données projet'!$B$12,Paramètres!$A$1:$I$89,3,0)*VLOOKUP('Données projet'!$B$12,Paramètres!$A$1:$I$89,5,0)</f>
        <v>1.9508661353029313E-13</v>
      </c>
      <c r="CA196" s="14">
        <f t="shared" si="170"/>
        <v>2.711421636700695E-12</v>
      </c>
      <c r="CB196" s="22">
        <f t="shared" si="171"/>
        <v>5.0621685358189711E-12</v>
      </c>
      <c r="CC196" s="62">
        <f t="shared" ref="CC196:CC203" si="195">CB196+(BT196+BU196)*44/12</f>
        <v>293.33333333333837</v>
      </c>
      <c r="CD196" s="62">
        <f ca="1">AVERAGE(OFFSET($CC$3,0,0,'Données projet'!$E$12+1,1))-AVERAGE(OFFSET($H$3,0,0,'Données projet'!$E$12+1,1))</f>
        <v>554.06253050955502</v>
      </c>
      <c r="CE196" s="62">
        <f t="shared" si="148"/>
        <v>269.71949336355789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1.1368683772161603E-13</v>
      </c>
      <c r="CU196" s="18">
        <f>CT196*VLOOKUP('Données projet'!$B$13,Paramètres!$A$1:$I$89,3,0)*VLOOKUP('Données projet'!$B$13,Paramètres!$A$1:$I$89,5,0)</f>
        <v>8.8675733422860506E-14</v>
      </c>
      <c r="CV196" s="14">
        <f t="shared" si="173"/>
        <v>1.3509285393066301E-12</v>
      </c>
      <c r="CW196" s="22">
        <f t="shared" si="174"/>
        <v>2.5073107750038623E-12</v>
      </c>
      <c r="CX196" s="62">
        <f t="shared" ref="CX196:CX203" si="196">CW196+(CO196+CP196)*44/12</f>
        <v>293.33333333333582</v>
      </c>
      <c r="CY196" s="62">
        <f ca="1">AVERAGE(OFFSET($CX$3,0,0,'Données projet'!$E$13+1,1))-AVERAGE(OFFSET($H$3,0,0,'Données projet'!$E$13+1,1))</f>
        <v>292.21364130214391</v>
      </c>
      <c r="CZ196" s="62">
        <f t="shared" si="150"/>
        <v>283.48738729114024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5.6843418860808015E-14</v>
      </c>
      <c r="DP196" s="18">
        <f>DO196*VLOOKUP('Données projet'!$B$14,Paramètres!$A$1:$I$89,3,0)*VLOOKUP('Données projet'!$B$14,Paramètres!$A$1:$I$89,5,0)</f>
        <v>5.4092197387944907E-14</v>
      </c>
      <c r="DQ196" s="14">
        <f t="shared" si="176"/>
        <v>8.7287050538073676E-13</v>
      </c>
      <c r="DR196" s="22">
        <f t="shared" si="177"/>
        <v>1.6144600406554537E-12</v>
      </c>
      <c r="DS196" s="62">
        <f t="shared" ref="DS196:DS203" si="197">DR196+(DJ196+DK196)*44/12</f>
        <v>293.33333333333491</v>
      </c>
      <c r="DT196" s="62">
        <f ca="1">AVERAGE(OFFSET($DS$3,0,0,'Données projet'!$E$14+1,1))-AVERAGE(OFFSET($H$3,0,0,'Données projet'!$E$14+1,1))</f>
        <v>427.47603885390191</v>
      </c>
      <c r="DU196" s="62">
        <f t="shared" si="152"/>
        <v>350.88664394632116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-9.6633812063373625E-13</v>
      </c>
      <c r="EK196" s="18">
        <f>EJ196*VLOOKUP('Données projet'!$B$15,Paramètres!$A$1:$I$89,3,0)*VLOOKUP('Données projet'!$B$15,Paramètres!$A$1:$I$89,5,0)</f>
        <v>-9.3464223027694966E-13</v>
      </c>
      <c r="EL196" s="14" t="e">
        <f t="shared" si="179"/>
        <v>#NUM!</v>
      </c>
      <c r="EM196" s="22" t="e">
        <f t="shared" si="180"/>
        <v>#NUM!</v>
      </c>
      <c r="EN196" s="62" t="e">
        <f t="shared" ref="EN196:EN203" si="198">EM196+(EE196+EF196)*44/12</f>
        <v>#NUM!</v>
      </c>
      <c r="EO196" s="62">
        <f ca="1">AVERAGE(OFFSET($EN$3,0,0,'Données projet'!$E$15+1,1))-AVERAGE(OFFSET($H$3,0,0,'Données projet'!$E$15+1,1))</f>
        <v>455.50822833641354</v>
      </c>
      <c r="EP196" s="62">
        <f t="shared" si="154"/>
        <v>261.14722581688039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243</v>
      </c>
      <c r="FF196" s="18">
        <f>FE196*VLOOKUP('Données projet'!$B$16,Paramètres!$A$1:$I$89,3,0)*VLOOKUP('Données projet'!$B$16,Paramètres!$A$1:$I$89,5,0)</f>
        <v>212.28480000000002</v>
      </c>
      <c r="FG196" s="14">
        <f t="shared" si="182"/>
        <v>52.434557099704193</v>
      </c>
      <c r="FH196" s="22">
        <f t="shared" si="183"/>
        <v>461.05288028198476</v>
      </c>
      <c r="FI196" s="62">
        <f t="shared" ref="FI196:FI203" si="199">FH196+(EZ196+FA196)*44/12</f>
        <v>754.38621361531807</v>
      </c>
      <c r="FJ196" s="62">
        <f ca="1">AVERAGE(OFFSET($FI$3,0,0,'Données projet'!$E$16+1,1))-AVERAGE(OFFSET($H$3,0,0,'Données projet'!$E$16+1,1))</f>
        <v>369.34989412920129</v>
      </c>
      <c r="FK196" s="62">
        <f t="shared" si="156"/>
        <v>371.26234252426553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0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>
        <f>FZ196*VLOOKUP('Données projet'!$B$17,Paramètres!$A$1:$I$89,3,0)*VLOOKUP('Données projet'!$B$17,Paramètres!$A$1:$I$89,5,0)</f>
        <v>0</v>
      </c>
      <c r="GB196" s="14" t="e">
        <f t="shared" si="185"/>
        <v>#NUM!</v>
      </c>
      <c r="GC196" s="22" t="e">
        <f t="shared" si="186"/>
        <v>#NUM!</v>
      </c>
      <c r="GD196" s="62" t="e">
        <f t="shared" ref="GD196:GD203" si="200">GC196+(FU196+FV196)*44/12</f>
        <v>#NUM!</v>
      </c>
      <c r="GE196" s="62">
        <f ca="1">AVERAGE(OFFSET($GD$3,0,0,'Données projet'!$E$17+1,1))-AVERAGE(OFFSET($H$3,0,0,'Données projet'!$E$17+1,1))</f>
        <v>324.4489531703187</v>
      </c>
      <c r="GF196" s="62">
        <f t="shared" si="158"/>
        <v>446.55019360848706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projet'!$B$17,Paramètres!$A$1:$I$89,3,0)*0.475*44/12</f>
        <v>0</v>
      </c>
      <c r="GM196" s="23">
        <f>EXP(-LN(2)/25)*GM195+(1-EXP(-LN(2)/25))/(LN(2)/25)*Calculateur!GH196*Calculateur!GJ196*VLOOKUP('Données projet'!$B$17,Paramètres!$A$1:$I$89,3,0)*0.475*44/12</f>
        <v>0</v>
      </c>
      <c r="GN196" s="23">
        <f>EXP(-LN(2)/2)*GN195+(1-EXP(-LN(2)/2))/(LN(2)/2)*GH196*GK196*VLOOKUP('Données projet'!$B$17,Paramètres!$A$1:$I$89,3,0)*0.475*44/12</f>
        <v>0</v>
      </c>
      <c r="GO196" s="23">
        <f t="shared" si="187"/>
        <v>0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1.7053025658242404E-13</v>
      </c>
      <c r="GV196" s="18">
        <f>GU196*VLOOKUP('Données projet'!$B$18,Paramètres!$A$1:$I$89,3,0)*VLOOKUP('Données projet'!$B$18,Paramètres!$A$1:$I$89,5,0)</f>
        <v>1.1439169611549005E-13</v>
      </c>
      <c r="GW196" s="14">
        <f t="shared" si="188"/>
        <v>1.6918016515029816E-12</v>
      </c>
      <c r="GX196" s="22">
        <f t="shared" si="189"/>
        <v>3.1457867471021712E-12</v>
      </c>
      <c r="GY196" s="62">
        <f t="shared" ref="GY196:GY203" si="201">GX196+(GP196+GQ196)*44/12</f>
        <v>293.33333333333644</v>
      </c>
      <c r="GZ196" s="62">
        <f ca="1">AVERAGE(OFFSET($GY$3,0,0,'Données projet'!$E$18+1,1))-AVERAGE(OFFSET($H$3,0,0,'Données projet'!$E$18+1,1))</f>
        <v>312.06797204903796</v>
      </c>
      <c r="HA196" s="62">
        <f t="shared" si="160"/>
        <v>258.20189001775151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>
        <f>EXP(-LN(2)/35)*HG195+(1-EXP(-LN(2)/35))/(LN(2)/35)*HC196*HD196*VLOOKUP('Données projet'!$B$18,Paramètres!$A$1:$I$89,3,0)*0.475*44/12</f>
        <v>0</v>
      </c>
      <c r="HH196" s="23">
        <f>EXP(-LN(2)/25)*HH195+(1-EXP(-LN(2)/25))/(LN(2)/25)*Calculateur!HC196*Calculateur!HE196*VLOOKUP('Données projet'!$B$18,Paramètres!$A$1:$I$89,3,0)*0.475*44/12</f>
        <v>0</v>
      </c>
      <c r="HI196" s="23">
        <f>EXP(-LN(2)/2)*HI195+(1-EXP(-LN(2)/2))/(LN(2)/2)*HC196*HF196*VLOOKUP('Données projet'!$B$18,Paramètres!$A$1:$I$89,3,0)*0.475*44/12</f>
        <v>0</v>
      </c>
      <c r="HJ196" s="24">
        <f t="shared" si="190"/>
        <v>0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5.1431925385259088E-14</v>
      </c>
      <c r="P197" s="14">
        <f t="shared" ref="P197:P203" si="203">EXP(-1.0587+0.8836*LN(O197)+0.284)</f>
        <v>8.3482866290946129E-13</v>
      </c>
      <c r="Q197" s="22">
        <f t="shared" si="162"/>
        <v>1.5435705246133045E-12</v>
      </c>
      <c r="R197" s="62">
        <f t="shared" si="191"/>
        <v>293.33333333333485</v>
      </c>
      <c r="S197" s="62">
        <f ca="1">AVERAGE(OFFSET($R$3,0,0,'Données projet'!$E$9+1,1))-AVERAGE(OFFSET($H$3,0,0,'Données projet'!$E$9+1,1))</f>
        <v>512.84819850818667</v>
      </c>
      <c r="T197" s="62">
        <f t="shared" ref="T197:T203" si="204">$T$3</f>
        <v>332.61387922152159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-5.6843418860808015E-14</v>
      </c>
      <c r="AJ197" s="14">
        <f>AI197*VLOOKUP('Données projet'!$B$10,Paramètres!$A$1:$I$89,3,0)*VLOOKUP('Données projet'!$B$10,Paramètres!$A$1:$I$89,5,0)</f>
        <v>-4.1677594708744434E-14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344.45199703750711</v>
      </c>
      <c r="AO197" s="62">
        <f t="shared" ref="AO197:AO203" si="205">$AO$3</f>
        <v>376.41441893222185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5.6843418860808015E-14</v>
      </c>
      <c r="BE197" s="14">
        <f>BD197*VLOOKUP('Données projet'!$B$11,Paramètres!$A$1:$I$89,3,0)*VLOOKUP('Données projet'!$B$11,Paramètres!$A$1:$I$89,5,0)</f>
        <v>5.7639226724859328E-14</v>
      </c>
      <c r="BF197" s="14">
        <f t="shared" si="167"/>
        <v>9.2325701996134334E-13</v>
      </c>
      <c r="BG197" s="22">
        <f t="shared" si="168"/>
        <v>1.708394296311803E-12</v>
      </c>
      <c r="BH197" s="62">
        <f t="shared" si="194"/>
        <v>293.33333333333502</v>
      </c>
      <c r="BI197" s="62">
        <f ca="1">AVERAGE(OFFSET($BH$3,0,0,'Données projet'!$E$11+1,1))-AVERAGE(OFFSET($H$3,0,0,'Données projet'!$E$11+1,1))</f>
        <v>569.39473185784823</v>
      </c>
      <c r="BJ197" s="62">
        <f t="shared" ref="BJ197:BJ203" si="206">$BJ$3</f>
        <v>367.42881145517066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2.2737367544323206E-13</v>
      </c>
      <c r="BZ197" s="14">
        <f>BY197*VLOOKUP('Données projet'!$B$12,Paramètres!$A$1:$I$89,3,0)*VLOOKUP('Données projet'!$B$12,Paramètres!$A$1:$I$89,5,0)</f>
        <v>1.9508661353029313E-13</v>
      </c>
      <c r="CA197" s="14">
        <f t="shared" si="170"/>
        <v>2.711421636700695E-12</v>
      </c>
      <c r="CB197" s="22">
        <f t="shared" si="171"/>
        <v>5.0621685358189711E-12</v>
      </c>
      <c r="CC197" s="62">
        <f t="shared" si="195"/>
        <v>293.33333333333837</v>
      </c>
      <c r="CD197" s="62">
        <f ca="1">AVERAGE(OFFSET($CC$3,0,0,'Données projet'!$E$12+1,1))-AVERAGE(OFFSET($H$3,0,0,'Données projet'!$E$12+1,1))</f>
        <v>554.06253050955502</v>
      </c>
      <c r="CE197" s="62">
        <f t="shared" ref="CE197:CE203" si="207">$CE$3</f>
        <v>269.71949336355789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1.1368683772161603E-13</v>
      </c>
      <c r="CU197" s="18">
        <f>CT197*VLOOKUP('Données projet'!$B$13,Paramètres!$A$1:$I$89,3,0)*VLOOKUP('Données projet'!$B$13,Paramètres!$A$1:$I$89,5,0)</f>
        <v>8.8675733422860506E-14</v>
      </c>
      <c r="CV197" s="14">
        <f t="shared" si="173"/>
        <v>1.3509285393066301E-12</v>
      </c>
      <c r="CW197" s="22">
        <f t="shared" si="174"/>
        <v>2.5073107750038623E-12</v>
      </c>
      <c r="CX197" s="62">
        <f t="shared" si="196"/>
        <v>293.33333333333582</v>
      </c>
      <c r="CY197" s="62">
        <f ca="1">AVERAGE(OFFSET($CX$3,0,0,'Données projet'!$E$13+1,1))-AVERAGE(OFFSET($H$3,0,0,'Données projet'!$E$13+1,1))</f>
        <v>292.21364130214391</v>
      </c>
      <c r="CZ197" s="62">
        <f t="shared" ref="CZ197:CZ203" si="208">$CZ$3</f>
        <v>283.48738729114024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5.6843418860808015E-14</v>
      </c>
      <c r="DP197" s="18">
        <f>DO197*VLOOKUP('Données projet'!$B$14,Paramètres!$A$1:$I$89,3,0)*VLOOKUP('Données projet'!$B$14,Paramètres!$A$1:$I$89,5,0)</f>
        <v>5.4092197387944907E-14</v>
      </c>
      <c r="DQ197" s="14">
        <f t="shared" si="176"/>
        <v>8.7287050538073676E-13</v>
      </c>
      <c r="DR197" s="22">
        <f t="shared" si="177"/>
        <v>1.6144600406554537E-12</v>
      </c>
      <c r="DS197" s="62">
        <f t="shared" si="197"/>
        <v>293.33333333333491</v>
      </c>
      <c r="DT197" s="62">
        <f ca="1">AVERAGE(OFFSET($DS$3,0,0,'Données projet'!$E$14+1,1))-AVERAGE(OFFSET($H$3,0,0,'Données projet'!$E$14+1,1))</f>
        <v>427.47603885390191</v>
      </c>
      <c r="DU197" s="62">
        <f t="shared" ref="DU197:DU203" si="209">$DU$3</f>
        <v>350.88664394632116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-9.6633812063373625E-13</v>
      </c>
      <c r="EK197" s="18">
        <f>EJ197*VLOOKUP('Données projet'!$B$15,Paramètres!$A$1:$I$89,3,0)*VLOOKUP('Données projet'!$B$15,Paramètres!$A$1:$I$89,5,0)</f>
        <v>-9.3464223027694966E-13</v>
      </c>
      <c r="EL197" s="14" t="e">
        <f t="shared" si="179"/>
        <v>#NUM!</v>
      </c>
      <c r="EM197" s="22" t="e">
        <f t="shared" si="180"/>
        <v>#NUM!</v>
      </c>
      <c r="EN197" s="62" t="e">
        <f t="shared" si="198"/>
        <v>#NUM!</v>
      </c>
      <c r="EO197" s="62">
        <f ca="1">AVERAGE(OFFSET($EN$3,0,0,'Données projet'!$E$15+1,1))-AVERAGE(OFFSET($H$3,0,0,'Données projet'!$E$15+1,1))</f>
        <v>455.50822833641354</v>
      </c>
      <c r="EP197" s="62">
        <f t="shared" ref="EP197:EP203" si="210">$EP$3</f>
        <v>261.14722581688039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243</v>
      </c>
      <c r="FF197" s="18">
        <f>FE197*VLOOKUP('Données projet'!$B$16,Paramètres!$A$1:$I$89,3,0)*VLOOKUP('Données projet'!$B$16,Paramètres!$A$1:$I$89,5,0)</f>
        <v>212.28480000000002</v>
      </c>
      <c r="FG197" s="14">
        <f t="shared" si="182"/>
        <v>52.434557099704193</v>
      </c>
      <c r="FH197" s="22">
        <f t="shared" si="183"/>
        <v>461.05288028198476</v>
      </c>
      <c r="FI197" s="62">
        <f t="shared" si="199"/>
        <v>754.38621361531807</v>
      </c>
      <c r="FJ197" s="62">
        <f ca="1">AVERAGE(OFFSET($FI$3,0,0,'Données projet'!$E$16+1,1))-AVERAGE(OFFSET($H$3,0,0,'Données projet'!$E$16+1,1))</f>
        <v>369.34989412920129</v>
      </c>
      <c r="FK197" s="62">
        <f t="shared" ref="FK197:FK203" si="211">$FK$3</f>
        <v>371.26234252426553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0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>
        <f>FZ197*VLOOKUP('Données projet'!$B$17,Paramètres!$A$1:$I$89,3,0)*VLOOKUP('Données projet'!$B$17,Paramètres!$A$1:$I$89,5,0)</f>
        <v>0</v>
      </c>
      <c r="GB197" s="14" t="e">
        <f t="shared" si="185"/>
        <v>#NUM!</v>
      </c>
      <c r="GC197" s="22" t="e">
        <f t="shared" si="186"/>
        <v>#NUM!</v>
      </c>
      <c r="GD197" s="62" t="e">
        <f t="shared" si="200"/>
        <v>#NUM!</v>
      </c>
      <c r="GE197" s="62">
        <f ca="1">AVERAGE(OFFSET($GD$3,0,0,'Données projet'!$E$17+1,1))-AVERAGE(OFFSET($H$3,0,0,'Données projet'!$E$17+1,1))</f>
        <v>324.4489531703187</v>
      </c>
      <c r="GF197" s="62">
        <f t="shared" ref="GF197:GF203" si="212">$GF$3</f>
        <v>446.55019360848706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projet'!$B$17,Paramètres!$A$1:$I$89,3,0)*0.475*44/12</f>
        <v>0</v>
      </c>
      <c r="GM197" s="23">
        <f>EXP(-LN(2)/25)*GM196+(1-EXP(-LN(2)/25))/(LN(2)/25)*Calculateur!GH197*Calculateur!GJ197*VLOOKUP('Données projet'!$B$17,Paramètres!$A$1:$I$89,3,0)*0.475*44/12</f>
        <v>0</v>
      </c>
      <c r="GN197" s="23">
        <f>EXP(-LN(2)/2)*GN196+(1-EXP(-LN(2)/2))/(LN(2)/2)*GH197*GK197*VLOOKUP('Données projet'!$B$17,Paramètres!$A$1:$I$89,3,0)*0.475*44/12</f>
        <v>0</v>
      </c>
      <c r="GO197" s="23">
        <f t="shared" si="187"/>
        <v>0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1.7053025658242404E-13</v>
      </c>
      <c r="GV197" s="18">
        <f>GU197*VLOOKUP('Données projet'!$B$18,Paramètres!$A$1:$I$89,3,0)*VLOOKUP('Données projet'!$B$18,Paramètres!$A$1:$I$89,5,0)</f>
        <v>1.1439169611549005E-13</v>
      </c>
      <c r="GW197" s="14">
        <f t="shared" si="188"/>
        <v>1.6918016515029816E-12</v>
      </c>
      <c r="GX197" s="22">
        <f t="shared" si="189"/>
        <v>3.1457867471021712E-12</v>
      </c>
      <c r="GY197" s="62">
        <f t="shared" si="201"/>
        <v>293.33333333333644</v>
      </c>
      <c r="GZ197" s="62">
        <f ca="1">AVERAGE(OFFSET($GY$3,0,0,'Données projet'!$E$18+1,1))-AVERAGE(OFFSET($H$3,0,0,'Données projet'!$E$18+1,1))</f>
        <v>312.06797204903796</v>
      </c>
      <c r="HA197" s="62">
        <f t="shared" ref="HA197:HA203" si="213">$HA$3</f>
        <v>258.20189001775151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>
        <f>EXP(-LN(2)/35)*HG196+(1-EXP(-LN(2)/35))/(LN(2)/35)*HC197*HD197*VLOOKUP('Données projet'!$B$18,Paramètres!$A$1:$I$89,3,0)*0.475*44/12</f>
        <v>0</v>
      </c>
      <c r="HH197" s="23">
        <f>EXP(-LN(2)/25)*HH196+(1-EXP(-LN(2)/25))/(LN(2)/25)*Calculateur!HC197*Calculateur!HE197*VLOOKUP('Données projet'!$B$18,Paramètres!$A$1:$I$89,3,0)*0.475*44/12</f>
        <v>0</v>
      </c>
      <c r="HI197" s="23">
        <f>EXP(-LN(2)/2)*HI196+(1-EXP(-LN(2)/2))/(LN(2)/2)*HC197*HF197*VLOOKUP('Données projet'!$B$18,Paramètres!$A$1:$I$89,3,0)*0.475*44/12</f>
        <v>0</v>
      </c>
      <c r="HJ197" s="24">
        <f t="shared" si="190"/>
        <v>0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5.1431925385259088E-14</v>
      </c>
      <c r="P198" s="14">
        <f t="shared" si="203"/>
        <v>8.3482866290946129E-13</v>
      </c>
      <c r="Q198" s="22">
        <f t="shared" si="162"/>
        <v>1.5435705246133045E-12</v>
      </c>
      <c r="R198" s="62">
        <f t="shared" si="191"/>
        <v>293.33333333333485</v>
      </c>
      <c r="S198" s="62">
        <f ca="1">AVERAGE(OFFSET($R$3,0,0,'Données projet'!$E$9+1,1))-AVERAGE(OFFSET($H$3,0,0,'Données projet'!$E$9+1,1))</f>
        <v>512.84819850818667</v>
      </c>
      <c r="T198" s="62">
        <f t="shared" si="204"/>
        <v>332.61387922152159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-5.6843418860808015E-14</v>
      </c>
      <c r="AJ198" s="14">
        <f>AI198*VLOOKUP('Données projet'!$B$10,Paramètres!$A$1:$I$89,3,0)*VLOOKUP('Données projet'!$B$10,Paramètres!$A$1:$I$89,5,0)</f>
        <v>-4.1677594708744434E-14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344.45199703750711</v>
      </c>
      <c r="AO198" s="62">
        <f t="shared" si="205"/>
        <v>376.41441893222185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5.6843418860808015E-14</v>
      </c>
      <c r="BE198" s="14">
        <f>BD198*VLOOKUP('Données projet'!$B$11,Paramètres!$A$1:$I$89,3,0)*VLOOKUP('Données projet'!$B$11,Paramètres!$A$1:$I$89,5,0)</f>
        <v>5.7639226724859328E-14</v>
      </c>
      <c r="BF198" s="14">
        <f t="shared" si="167"/>
        <v>9.2325701996134334E-13</v>
      </c>
      <c r="BG198" s="22">
        <f t="shared" si="168"/>
        <v>1.708394296311803E-12</v>
      </c>
      <c r="BH198" s="62">
        <f t="shared" si="194"/>
        <v>293.33333333333502</v>
      </c>
      <c r="BI198" s="62">
        <f ca="1">AVERAGE(OFFSET($BH$3,0,0,'Données projet'!$E$11+1,1))-AVERAGE(OFFSET($H$3,0,0,'Données projet'!$E$11+1,1))</f>
        <v>569.39473185784823</v>
      </c>
      <c r="BJ198" s="62">
        <f t="shared" si="206"/>
        <v>367.42881145517066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2.2737367544323206E-13</v>
      </c>
      <c r="BZ198" s="14">
        <f>BY198*VLOOKUP('Données projet'!$B$12,Paramètres!$A$1:$I$89,3,0)*VLOOKUP('Données projet'!$B$12,Paramètres!$A$1:$I$89,5,0)</f>
        <v>1.9508661353029313E-13</v>
      </c>
      <c r="CA198" s="14">
        <f t="shared" si="170"/>
        <v>2.711421636700695E-12</v>
      </c>
      <c r="CB198" s="22">
        <f t="shared" si="171"/>
        <v>5.0621685358189711E-12</v>
      </c>
      <c r="CC198" s="62">
        <f t="shared" si="195"/>
        <v>293.33333333333837</v>
      </c>
      <c r="CD198" s="62">
        <f ca="1">AVERAGE(OFFSET($CC$3,0,0,'Données projet'!$E$12+1,1))-AVERAGE(OFFSET($H$3,0,0,'Données projet'!$E$12+1,1))</f>
        <v>554.06253050955502</v>
      </c>
      <c r="CE198" s="62">
        <f t="shared" si="207"/>
        <v>269.71949336355789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1.1368683772161603E-13</v>
      </c>
      <c r="CU198" s="18">
        <f>CT198*VLOOKUP('Données projet'!$B$13,Paramètres!$A$1:$I$89,3,0)*VLOOKUP('Données projet'!$B$13,Paramètres!$A$1:$I$89,5,0)</f>
        <v>8.8675733422860506E-14</v>
      </c>
      <c r="CV198" s="14">
        <f t="shared" si="173"/>
        <v>1.3509285393066301E-12</v>
      </c>
      <c r="CW198" s="22">
        <f t="shared" si="174"/>
        <v>2.5073107750038623E-12</v>
      </c>
      <c r="CX198" s="62">
        <f t="shared" si="196"/>
        <v>293.33333333333582</v>
      </c>
      <c r="CY198" s="62">
        <f ca="1">AVERAGE(OFFSET($CX$3,0,0,'Données projet'!$E$13+1,1))-AVERAGE(OFFSET($H$3,0,0,'Données projet'!$E$13+1,1))</f>
        <v>292.21364130214391</v>
      </c>
      <c r="CZ198" s="62">
        <f t="shared" si="208"/>
        <v>283.48738729114024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5.6843418860808015E-14</v>
      </c>
      <c r="DP198" s="18">
        <f>DO198*VLOOKUP('Données projet'!$B$14,Paramètres!$A$1:$I$89,3,0)*VLOOKUP('Données projet'!$B$14,Paramètres!$A$1:$I$89,5,0)</f>
        <v>5.4092197387944907E-14</v>
      </c>
      <c r="DQ198" s="14">
        <f t="shared" si="176"/>
        <v>8.7287050538073676E-13</v>
      </c>
      <c r="DR198" s="22">
        <f t="shared" si="177"/>
        <v>1.6144600406554537E-12</v>
      </c>
      <c r="DS198" s="62">
        <f t="shared" si="197"/>
        <v>293.33333333333491</v>
      </c>
      <c r="DT198" s="62">
        <f ca="1">AVERAGE(OFFSET($DS$3,0,0,'Données projet'!$E$14+1,1))-AVERAGE(OFFSET($H$3,0,0,'Données projet'!$E$14+1,1))</f>
        <v>427.47603885390191</v>
      </c>
      <c r="DU198" s="62">
        <f t="shared" si="209"/>
        <v>350.88664394632116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-9.6633812063373625E-13</v>
      </c>
      <c r="EK198" s="18">
        <f>EJ198*VLOOKUP('Données projet'!$B$15,Paramètres!$A$1:$I$89,3,0)*VLOOKUP('Données projet'!$B$15,Paramètres!$A$1:$I$89,5,0)</f>
        <v>-9.3464223027694966E-13</v>
      </c>
      <c r="EL198" s="14" t="e">
        <f t="shared" si="179"/>
        <v>#NUM!</v>
      </c>
      <c r="EM198" s="22" t="e">
        <f t="shared" si="180"/>
        <v>#NUM!</v>
      </c>
      <c r="EN198" s="62" t="e">
        <f t="shared" si="198"/>
        <v>#NUM!</v>
      </c>
      <c r="EO198" s="62">
        <f ca="1">AVERAGE(OFFSET($EN$3,0,0,'Données projet'!$E$15+1,1))-AVERAGE(OFFSET($H$3,0,0,'Données projet'!$E$15+1,1))</f>
        <v>455.50822833641354</v>
      </c>
      <c r="EP198" s="62">
        <f t="shared" si="210"/>
        <v>261.14722581688039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243</v>
      </c>
      <c r="FF198" s="18">
        <f>FE198*VLOOKUP('Données projet'!$B$16,Paramètres!$A$1:$I$89,3,0)*VLOOKUP('Données projet'!$B$16,Paramètres!$A$1:$I$89,5,0)</f>
        <v>212.28480000000002</v>
      </c>
      <c r="FG198" s="14">
        <f t="shared" si="182"/>
        <v>52.434557099704193</v>
      </c>
      <c r="FH198" s="22">
        <f t="shared" si="183"/>
        <v>461.05288028198476</v>
      </c>
      <c r="FI198" s="62">
        <f t="shared" si="199"/>
        <v>754.38621361531807</v>
      </c>
      <c r="FJ198" s="62">
        <f ca="1">AVERAGE(OFFSET($FI$3,0,0,'Données projet'!$E$16+1,1))-AVERAGE(OFFSET($H$3,0,0,'Données projet'!$E$16+1,1))</f>
        <v>369.34989412920129</v>
      </c>
      <c r="FK198" s="62">
        <f t="shared" si="211"/>
        <v>371.26234252426553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0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>
        <f>FZ198*VLOOKUP('Données projet'!$B$17,Paramètres!$A$1:$I$89,3,0)*VLOOKUP('Données projet'!$B$17,Paramètres!$A$1:$I$89,5,0)</f>
        <v>0</v>
      </c>
      <c r="GB198" s="14" t="e">
        <f t="shared" si="185"/>
        <v>#NUM!</v>
      </c>
      <c r="GC198" s="22" t="e">
        <f t="shared" si="186"/>
        <v>#NUM!</v>
      </c>
      <c r="GD198" s="62" t="e">
        <f t="shared" si="200"/>
        <v>#NUM!</v>
      </c>
      <c r="GE198" s="62">
        <f ca="1">AVERAGE(OFFSET($GD$3,0,0,'Données projet'!$E$17+1,1))-AVERAGE(OFFSET($H$3,0,0,'Données projet'!$E$17+1,1))</f>
        <v>324.4489531703187</v>
      </c>
      <c r="GF198" s="62">
        <f t="shared" si="212"/>
        <v>446.55019360848706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projet'!$B$17,Paramètres!$A$1:$I$89,3,0)*0.475*44/12</f>
        <v>0</v>
      </c>
      <c r="GM198" s="23">
        <f>EXP(-LN(2)/25)*GM197+(1-EXP(-LN(2)/25))/(LN(2)/25)*Calculateur!GH198*Calculateur!GJ198*VLOOKUP('Données projet'!$B$17,Paramètres!$A$1:$I$89,3,0)*0.475*44/12</f>
        <v>0</v>
      </c>
      <c r="GN198" s="23">
        <f>EXP(-LN(2)/2)*GN197+(1-EXP(-LN(2)/2))/(LN(2)/2)*GH198*GK198*VLOOKUP('Données projet'!$B$17,Paramètres!$A$1:$I$89,3,0)*0.475*44/12</f>
        <v>0</v>
      </c>
      <c r="GO198" s="23">
        <f t="shared" si="187"/>
        <v>0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1.7053025658242404E-13</v>
      </c>
      <c r="GV198" s="18">
        <f>GU198*VLOOKUP('Données projet'!$B$18,Paramètres!$A$1:$I$89,3,0)*VLOOKUP('Données projet'!$B$18,Paramètres!$A$1:$I$89,5,0)</f>
        <v>1.1439169611549005E-13</v>
      </c>
      <c r="GW198" s="14">
        <f t="shared" si="188"/>
        <v>1.6918016515029816E-12</v>
      </c>
      <c r="GX198" s="22">
        <f t="shared" si="189"/>
        <v>3.1457867471021712E-12</v>
      </c>
      <c r="GY198" s="62">
        <f t="shared" si="201"/>
        <v>293.33333333333644</v>
      </c>
      <c r="GZ198" s="62">
        <f ca="1">AVERAGE(OFFSET($GY$3,0,0,'Données projet'!$E$18+1,1))-AVERAGE(OFFSET($H$3,0,0,'Données projet'!$E$18+1,1))</f>
        <v>312.06797204903796</v>
      </c>
      <c r="HA198" s="62">
        <f t="shared" si="213"/>
        <v>258.20189001775151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>
        <f>EXP(-LN(2)/35)*HG197+(1-EXP(-LN(2)/35))/(LN(2)/35)*HC198*HD198*VLOOKUP('Données projet'!$B$18,Paramètres!$A$1:$I$89,3,0)*0.475*44/12</f>
        <v>0</v>
      </c>
      <c r="HH198" s="23">
        <f>EXP(-LN(2)/25)*HH197+(1-EXP(-LN(2)/25))/(LN(2)/25)*Calculateur!HC198*Calculateur!HE198*VLOOKUP('Données projet'!$B$18,Paramètres!$A$1:$I$89,3,0)*0.475*44/12</f>
        <v>0</v>
      </c>
      <c r="HI198" s="23">
        <f>EXP(-LN(2)/2)*HI197+(1-EXP(-LN(2)/2))/(LN(2)/2)*HC198*HF198*VLOOKUP('Données projet'!$B$18,Paramètres!$A$1:$I$89,3,0)*0.475*44/12</f>
        <v>0</v>
      </c>
      <c r="HJ198" s="24">
        <f t="shared" si="190"/>
        <v>0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5.1431925385259088E-14</v>
      </c>
      <c r="P199" s="14">
        <f t="shared" si="203"/>
        <v>8.3482866290946129E-13</v>
      </c>
      <c r="Q199" s="22">
        <f t="shared" si="162"/>
        <v>1.5435705246133045E-12</v>
      </c>
      <c r="R199" s="62">
        <f t="shared" si="191"/>
        <v>293.33333333333485</v>
      </c>
      <c r="S199" s="62">
        <f ca="1">AVERAGE(OFFSET($R$3,0,0,'Données projet'!$E$9+1,1))-AVERAGE(OFFSET($H$3,0,0,'Données projet'!$E$9+1,1))</f>
        <v>512.84819850818667</v>
      </c>
      <c r="T199" s="62">
        <f t="shared" si="204"/>
        <v>332.61387922152159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-5.6843418860808015E-14</v>
      </c>
      <c r="AJ199" s="14">
        <f>AI199*VLOOKUP('Données projet'!$B$10,Paramètres!$A$1:$I$89,3,0)*VLOOKUP('Données projet'!$B$10,Paramètres!$A$1:$I$89,5,0)</f>
        <v>-4.1677594708744434E-14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344.45199703750711</v>
      </c>
      <c r="AO199" s="62">
        <f t="shared" si="205"/>
        <v>376.41441893222185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5.6843418860808015E-14</v>
      </c>
      <c r="BE199" s="14">
        <f>BD199*VLOOKUP('Données projet'!$B$11,Paramètres!$A$1:$I$89,3,0)*VLOOKUP('Données projet'!$B$11,Paramètres!$A$1:$I$89,5,0)</f>
        <v>5.7639226724859328E-14</v>
      </c>
      <c r="BF199" s="14">
        <f t="shared" si="167"/>
        <v>9.2325701996134334E-13</v>
      </c>
      <c r="BG199" s="22">
        <f t="shared" si="168"/>
        <v>1.708394296311803E-12</v>
      </c>
      <c r="BH199" s="62">
        <f t="shared" si="194"/>
        <v>293.33333333333502</v>
      </c>
      <c r="BI199" s="62">
        <f ca="1">AVERAGE(OFFSET($BH$3,0,0,'Données projet'!$E$11+1,1))-AVERAGE(OFFSET($H$3,0,0,'Données projet'!$E$11+1,1))</f>
        <v>569.39473185784823</v>
      </c>
      <c r="BJ199" s="62">
        <f t="shared" si="206"/>
        <v>367.42881145517066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2.2737367544323206E-13</v>
      </c>
      <c r="BZ199" s="14">
        <f>BY199*VLOOKUP('Données projet'!$B$12,Paramètres!$A$1:$I$89,3,0)*VLOOKUP('Données projet'!$B$12,Paramètres!$A$1:$I$89,5,0)</f>
        <v>1.9508661353029313E-13</v>
      </c>
      <c r="CA199" s="14">
        <f t="shared" si="170"/>
        <v>2.711421636700695E-12</v>
      </c>
      <c r="CB199" s="22">
        <f t="shared" si="171"/>
        <v>5.0621685358189711E-12</v>
      </c>
      <c r="CC199" s="62">
        <f t="shared" si="195"/>
        <v>293.33333333333837</v>
      </c>
      <c r="CD199" s="62">
        <f ca="1">AVERAGE(OFFSET($CC$3,0,0,'Données projet'!$E$12+1,1))-AVERAGE(OFFSET($H$3,0,0,'Données projet'!$E$12+1,1))</f>
        <v>554.06253050955502</v>
      </c>
      <c r="CE199" s="62">
        <f t="shared" si="207"/>
        <v>269.71949336355789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1.1368683772161603E-13</v>
      </c>
      <c r="CU199" s="18">
        <f>CT199*VLOOKUP('Données projet'!$B$13,Paramètres!$A$1:$I$89,3,0)*VLOOKUP('Données projet'!$B$13,Paramètres!$A$1:$I$89,5,0)</f>
        <v>8.8675733422860506E-14</v>
      </c>
      <c r="CV199" s="14">
        <f t="shared" si="173"/>
        <v>1.3509285393066301E-12</v>
      </c>
      <c r="CW199" s="22">
        <f t="shared" si="174"/>
        <v>2.5073107750038623E-12</v>
      </c>
      <c r="CX199" s="62">
        <f t="shared" si="196"/>
        <v>293.33333333333582</v>
      </c>
      <c r="CY199" s="62">
        <f ca="1">AVERAGE(OFFSET($CX$3,0,0,'Données projet'!$E$13+1,1))-AVERAGE(OFFSET($H$3,0,0,'Données projet'!$E$13+1,1))</f>
        <v>292.21364130214391</v>
      </c>
      <c r="CZ199" s="62">
        <f t="shared" si="208"/>
        <v>283.48738729114024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5.6843418860808015E-14</v>
      </c>
      <c r="DP199" s="18">
        <f>DO199*VLOOKUP('Données projet'!$B$14,Paramètres!$A$1:$I$89,3,0)*VLOOKUP('Données projet'!$B$14,Paramètres!$A$1:$I$89,5,0)</f>
        <v>5.4092197387944907E-14</v>
      </c>
      <c r="DQ199" s="14">
        <f t="shared" si="176"/>
        <v>8.7287050538073676E-13</v>
      </c>
      <c r="DR199" s="22">
        <f t="shared" si="177"/>
        <v>1.6144600406554537E-12</v>
      </c>
      <c r="DS199" s="62">
        <f t="shared" si="197"/>
        <v>293.33333333333491</v>
      </c>
      <c r="DT199" s="62">
        <f ca="1">AVERAGE(OFFSET($DS$3,0,0,'Données projet'!$E$14+1,1))-AVERAGE(OFFSET($H$3,0,0,'Données projet'!$E$14+1,1))</f>
        <v>427.47603885390191</v>
      </c>
      <c r="DU199" s="62">
        <f t="shared" si="209"/>
        <v>350.88664394632116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-9.6633812063373625E-13</v>
      </c>
      <c r="EK199" s="18">
        <f>EJ199*VLOOKUP('Données projet'!$B$15,Paramètres!$A$1:$I$89,3,0)*VLOOKUP('Données projet'!$B$15,Paramètres!$A$1:$I$89,5,0)</f>
        <v>-9.3464223027694966E-13</v>
      </c>
      <c r="EL199" s="14" t="e">
        <f t="shared" si="179"/>
        <v>#NUM!</v>
      </c>
      <c r="EM199" s="22" t="e">
        <f t="shared" si="180"/>
        <v>#NUM!</v>
      </c>
      <c r="EN199" s="62" t="e">
        <f t="shared" si="198"/>
        <v>#NUM!</v>
      </c>
      <c r="EO199" s="62">
        <f ca="1">AVERAGE(OFFSET($EN$3,0,0,'Données projet'!$E$15+1,1))-AVERAGE(OFFSET($H$3,0,0,'Données projet'!$E$15+1,1))</f>
        <v>455.50822833641354</v>
      </c>
      <c r="EP199" s="62">
        <f t="shared" si="210"/>
        <v>261.14722581688039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243</v>
      </c>
      <c r="FF199" s="18">
        <f>FE199*VLOOKUP('Données projet'!$B$16,Paramètres!$A$1:$I$89,3,0)*VLOOKUP('Données projet'!$B$16,Paramètres!$A$1:$I$89,5,0)</f>
        <v>212.28480000000002</v>
      </c>
      <c r="FG199" s="14">
        <f t="shared" si="182"/>
        <v>52.434557099704193</v>
      </c>
      <c r="FH199" s="22">
        <f t="shared" si="183"/>
        <v>461.05288028198476</v>
      </c>
      <c r="FI199" s="62">
        <f t="shared" si="199"/>
        <v>754.38621361531807</v>
      </c>
      <c r="FJ199" s="62">
        <f ca="1">AVERAGE(OFFSET($FI$3,0,0,'Données projet'!$E$16+1,1))-AVERAGE(OFFSET($H$3,0,0,'Données projet'!$E$16+1,1))</f>
        <v>369.34989412920129</v>
      </c>
      <c r="FK199" s="62">
        <f t="shared" si="211"/>
        <v>371.26234252426553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0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>
        <f>FZ199*VLOOKUP('Données projet'!$B$17,Paramètres!$A$1:$I$89,3,0)*VLOOKUP('Données projet'!$B$17,Paramètres!$A$1:$I$89,5,0)</f>
        <v>0</v>
      </c>
      <c r="GB199" s="14" t="e">
        <f t="shared" si="185"/>
        <v>#NUM!</v>
      </c>
      <c r="GC199" s="22" t="e">
        <f t="shared" si="186"/>
        <v>#NUM!</v>
      </c>
      <c r="GD199" s="62" t="e">
        <f t="shared" si="200"/>
        <v>#NUM!</v>
      </c>
      <c r="GE199" s="62">
        <f ca="1">AVERAGE(OFFSET($GD$3,0,0,'Données projet'!$E$17+1,1))-AVERAGE(OFFSET($H$3,0,0,'Données projet'!$E$17+1,1))</f>
        <v>324.4489531703187</v>
      </c>
      <c r="GF199" s="62">
        <f t="shared" si="212"/>
        <v>446.55019360848706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projet'!$B$17,Paramètres!$A$1:$I$89,3,0)*0.475*44/12</f>
        <v>0</v>
      </c>
      <c r="GM199" s="23">
        <f>EXP(-LN(2)/25)*GM198+(1-EXP(-LN(2)/25))/(LN(2)/25)*Calculateur!GH199*Calculateur!GJ199*VLOOKUP('Données projet'!$B$17,Paramètres!$A$1:$I$89,3,0)*0.475*44/12</f>
        <v>0</v>
      </c>
      <c r="GN199" s="23">
        <f>EXP(-LN(2)/2)*GN198+(1-EXP(-LN(2)/2))/(LN(2)/2)*GH199*GK199*VLOOKUP('Données projet'!$B$17,Paramètres!$A$1:$I$89,3,0)*0.475*44/12</f>
        <v>0</v>
      </c>
      <c r="GO199" s="23">
        <f t="shared" si="187"/>
        <v>0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1.7053025658242404E-13</v>
      </c>
      <c r="GV199" s="18">
        <f>GU199*VLOOKUP('Données projet'!$B$18,Paramètres!$A$1:$I$89,3,0)*VLOOKUP('Données projet'!$B$18,Paramètres!$A$1:$I$89,5,0)</f>
        <v>1.1439169611549005E-13</v>
      </c>
      <c r="GW199" s="14">
        <f t="shared" si="188"/>
        <v>1.6918016515029816E-12</v>
      </c>
      <c r="GX199" s="22">
        <f t="shared" si="189"/>
        <v>3.1457867471021712E-12</v>
      </c>
      <c r="GY199" s="62">
        <f t="shared" si="201"/>
        <v>293.33333333333644</v>
      </c>
      <c r="GZ199" s="62">
        <f ca="1">AVERAGE(OFFSET($GY$3,0,0,'Données projet'!$E$18+1,1))-AVERAGE(OFFSET($H$3,0,0,'Données projet'!$E$18+1,1))</f>
        <v>312.06797204903796</v>
      </c>
      <c r="HA199" s="62">
        <f t="shared" si="213"/>
        <v>258.20189001775151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>
        <f>EXP(-LN(2)/35)*HG198+(1-EXP(-LN(2)/35))/(LN(2)/35)*HC199*HD199*VLOOKUP('Données projet'!$B$18,Paramètres!$A$1:$I$89,3,0)*0.475*44/12</f>
        <v>0</v>
      </c>
      <c r="HH199" s="23">
        <f>EXP(-LN(2)/25)*HH198+(1-EXP(-LN(2)/25))/(LN(2)/25)*Calculateur!HC199*Calculateur!HE199*VLOOKUP('Données projet'!$B$18,Paramètres!$A$1:$I$89,3,0)*0.475*44/12</f>
        <v>0</v>
      </c>
      <c r="HI199" s="23">
        <f>EXP(-LN(2)/2)*HI198+(1-EXP(-LN(2)/2))/(LN(2)/2)*HC199*HF199*VLOOKUP('Données projet'!$B$18,Paramètres!$A$1:$I$89,3,0)*0.475*44/12</f>
        <v>0</v>
      </c>
      <c r="HJ199" s="24">
        <f t="shared" si="190"/>
        <v>0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5.1431925385259088E-14</v>
      </c>
      <c r="P200" s="14">
        <f t="shared" si="203"/>
        <v>8.3482866290946129E-13</v>
      </c>
      <c r="Q200" s="22">
        <f t="shared" si="162"/>
        <v>1.5435705246133045E-12</v>
      </c>
      <c r="R200" s="62">
        <f t="shared" si="191"/>
        <v>293.33333333333485</v>
      </c>
      <c r="S200" s="62">
        <f ca="1">AVERAGE(OFFSET($R$3,0,0,'Données projet'!$E$9+1,1))-AVERAGE(OFFSET($H$3,0,0,'Données projet'!$E$9+1,1))</f>
        <v>512.84819850818667</v>
      </c>
      <c r="T200" s="62">
        <f t="shared" si="204"/>
        <v>332.61387922152159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-5.6843418860808015E-14</v>
      </c>
      <c r="AJ200" s="14">
        <f>AI200*VLOOKUP('Données projet'!$B$10,Paramètres!$A$1:$I$89,3,0)*VLOOKUP('Données projet'!$B$10,Paramètres!$A$1:$I$89,5,0)</f>
        <v>-4.1677594708744434E-14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344.45199703750711</v>
      </c>
      <c r="AO200" s="62">
        <f t="shared" si="205"/>
        <v>376.41441893222185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5.6843418860808015E-14</v>
      </c>
      <c r="BE200" s="14">
        <f>BD200*VLOOKUP('Données projet'!$B$11,Paramètres!$A$1:$I$89,3,0)*VLOOKUP('Données projet'!$B$11,Paramètres!$A$1:$I$89,5,0)</f>
        <v>5.7639226724859328E-14</v>
      </c>
      <c r="BF200" s="14">
        <f t="shared" si="167"/>
        <v>9.2325701996134334E-13</v>
      </c>
      <c r="BG200" s="22">
        <f t="shared" si="168"/>
        <v>1.708394296311803E-12</v>
      </c>
      <c r="BH200" s="62">
        <f t="shared" si="194"/>
        <v>293.33333333333502</v>
      </c>
      <c r="BI200" s="62">
        <f ca="1">AVERAGE(OFFSET($BH$3,0,0,'Données projet'!$E$11+1,1))-AVERAGE(OFFSET($H$3,0,0,'Données projet'!$E$11+1,1))</f>
        <v>569.39473185784823</v>
      </c>
      <c r="BJ200" s="62">
        <f t="shared" si="206"/>
        <v>367.42881145517066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2.2737367544323206E-13</v>
      </c>
      <c r="BZ200" s="14">
        <f>BY200*VLOOKUP('Données projet'!$B$12,Paramètres!$A$1:$I$89,3,0)*VLOOKUP('Données projet'!$B$12,Paramètres!$A$1:$I$89,5,0)</f>
        <v>1.9508661353029313E-13</v>
      </c>
      <c r="CA200" s="14">
        <f t="shared" si="170"/>
        <v>2.711421636700695E-12</v>
      </c>
      <c r="CB200" s="22">
        <f t="shared" si="171"/>
        <v>5.0621685358189711E-12</v>
      </c>
      <c r="CC200" s="62">
        <f t="shared" si="195"/>
        <v>293.33333333333837</v>
      </c>
      <c r="CD200" s="62">
        <f ca="1">AVERAGE(OFFSET($CC$3,0,0,'Données projet'!$E$12+1,1))-AVERAGE(OFFSET($H$3,0,0,'Données projet'!$E$12+1,1))</f>
        <v>554.06253050955502</v>
      </c>
      <c r="CE200" s="62">
        <f t="shared" si="207"/>
        <v>269.71949336355789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1.1368683772161603E-13</v>
      </c>
      <c r="CU200" s="18">
        <f>CT200*VLOOKUP('Données projet'!$B$13,Paramètres!$A$1:$I$89,3,0)*VLOOKUP('Données projet'!$B$13,Paramètres!$A$1:$I$89,5,0)</f>
        <v>8.8675733422860506E-14</v>
      </c>
      <c r="CV200" s="14">
        <f t="shared" si="173"/>
        <v>1.3509285393066301E-12</v>
      </c>
      <c r="CW200" s="22">
        <f t="shared" si="174"/>
        <v>2.5073107750038623E-12</v>
      </c>
      <c r="CX200" s="62">
        <f t="shared" si="196"/>
        <v>293.33333333333582</v>
      </c>
      <c r="CY200" s="62">
        <f ca="1">AVERAGE(OFFSET($CX$3,0,0,'Données projet'!$E$13+1,1))-AVERAGE(OFFSET($H$3,0,0,'Données projet'!$E$13+1,1))</f>
        <v>292.21364130214391</v>
      </c>
      <c r="CZ200" s="62">
        <f t="shared" si="208"/>
        <v>283.48738729114024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5.6843418860808015E-14</v>
      </c>
      <c r="DP200" s="18">
        <f>DO200*VLOOKUP('Données projet'!$B$14,Paramètres!$A$1:$I$89,3,0)*VLOOKUP('Données projet'!$B$14,Paramètres!$A$1:$I$89,5,0)</f>
        <v>5.4092197387944907E-14</v>
      </c>
      <c r="DQ200" s="14">
        <f t="shared" si="176"/>
        <v>8.7287050538073676E-13</v>
      </c>
      <c r="DR200" s="22">
        <f t="shared" si="177"/>
        <v>1.6144600406554537E-12</v>
      </c>
      <c r="DS200" s="62">
        <f t="shared" si="197"/>
        <v>293.33333333333491</v>
      </c>
      <c r="DT200" s="62">
        <f ca="1">AVERAGE(OFFSET($DS$3,0,0,'Données projet'!$E$14+1,1))-AVERAGE(OFFSET($H$3,0,0,'Données projet'!$E$14+1,1))</f>
        <v>427.47603885390191</v>
      </c>
      <c r="DU200" s="62">
        <f t="shared" si="209"/>
        <v>350.88664394632116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-9.6633812063373625E-13</v>
      </c>
      <c r="EK200" s="18">
        <f>EJ200*VLOOKUP('Données projet'!$B$15,Paramètres!$A$1:$I$89,3,0)*VLOOKUP('Données projet'!$B$15,Paramètres!$A$1:$I$89,5,0)</f>
        <v>-9.3464223027694966E-13</v>
      </c>
      <c r="EL200" s="14" t="e">
        <f t="shared" si="179"/>
        <v>#NUM!</v>
      </c>
      <c r="EM200" s="22" t="e">
        <f t="shared" si="180"/>
        <v>#NUM!</v>
      </c>
      <c r="EN200" s="62" t="e">
        <f t="shared" si="198"/>
        <v>#NUM!</v>
      </c>
      <c r="EO200" s="62">
        <f ca="1">AVERAGE(OFFSET($EN$3,0,0,'Données projet'!$E$15+1,1))-AVERAGE(OFFSET($H$3,0,0,'Données projet'!$E$15+1,1))</f>
        <v>455.50822833641354</v>
      </c>
      <c r="EP200" s="62">
        <f t="shared" si="210"/>
        <v>261.14722581688039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243</v>
      </c>
      <c r="FF200" s="18">
        <f>FE200*VLOOKUP('Données projet'!$B$16,Paramètres!$A$1:$I$89,3,0)*VLOOKUP('Données projet'!$B$16,Paramètres!$A$1:$I$89,5,0)</f>
        <v>212.28480000000002</v>
      </c>
      <c r="FG200" s="14">
        <f t="shared" si="182"/>
        <v>52.434557099704193</v>
      </c>
      <c r="FH200" s="22">
        <f t="shared" si="183"/>
        <v>461.05288028198476</v>
      </c>
      <c r="FI200" s="62">
        <f t="shared" si="199"/>
        <v>754.38621361531807</v>
      </c>
      <c r="FJ200" s="62">
        <f ca="1">AVERAGE(OFFSET($FI$3,0,0,'Données projet'!$E$16+1,1))-AVERAGE(OFFSET($H$3,0,0,'Données projet'!$E$16+1,1))</f>
        <v>369.34989412920129</v>
      </c>
      <c r="FK200" s="62">
        <f t="shared" si="211"/>
        <v>371.26234252426553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0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>
        <f>FZ200*VLOOKUP('Données projet'!$B$17,Paramètres!$A$1:$I$89,3,0)*VLOOKUP('Données projet'!$B$17,Paramètres!$A$1:$I$89,5,0)</f>
        <v>0</v>
      </c>
      <c r="GB200" s="14" t="e">
        <f t="shared" si="185"/>
        <v>#NUM!</v>
      </c>
      <c r="GC200" s="22" t="e">
        <f t="shared" si="186"/>
        <v>#NUM!</v>
      </c>
      <c r="GD200" s="62" t="e">
        <f t="shared" si="200"/>
        <v>#NUM!</v>
      </c>
      <c r="GE200" s="62">
        <f ca="1">AVERAGE(OFFSET($GD$3,0,0,'Données projet'!$E$17+1,1))-AVERAGE(OFFSET($H$3,0,0,'Données projet'!$E$17+1,1))</f>
        <v>324.4489531703187</v>
      </c>
      <c r="GF200" s="62">
        <f t="shared" si="212"/>
        <v>446.55019360848706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projet'!$B$17,Paramètres!$A$1:$I$89,3,0)*0.475*44/12</f>
        <v>0</v>
      </c>
      <c r="GM200" s="23">
        <f>EXP(-LN(2)/25)*GM199+(1-EXP(-LN(2)/25))/(LN(2)/25)*Calculateur!GH200*Calculateur!GJ200*VLOOKUP('Données projet'!$B$17,Paramètres!$A$1:$I$89,3,0)*0.475*44/12</f>
        <v>0</v>
      </c>
      <c r="GN200" s="23">
        <f>EXP(-LN(2)/2)*GN199+(1-EXP(-LN(2)/2))/(LN(2)/2)*GH200*GK200*VLOOKUP('Données projet'!$B$17,Paramètres!$A$1:$I$89,3,0)*0.475*44/12</f>
        <v>0</v>
      </c>
      <c r="GO200" s="23">
        <f t="shared" si="187"/>
        <v>0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1.7053025658242404E-13</v>
      </c>
      <c r="GV200" s="18">
        <f>GU200*VLOOKUP('Données projet'!$B$18,Paramètres!$A$1:$I$89,3,0)*VLOOKUP('Données projet'!$B$18,Paramètres!$A$1:$I$89,5,0)</f>
        <v>1.1439169611549005E-13</v>
      </c>
      <c r="GW200" s="14">
        <f t="shared" si="188"/>
        <v>1.6918016515029816E-12</v>
      </c>
      <c r="GX200" s="22">
        <f t="shared" si="189"/>
        <v>3.1457867471021712E-12</v>
      </c>
      <c r="GY200" s="62">
        <f t="shared" si="201"/>
        <v>293.33333333333644</v>
      </c>
      <c r="GZ200" s="62">
        <f ca="1">AVERAGE(OFFSET($GY$3,0,0,'Données projet'!$E$18+1,1))-AVERAGE(OFFSET($H$3,0,0,'Données projet'!$E$18+1,1))</f>
        <v>312.06797204903796</v>
      </c>
      <c r="HA200" s="62">
        <f t="shared" si="213"/>
        <v>258.20189001775151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>
        <f>EXP(-LN(2)/35)*HG199+(1-EXP(-LN(2)/35))/(LN(2)/35)*HC200*HD200*VLOOKUP('Données projet'!$B$18,Paramètres!$A$1:$I$89,3,0)*0.475*44/12</f>
        <v>0</v>
      </c>
      <c r="HH200" s="23">
        <f>EXP(-LN(2)/25)*HH199+(1-EXP(-LN(2)/25))/(LN(2)/25)*Calculateur!HC200*Calculateur!HE200*VLOOKUP('Données projet'!$B$18,Paramètres!$A$1:$I$89,3,0)*0.475*44/12</f>
        <v>0</v>
      </c>
      <c r="HI200" s="23">
        <f>EXP(-LN(2)/2)*HI199+(1-EXP(-LN(2)/2))/(LN(2)/2)*HC200*HF200*VLOOKUP('Données projet'!$B$18,Paramètres!$A$1:$I$89,3,0)*0.475*44/12</f>
        <v>0</v>
      </c>
      <c r="HJ200" s="24">
        <f t="shared" si="190"/>
        <v>0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5.1431925385259088E-14</v>
      </c>
      <c r="P201" s="14">
        <f t="shared" si="203"/>
        <v>8.3482866290946129E-13</v>
      </c>
      <c r="Q201" s="22">
        <f t="shared" si="162"/>
        <v>1.5435705246133045E-12</v>
      </c>
      <c r="R201" s="62">
        <f t="shared" si="191"/>
        <v>293.33333333333485</v>
      </c>
      <c r="S201" s="62">
        <f ca="1">AVERAGE(OFFSET($R$3,0,0,'Données projet'!$E$9+1,1))-AVERAGE(OFFSET($H$3,0,0,'Données projet'!$E$9+1,1))</f>
        <v>512.84819850818667</v>
      </c>
      <c r="T201" s="62">
        <f t="shared" si="204"/>
        <v>332.61387922152159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-5.6843418860808015E-14</v>
      </c>
      <c r="AJ201" s="14">
        <f>AI201*VLOOKUP('Données projet'!$B$10,Paramètres!$A$1:$I$89,3,0)*VLOOKUP('Données projet'!$B$10,Paramètres!$A$1:$I$89,5,0)</f>
        <v>-4.1677594708744434E-14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344.45199703750711</v>
      </c>
      <c r="AO201" s="62">
        <f t="shared" si="205"/>
        <v>376.41441893222185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5.6843418860808015E-14</v>
      </c>
      <c r="BE201" s="14">
        <f>BD201*VLOOKUP('Données projet'!$B$11,Paramètres!$A$1:$I$89,3,0)*VLOOKUP('Données projet'!$B$11,Paramètres!$A$1:$I$89,5,0)</f>
        <v>5.7639226724859328E-14</v>
      </c>
      <c r="BF201" s="14">
        <f t="shared" si="167"/>
        <v>9.2325701996134334E-13</v>
      </c>
      <c r="BG201" s="22">
        <f t="shared" si="168"/>
        <v>1.708394296311803E-12</v>
      </c>
      <c r="BH201" s="62">
        <f t="shared" si="194"/>
        <v>293.33333333333502</v>
      </c>
      <c r="BI201" s="62">
        <f ca="1">AVERAGE(OFFSET($BH$3,0,0,'Données projet'!$E$11+1,1))-AVERAGE(OFFSET($H$3,0,0,'Données projet'!$E$11+1,1))</f>
        <v>569.39473185784823</v>
      </c>
      <c r="BJ201" s="62">
        <f t="shared" si="206"/>
        <v>367.42881145517066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2.2737367544323206E-13</v>
      </c>
      <c r="BZ201" s="14">
        <f>BY201*VLOOKUP('Données projet'!$B$12,Paramètres!$A$1:$I$89,3,0)*VLOOKUP('Données projet'!$B$12,Paramètres!$A$1:$I$89,5,0)</f>
        <v>1.9508661353029313E-13</v>
      </c>
      <c r="CA201" s="14">
        <f t="shared" si="170"/>
        <v>2.711421636700695E-12</v>
      </c>
      <c r="CB201" s="22">
        <f t="shared" si="171"/>
        <v>5.0621685358189711E-12</v>
      </c>
      <c r="CC201" s="62">
        <f t="shared" si="195"/>
        <v>293.33333333333837</v>
      </c>
      <c r="CD201" s="62">
        <f ca="1">AVERAGE(OFFSET($CC$3,0,0,'Données projet'!$E$12+1,1))-AVERAGE(OFFSET($H$3,0,0,'Données projet'!$E$12+1,1))</f>
        <v>554.06253050955502</v>
      </c>
      <c r="CE201" s="62">
        <f t="shared" si="207"/>
        <v>269.71949336355789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1.1368683772161603E-13</v>
      </c>
      <c r="CU201" s="18">
        <f>CT201*VLOOKUP('Données projet'!$B$13,Paramètres!$A$1:$I$89,3,0)*VLOOKUP('Données projet'!$B$13,Paramètres!$A$1:$I$89,5,0)</f>
        <v>8.8675733422860506E-14</v>
      </c>
      <c r="CV201" s="14">
        <f t="shared" si="173"/>
        <v>1.3509285393066301E-12</v>
      </c>
      <c r="CW201" s="22">
        <f t="shared" si="174"/>
        <v>2.5073107750038623E-12</v>
      </c>
      <c r="CX201" s="62">
        <f t="shared" si="196"/>
        <v>293.33333333333582</v>
      </c>
      <c r="CY201" s="62">
        <f ca="1">AVERAGE(OFFSET($CX$3,0,0,'Données projet'!$E$13+1,1))-AVERAGE(OFFSET($H$3,0,0,'Données projet'!$E$13+1,1))</f>
        <v>292.21364130214391</v>
      </c>
      <c r="CZ201" s="62">
        <f t="shared" si="208"/>
        <v>283.48738729114024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5.6843418860808015E-14</v>
      </c>
      <c r="DP201" s="18">
        <f>DO201*VLOOKUP('Données projet'!$B$14,Paramètres!$A$1:$I$89,3,0)*VLOOKUP('Données projet'!$B$14,Paramètres!$A$1:$I$89,5,0)</f>
        <v>5.4092197387944907E-14</v>
      </c>
      <c r="DQ201" s="14">
        <f t="shared" si="176"/>
        <v>8.7287050538073676E-13</v>
      </c>
      <c r="DR201" s="22">
        <f t="shared" si="177"/>
        <v>1.6144600406554537E-12</v>
      </c>
      <c r="DS201" s="62">
        <f t="shared" si="197"/>
        <v>293.33333333333491</v>
      </c>
      <c r="DT201" s="62">
        <f ca="1">AVERAGE(OFFSET($DS$3,0,0,'Données projet'!$E$14+1,1))-AVERAGE(OFFSET($H$3,0,0,'Données projet'!$E$14+1,1))</f>
        <v>427.47603885390191</v>
      </c>
      <c r="DU201" s="62">
        <f t="shared" si="209"/>
        <v>350.88664394632116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-9.6633812063373625E-13</v>
      </c>
      <c r="EK201" s="18">
        <f>EJ201*VLOOKUP('Données projet'!$B$15,Paramètres!$A$1:$I$89,3,0)*VLOOKUP('Données projet'!$B$15,Paramètres!$A$1:$I$89,5,0)</f>
        <v>-9.3464223027694966E-13</v>
      </c>
      <c r="EL201" s="14" t="e">
        <f t="shared" si="179"/>
        <v>#NUM!</v>
      </c>
      <c r="EM201" s="22" t="e">
        <f t="shared" si="180"/>
        <v>#NUM!</v>
      </c>
      <c r="EN201" s="62" t="e">
        <f t="shared" si="198"/>
        <v>#NUM!</v>
      </c>
      <c r="EO201" s="62">
        <f ca="1">AVERAGE(OFFSET($EN$3,0,0,'Données projet'!$E$15+1,1))-AVERAGE(OFFSET($H$3,0,0,'Données projet'!$E$15+1,1))</f>
        <v>455.50822833641354</v>
      </c>
      <c r="EP201" s="62">
        <f t="shared" si="210"/>
        <v>261.14722581688039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243</v>
      </c>
      <c r="FF201" s="18">
        <f>FE201*VLOOKUP('Données projet'!$B$16,Paramètres!$A$1:$I$89,3,0)*VLOOKUP('Données projet'!$B$16,Paramètres!$A$1:$I$89,5,0)</f>
        <v>212.28480000000002</v>
      </c>
      <c r="FG201" s="14">
        <f t="shared" si="182"/>
        <v>52.434557099704193</v>
      </c>
      <c r="FH201" s="22">
        <f t="shared" si="183"/>
        <v>461.05288028198476</v>
      </c>
      <c r="FI201" s="62">
        <f t="shared" si="199"/>
        <v>754.38621361531807</v>
      </c>
      <c r="FJ201" s="62">
        <f ca="1">AVERAGE(OFFSET($FI$3,0,0,'Données projet'!$E$16+1,1))-AVERAGE(OFFSET($H$3,0,0,'Données projet'!$E$16+1,1))</f>
        <v>369.34989412920129</v>
      </c>
      <c r="FK201" s="62">
        <f t="shared" si="211"/>
        <v>371.26234252426553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0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>
        <f>FZ201*VLOOKUP('Données projet'!$B$17,Paramètres!$A$1:$I$89,3,0)*VLOOKUP('Données projet'!$B$17,Paramètres!$A$1:$I$89,5,0)</f>
        <v>0</v>
      </c>
      <c r="GB201" s="14" t="e">
        <f t="shared" si="185"/>
        <v>#NUM!</v>
      </c>
      <c r="GC201" s="22" t="e">
        <f t="shared" si="186"/>
        <v>#NUM!</v>
      </c>
      <c r="GD201" s="62" t="e">
        <f t="shared" si="200"/>
        <v>#NUM!</v>
      </c>
      <c r="GE201" s="62">
        <f ca="1">AVERAGE(OFFSET($GD$3,0,0,'Données projet'!$E$17+1,1))-AVERAGE(OFFSET($H$3,0,0,'Données projet'!$E$17+1,1))</f>
        <v>324.4489531703187</v>
      </c>
      <c r="GF201" s="62">
        <f t="shared" si="212"/>
        <v>446.55019360848706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projet'!$B$17,Paramètres!$A$1:$I$89,3,0)*0.475*44/12</f>
        <v>0</v>
      </c>
      <c r="GM201" s="23">
        <f>EXP(-LN(2)/25)*GM200+(1-EXP(-LN(2)/25))/(LN(2)/25)*Calculateur!GH201*Calculateur!GJ201*VLOOKUP('Données projet'!$B$17,Paramètres!$A$1:$I$89,3,0)*0.475*44/12</f>
        <v>0</v>
      </c>
      <c r="GN201" s="23">
        <f>EXP(-LN(2)/2)*GN200+(1-EXP(-LN(2)/2))/(LN(2)/2)*GH201*GK201*VLOOKUP('Données projet'!$B$17,Paramètres!$A$1:$I$89,3,0)*0.475*44/12</f>
        <v>0</v>
      </c>
      <c r="GO201" s="23">
        <f t="shared" si="187"/>
        <v>0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1.7053025658242404E-13</v>
      </c>
      <c r="GV201" s="18">
        <f>GU201*VLOOKUP('Données projet'!$B$18,Paramètres!$A$1:$I$89,3,0)*VLOOKUP('Données projet'!$B$18,Paramètres!$A$1:$I$89,5,0)</f>
        <v>1.1439169611549005E-13</v>
      </c>
      <c r="GW201" s="14">
        <f t="shared" si="188"/>
        <v>1.6918016515029816E-12</v>
      </c>
      <c r="GX201" s="22">
        <f t="shared" si="189"/>
        <v>3.1457867471021712E-12</v>
      </c>
      <c r="GY201" s="62">
        <f t="shared" si="201"/>
        <v>293.33333333333644</v>
      </c>
      <c r="GZ201" s="62">
        <f ca="1">AVERAGE(OFFSET($GY$3,0,0,'Données projet'!$E$18+1,1))-AVERAGE(OFFSET($H$3,0,0,'Données projet'!$E$18+1,1))</f>
        <v>312.06797204903796</v>
      </c>
      <c r="HA201" s="62">
        <f t="shared" si="213"/>
        <v>258.20189001775151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>
        <f>EXP(-LN(2)/35)*HG200+(1-EXP(-LN(2)/35))/(LN(2)/35)*HC201*HD201*VLOOKUP('Données projet'!$B$18,Paramètres!$A$1:$I$89,3,0)*0.475*44/12</f>
        <v>0</v>
      </c>
      <c r="HH201" s="23">
        <f>EXP(-LN(2)/25)*HH200+(1-EXP(-LN(2)/25))/(LN(2)/25)*Calculateur!HC201*Calculateur!HE201*VLOOKUP('Données projet'!$B$18,Paramètres!$A$1:$I$89,3,0)*0.475*44/12</f>
        <v>0</v>
      </c>
      <c r="HI201" s="23">
        <f>EXP(-LN(2)/2)*HI200+(1-EXP(-LN(2)/2))/(LN(2)/2)*HC201*HF201*VLOOKUP('Données projet'!$B$18,Paramètres!$A$1:$I$89,3,0)*0.475*44/12</f>
        <v>0</v>
      </c>
      <c r="HJ201" s="24">
        <f t="shared" si="190"/>
        <v>0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5.1431925385259088E-14</v>
      </c>
      <c r="P202" s="14">
        <f t="shared" si="203"/>
        <v>8.3482866290946129E-13</v>
      </c>
      <c r="Q202" s="22">
        <f t="shared" si="162"/>
        <v>1.5435705246133045E-12</v>
      </c>
      <c r="R202" s="62">
        <f t="shared" si="191"/>
        <v>293.33333333333485</v>
      </c>
      <c r="S202" s="62">
        <f ca="1">AVERAGE(OFFSET($R$3,0,0,'Données projet'!$E$9+1,1))-AVERAGE(OFFSET($H$3,0,0,'Données projet'!$E$9+1,1))</f>
        <v>512.84819850818667</v>
      </c>
      <c r="T202" s="62">
        <f t="shared" si="204"/>
        <v>332.61387922152159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-5.6843418860808015E-14</v>
      </c>
      <c r="AJ202" s="14">
        <f>AI202*VLOOKUP('Données projet'!$B$10,Paramètres!$A$1:$I$89,3,0)*VLOOKUP('Données projet'!$B$10,Paramètres!$A$1:$I$89,5,0)</f>
        <v>-4.1677594708744434E-14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344.45199703750711</v>
      </c>
      <c r="AO202" s="62">
        <f t="shared" si="205"/>
        <v>376.41441893222185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5.6843418860808015E-14</v>
      </c>
      <c r="BE202" s="14">
        <f>BD202*VLOOKUP('Données projet'!$B$11,Paramètres!$A$1:$I$89,3,0)*VLOOKUP('Données projet'!$B$11,Paramètres!$A$1:$I$89,5,0)</f>
        <v>5.7639226724859328E-14</v>
      </c>
      <c r="BF202" s="14">
        <f t="shared" si="167"/>
        <v>9.2325701996134334E-13</v>
      </c>
      <c r="BG202" s="22">
        <f t="shared" si="168"/>
        <v>1.708394296311803E-12</v>
      </c>
      <c r="BH202" s="62">
        <f t="shared" si="194"/>
        <v>293.33333333333502</v>
      </c>
      <c r="BI202" s="62">
        <f ca="1">AVERAGE(OFFSET($BH$3,0,0,'Données projet'!$E$11+1,1))-AVERAGE(OFFSET($H$3,0,0,'Données projet'!$E$11+1,1))</f>
        <v>569.39473185784823</v>
      </c>
      <c r="BJ202" s="62">
        <f t="shared" si="206"/>
        <v>367.42881145517066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2.2737367544323206E-13</v>
      </c>
      <c r="BZ202" s="14">
        <f>BY202*VLOOKUP('Données projet'!$B$12,Paramètres!$A$1:$I$89,3,0)*VLOOKUP('Données projet'!$B$12,Paramètres!$A$1:$I$89,5,0)</f>
        <v>1.9508661353029313E-13</v>
      </c>
      <c r="CA202" s="14">
        <f t="shared" si="170"/>
        <v>2.711421636700695E-12</v>
      </c>
      <c r="CB202" s="22">
        <f t="shared" si="171"/>
        <v>5.0621685358189711E-12</v>
      </c>
      <c r="CC202" s="62">
        <f t="shared" si="195"/>
        <v>293.33333333333837</v>
      </c>
      <c r="CD202" s="62">
        <f ca="1">AVERAGE(OFFSET($CC$3,0,0,'Données projet'!$E$12+1,1))-AVERAGE(OFFSET($H$3,0,0,'Données projet'!$E$12+1,1))</f>
        <v>554.06253050955502</v>
      </c>
      <c r="CE202" s="62">
        <f t="shared" si="207"/>
        <v>269.71949336355789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1.1368683772161603E-13</v>
      </c>
      <c r="CU202" s="18">
        <f>CT202*VLOOKUP('Données projet'!$B$13,Paramètres!$A$1:$I$89,3,0)*VLOOKUP('Données projet'!$B$13,Paramètres!$A$1:$I$89,5,0)</f>
        <v>8.8675733422860506E-14</v>
      </c>
      <c r="CV202" s="14">
        <f t="shared" si="173"/>
        <v>1.3509285393066301E-12</v>
      </c>
      <c r="CW202" s="22">
        <f t="shared" si="174"/>
        <v>2.5073107750038623E-12</v>
      </c>
      <c r="CX202" s="62">
        <f t="shared" si="196"/>
        <v>293.33333333333582</v>
      </c>
      <c r="CY202" s="62">
        <f ca="1">AVERAGE(OFFSET($CX$3,0,0,'Données projet'!$E$13+1,1))-AVERAGE(OFFSET($H$3,0,0,'Données projet'!$E$13+1,1))</f>
        <v>292.21364130214391</v>
      </c>
      <c r="CZ202" s="62">
        <f t="shared" si="208"/>
        <v>283.48738729114024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5.6843418860808015E-14</v>
      </c>
      <c r="DP202" s="18">
        <f>DO202*VLOOKUP('Données projet'!$B$14,Paramètres!$A$1:$I$89,3,0)*VLOOKUP('Données projet'!$B$14,Paramètres!$A$1:$I$89,5,0)</f>
        <v>5.4092197387944907E-14</v>
      </c>
      <c r="DQ202" s="14">
        <f t="shared" si="176"/>
        <v>8.7287050538073676E-13</v>
      </c>
      <c r="DR202" s="22">
        <f t="shared" si="177"/>
        <v>1.6144600406554537E-12</v>
      </c>
      <c r="DS202" s="62">
        <f t="shared" si="197"/>
        <v>293.33333333333491</v>
      </c>
      <c r="DT202" s="62">
        <f ca="1">AVERAGE(OFFSET($DS$3,0,0,'Données projet'!$E$14+1,1))-AVERAGE(OFFSET($H$3,0,0,'Données projet'!$E$14+1,1))</f>
        <v>427.47603885390191</v>
      </c>
      <c r="DU202" s="62">
        <f t="shared" si="209"/>
        <v>350.88664394632116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-9.6633812063373625E-13</v>
      </c>
      <c r="EK202" s="18">
        <f>EJ202*VLOOKUP('Données projet'!$B$15,Paramètres!$A$1:$I$89,3,0)*VLOOKUP('Données projet'!$B$15,Paramètres!$A$1:$I$89,5,0)</f>
        <v>-9.3464223027694966E-13</v>
      </c>
      <c r="EL202" s="14" t="e">
        <f t="shared" si="179"/>
        <v>#NUM!</v>
      </c>
      <c r="EM202" s="22" t="e">
        <f t="shared" si="180"/>
        <v>#NUM!</v>
      </c>
      <c r="EN202" s="62" t="e">
        <f t="shared" si="198"/>
        <v>#NUM!</v>
      </c>
      <c r="EO202" s="62">
        <f ca="1">AVERAGE(OFFSET($EN$3,0,0,'Données projet'!$E$15+1,1))-AVERAGE(OFFSET($H$3,0,0,'Données projet'!$E$15+1,1))</f>
        <v>455.50822833641354</v>
      </c>
      <c r="EP202" s="62">
        <f t="shared" si="210"/>
        <v>261.14722581688039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243</v>
      </c>
      <c r="FF202" s="18">
        <f>FE202*VLOOKUP('Données projet'!$B$16,Paramètres!$A$1:$I$89,3,0)*VLOOKUP('Données projet'!$B$16,Paramètres!$A$1:$I$89,5,0)</f>
        <v>212.28480000000002</v>
      </c>
      <c r="FG202" s="14">
        <f t="shared" si="182"/>
        <v>52.434557099704193</v>
      </c>
      <c r="FH202" s="22">
        <f t="shared" si="183"/>
        <v>461.05288028198476</v>
      </c>
      <c r="FI202" s="62">
        <f t="shared" si="199"/>
        <v>754.38621361531807</v>
      </c>
      <c r="FJ202" s="62">
        <f ca="1">AVERAGE(OFFSET($FI$3,0,0,'Données projet'!$E$16+1,1))-AVERAGE(OFFSET($H$3,0,0,'Données projet'!$E$16+1,1))</f>
        <v>369.34989412920129</v>
      </c>
      <c r="FK202" s="62">
        <f t="shared" si="211"/>
        <v>371.26234252426553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0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>
        <f>FZ202*VLOOKUP('Données projet'!$B$17,Paramètres!$A$1:$I$89,3,0)*VLOOKUP('Données projet'!$B$17,Paramètres!$A$1:$I$89,5,0)</f>
        <v>0</v>
      </c>
      <c r="GB202" s="14" t="e">
        <f t="shared" si="185"/>
        <v>#NUM!</v>
      </c>
      <c r="GC202" s="22" t="e">
        <f t="shared" si="186"/>
        <v>#NUM!</v>
      </c>
      <c r="GD202" s="62" t="e">
        <f t="shared" si="200"/>
        <v>#NUM!</v>
      </c>
      <c r="GE202" s="62">
        <f ca="1">AVERAGE(OFFSET($GD$3,0,0,'Données projet'!$E$17+1,1))-AVERAGE(OFFSET($H$3,0,0,'Données projet'!$E$17+1,1))</f>
        <v>324.4489531703187</v>
      </c>
      <c r="GF202" s="62">
        <f t="shared" si="212"/>
        <v>446.55019360848706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projet'!$B$17,Paramètres!$A$1:$I$89,3,0)*0.475*44/12</f>
        <v>0</v>
      </c>
      <c r="GM202" s="23">
        <f>EXP(-LN(2)/25)*GM201+(1-EXP(-LN(2)/25))/(LN(2)/25)*Calculateur!GH202*Calculateur!GJ202*VLOOKUP('Données projet'!$B$17,Paramètres!$A$1:$I$89,3,0)*0.475*44/12</f>
        <v>0</v>
      </c>
      <c r="GN202" s="23">
        <f>EXP(-LN(2)/2)*GN201+(1-EXP(-LN(2)/2))/(LN(2)/2)*GH202*GK202*VLOOKUP('Données projet'!$B$17,Paramètres!$A$1:$I$89,3,0)*0.475*44/12</f>
        <v>0</v>
      </c>
      <c r="GO202" s="23">
        <f t="shared" si="187"/>
        <v>0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1.7053025658242404E-13</v>
      </c>
      <c r="GV202" s="18">
        <f>GU202*VLOOKUP('Données projet'!$B$18,Paramètres!$A$1:$I$89,3,0)*VLOOKUP('Données projet'!$B$18,Paramètres!$A$1:$I$89,5,0)</f>
        <v>1.1439169611549005E-13</v>
      </c>
      <c r="GW202" s="14">
        <f t="shared" si="188"/>
        <v>1.6918016515029816E-12</v>
      </c>
      <c r="GX202" s="22">
        <f t="shared" si="189"/>
        <v>3.1457867471021712E-12</v>
      </c>
      <c r="GY202" s="62">
        <f t="shared" si="201"/>
        <v>293.33333333333644</v>
      </c>
      <c r="GZ202" s="62">
        <f ca="1">AVERAGE(OFFSET($GY$3,0,0,'Données projet'!$E$18+1,1))-AVERAGE(OFFSET($H$3,0,0,'Données projet'!$E$18+1,1))</f>
        <v>312.06797204903796</v>
      </c>
      <c r="HA202" s="62">
        <f t="shared" si="213"/>
        <v>258.20189001775151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>
        <f>EXP(-LN(2)/35)*HG201+(1-EXP(-LN(2)/35))/(LN(2)/35)*HC202*HD202*VLOOKUP('Données projet'!$B$18,Paramètres!$A$1:$I$89,3,0)*0.475*44/12</f>
        <v>0</v>
      </c>
      <c r="HH202" s="23">
        <f>EXP(-LN(2)/25)*HH201+(1-EXP(-LN(2)/25))/(LN(2)/25)*Calculateur!HC202*Calculateur!HE202*VLOOKUP('Données projet'!$B$18,Paramètres!$A$1:$I$89,3,0)*0.475*44/12</f>
        <v>0</v>
      </c>
      <c r="HI202" s="23">
        <f>EXP(-LN(2)/2)*HI201+(1-EXP(-LN(2)/2))/(LN(2)/2)*HC202*HF202*VLOOKUP('Données projet'!$B$18,Paramètres!$A$1:$I$89,3,0)*0.475*44/12</f>
        <v>0</v>
      </c>
      <c r="HJ202" s="24">
        <f t="shared" si="190"/>
        <v>0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5.1431925385259088E-14</v>
      </c>
      <c r="P203" s="14">
        <f t="shared" si="203"/>
        <v>8.3482866290946129E-13</v>
      </c>
      <c r="Q203" s="22">
        <f t="shared" si="162"/>
        <v>1.5435705246133045E-12</v>
      </c>
      <c r="R203" s="62">
        <f t="shared" si="191"/>
        <v>293.33333333333485</v>
      </c>
      <c r="S203" s="62">
        <f ca="1">AVERAGE(OFFSET($R$3,0,0,'Données projet'!$E$9+1,1))-AVERAGE(OFFSET($H$3,0,0,'Données projet'!$E$9+1,1))</f>
        <v>512.84819850818667</v>
      </c>
      <c r="T203" s="62">
        <f t="shared" si="204"/>
        <v>332.61387922152159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-5.6843418860808015E-14</v>
      </c>
      <c r="AJ203" s="14">
        <f>AI203*VLOOKUP('Données projet'!$B$10,Paramètres!$A$1:$I$89,3,0)*VLOOKUP('Données projet'!$B$10,Paramètres!$A$1:$I$89,5,0)</f>
        <v>-4.1677594708744434E-14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344.45199703750711</v>
      </c>
      <c r="AO203" s="62">
        <f t="shared" si="205"/>
        <v>376.41441893222185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5.6843418860808015E-14</v>
      </c>
      <c r="BE203" s="14">
        <f>BD203*VLOOKUP('Données projet'!$B$11,Paramètres!$A$1:$I$89,3,0)*VLOOKUP('Données projet'!$B$11,Paramètres!$A$1:$I$89,5,0)</f>
        <v>5.7639226724859328E-14</v>
      </c>
      <c r="BF203" s="14">
        <f t="shared" si="167"/>
        <v>9.2325701996134334E-13</v>
      </c>
      <c r="BG203" s="22">
        <f t="shared" si="168"/>
        <v>1.708394296311803E-12</v>
      </c>
      <c r="BH203" s="62">
        <f t="shared" si="194"/>
        <v>293.33333333333502</v>
      </c>
      <c r="BI203" s="62">
        <f ca="1">AVERAGE(OFFSET($BH$3,0,0,'Données projet'!$E$11+1,1))-AVERAGE(OFFSET($H$3,0,0,'Données projet'!$E$11+1,1))</f>
        <v>569.39473185784823</v>
      </c>
      <c r="BJ203" s="62">
        <f t="shared" si="206"/>
        <v>367.42881145517066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2.2737367544323206E-13</v>
      </c>
      <c r="BZ203" s="14">
        <f>BY203*VLOOKUP('Données projet'!$B$12,Paramètres!$A$1:$I$89,3,0)*VLOOKUP('Données projet'!$B$12,Paramètres!$A$1:$I$89,5,0)</f>
        <v>1.9508661353029313E-13</v>
      </c>
      <c r="CA203" s="14">
        <f t="shared" si="170"/>
        <v>2.711421636700695E-12</v>
      </c>
      <c r="CB203" s="22">
        <f t="shared" si="171"/>
        <v>5.0621685358189711E-12</v>
      </c>
      <c r="CC203" s="62">
        <f t="shared" si="195"/>
        <v>293.33333333333837</v>
      </c>
      <c r="CD203" s="62">
        <f ca="1">AVERAGE(OFFSET($CC$3,0,0,'Données projet'!$E$12+1,1))-AVERAGE(OFFSET($H$3,0,0,'Données projet'!$E$12+1,1))</f>
        <v>554.06253050955502</v>
      </c>
      <c r="CE203" s="62">
        <f t="shared" si="207"/>
        <v>269.71949336355789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1.1368683772161603E-13</v>
      </c>
      <c r="CU203" s="18">
        <f>CT203*VLOOKUP('Données projet'!$B$13,Paramètres!$A$1:$I$89,3,0)*VLOOKUP('Données projet'!$B$13,Paramètres!$A$1:$I$89,5,0)</f>
        <v>8.8675733422860506E-14</v>
      </c>
      <c r="CV203" s="14">
        <f t="shared" si="173"/>
        <v>1.3509285393066301E-12</v>
      </c>
      <c r="CW203" s="22">
        <f t="shared" si="174"/>
        <v>2.5073107750038623E-12</v>
      </c>
      <c r="CX203" s="62">
        <f t="shared" si="196"/>
        <v>293.33333333333582</v>
      </c>
      <c r="CY203" s="62">
        <f ca="1">AVERAGE(OFFSET($CX$3,0,0,'Données projet'!$E$13+1,1))-AVERAGE(OFFSET($H$3,0,0,'Données projet'!$E$13+1,1))</f>
        <v>292.21364130214391</v>
      </c>
      <c r="CZ203" s="62">
        <f t="shared" si="208"/>
        <v>283.48738729114024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5.6843418860808015E-14</v>
      </c>
      <c r="DP203" s="18">
        <f>DO203*VLOOKUP('Données projet'!$B$14,Paramètres!$A$1:$I$89,3,0)*VLOOKUP('Données projet'!$B$14,Paramètres!$A$1:$I$89,5,0)</f>
        <v>5.4092197387944907E-14</v>
      </c>
      <c r="DQ203" s="14">
        <f t="shared" si="176"/>
        <v>8.7287050538073676E-13</v>
      </c>
      <c r="DR203" s="22">
        <f t="shared" si="177"/>
        <v>1.6144600406554537E-12</v>
      </c>
      <c r="DS203" s="62">
        <f t="shared" si="197"/>
        <v>293.33333333333491</v>
      </c>
      <c r="DT203" s="62">
        <f ca="1">AVERAGE(OFFSET($DS$3,0,0,'Données projet'!$E$14+1,1))-AVERAGE(OFFSET($H$3,0,0,'Données projet'!$E$14+1,1))</f>
        <v>427.47603885390191</v>
      </c>
      <c r="DU203" s="62">
        <f t="shared" si="209"/>
        <v>350.88664394632116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-9.6633812063373625E-13</v>
      </c>
      <c r="EK203" s="18">
        <f>EJ203*VLOOKUP('Données projet'!$B$15,Paramètres!$A$1:$I$89,3,0)*VLOOKUP('Données projet'!$B$15,Paramètres!$A$1:$I$89,5,0)</f>
        <v>-9.3464223027694966E-13</v>
      </c>
      <c r="EL203" s="14" t="e">
        <f t="shared" si="179"/>
        <v>#NUM!</v>
      </c>
      <c r="EM203" s="22" t="e">
        <f t="shared" si="180"/>
        <v>#NUM!</v>
      </c>
      <c r="EN203" s="62" t="e">
        <f t="shared" si="198"/>
        <v>#NUM!</v>
      </c>
      <c r="EO203" s="62">
        <f ca="1">AVERAGE(OFFSET($EN$3,0,0,'Données projet'!$E$15+1,1))-AVERAGE(OFFSET($H$3,0,0,'Données projet'!$E$15+1,1))</f>
        <v>455.50822833641354</v>
      </c>
      <c r="EP203" s="62">
        <f t="shared" si="210"/>
        <v>261.14722581688039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243</v>
      </c>
      <c r="FF203" s="18">
        <f>FE203*VLOOKUP('Données projet'!$B$16,Paramètres!$A$1:$I$89,3,0)*VLOOKUP('Données projet'!$B$16,Paramètres!$A$1:$I$89,5,0)</f>
        <v>212.28480000000002</v>
      </c>
      <c r="FG203" s="14">
        <f t="shared" si="182"/>
        <v>52.434557099704193</v>
      </c>
      <c r="FH203" s="22">
        <f t="shared" si="183"/>
        <v>461.05288028198476</v>
      </c>
      <c r="FI203" s="62">
        <f t="shared" si="199"/>
        <v>754.38621361531807</v>
      </c>
      <c r="FJ203" s="62">
        <f ca="1">AVERAGE(OFFSET($FI$3,0,0,'Données projet'!$E$16+1,1))-AVERAGE(OFFSET($H$3,0,0,'Données projet'!$E$16+1,1))</f>
        <v>369.34989412920129</v>
      </c>
      <c r="FK203" s="62">
        <f t="shared" si="211"/>
        <v>371.26234252426553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0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>
        <f>FZ203*VLOOKUP('Données projet'!$B$17,Paramètres!$A$1:$I$89,3,0)*VLOOKUP('Données projet'!$B$17,Paramètres!$A$1:$I$89,5,0)</f>
        <v>0</v>
      </c>
      <c r="GB203" s="14" t="e">
        <f t="shared" si="185"/>
        <v>#NUM!</v>
      </c>
      <c r="GC203" s="22" t="e">
        <f t="shared" si="186"/>
        <v>#NUM!</v>
      </c>
      <c r="GD203" s="62" t="e">
        <f t="shared" si="200"/>
        <v>#NUM!</v>
      </c>
      <c r="GE203" s="62">
        <f ca="1">AVERAGE(OFFSET($GD$3,0,0,'Données projet'!$E$17+1,1))-AVERAGE(OFFSET($H$3,0,0,'Données projet'!$E$17+1,1))</f>
        <v>324.4489531703187</v>
      </c>
      <c r="GF203" s="62">
        <f t="shared" si="212"/>
        <v>446.55019360848706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projet'!$B$17,Paramètres!$A$1:$I$89,3,0)*0.475*44/12</f>
        <v>0</v>
      </c>
      <c r="GM203" s="23">
        <f>EXP(-LN(2)/25)*GM202+(1-EXP(-LN(2)/25))/(LN(2)/25)*Calculateur!GH203*Calculateur!GJ203*VLOOKUP('Données projet'!$B$17,Paramètres!$A$1:$I$89,3,0)*0.475*44/12</f>
        <v>0</v>
      </c>
      <c r="GN203" s="23">
        <f>EXP(-LN(2)/2)*GN202+(1-EXP(-LN(2)/2))/(LN(2)/2)*GH203*GK203*VLOOKUP('Données projet'!$B$17,Paramètres!$A$1:$I$89,3,0)*0.475*44/12</f>
        <v>0</v>
      </c>
      <c r="GO203" s="23">
        <f t="shared" si="187"/>
        <v>0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1.7053025658242404E-13</v>
      </c>
      <c r="GV203" s="18">
        <f>GU203*VLOOKUP('Données projet'!$B$18,Paramètres!$A$1:$I$89,3,0)*VLOOKUP('Données projet'!$B$18,Paramètres!$A$1:$I$89,5,0)</f>
        <v>1.1439169611549005E-13</v>
      </c>
      <c r="GW203" s="14">
        <f t="shared" si="188"/>
        <v>1.6918016515029816E-12</v>
      </c>
      <c r="GX203" s="22">
        <f t="shared" si="189"/>
        <v>3.1457867471021712E-12</v>
      </c>
      <c r="GY203" s="62">
        <f t="shared" si="201"/>
        <v>293.33333333333644</v>
      </c>
      <c r="GZ203" s="62">
        <f ca="1">AVERAGE(OFFSET($GY$3,0,0,'Données projet'!$E$18+1,1))-AVERAGE(OFFSET($H$3,0,0,'Données projet'!$E$18+1,1))</f>
        <v>312.06797204903796</v>
      </c>
      <c r="HA203" s="62">
        <f t="shared" si="213"/>
        <v>258.20189001775151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>
        <f>EXP(-LN(2)/35)*HG202+(1-EXP(-LN(2)/35))/(LN(2)/35)*HC203*HD203*VLOOKUP('Données projet'!$B$18,Paramètres!$A$1:$I$89,3,0)*0.475*44/12</f>
        <v>0</v>
      </c>
      <c r="HH203" s="23">
        <f>EXP(-LN(2)/25)*HH202+(1-EXP(-LN(2)/25))/(LN(2)/25)*Calculateur!HC203*Calculateur!HE203*VLOOKUP('Données projet'!$B$18,Paramètres!$A$1:$I$89,3,0)*0.475*44/12</f>
        <v>0</v>
      </c>
      <c r="HI203" s="23">
        <f>EXP(-LN(2)/2)*HI202+(1-EXP(-LN(2)/2))/(LN(2)/2)*HC203*HF203*VLOOKUP('Données projet'!$B$18,Paramètres!$A$1:$I$89,3,0)*0.475*44/12</f>
        <v>0</v>
      </c>
      <c r="HJ203" s="24">
        <f t="shared" si="190"/>
        <v>0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1.2392705892426346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1.2721323532877689</v>
      </c>
      <c r="BA205" s="88">
        <f>EXP(LN('Données projet'!B88)/'Données projet'!A88)</f>
        <v>1.2392705892426346</v>
      </c>
      <c r="BV205" s="88">
        <f>EXP(LN('Données projet'!B114)/'Données projet'!A114)</f>
        <v>1.189207115002721</v>
      </c>
      <c r="CQ205" s="88">
        <f>EXP(LN('Données projet'!B140)/'Données projet'!A140)</f>
        <v>1.2788040393997409</v>
      </c>
      <c r="DL205" s="88">
        <f>EXP(LN('Données projet'!B166)/'Données projet'!A166)</f>
        <v>1.3761503972240634</v>
      </c>
      <c r="EG205" s="88">
        <f>EXP(LN('Données projet'!B192)/'Données projet'!A192)</f>
        <v>1.2054868146447177</v>
      </c>
      <c r="FB205" s="88">
        <f>EXP(LN('Données projet'!B218)/'Données projet'!A218)</f>
        <v>1.4003603312913959</v>
      </c>
      <c r="FW205" s="88">
        <f>EXP(LN('Données projet'!B244)/'Données projet'!A244)</f>
        <v>1.9472943612303364</v>
      </c>
      <c r="GR205" s="88">
        <f>EXP(LN('Données projet'!B270)/'Données projet'!A270)</f>
        <v>1.2979700365523266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6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7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6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8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8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7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6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7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opLeftCell="E1" zoomScale="90" zoomScaleNormal="90" workbookViewId="0">
      <selection activeCell="C5" sqref="C5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7" t="s">
        <v>271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0"/>
      <c r="J3" s="230"/>
      <c r="K3" s="230"/>
      <c r="L3" s="230"/>
      <c r="M3" s="230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0"/>
      <c r="J4" s="230"/>
      <c r="K4" s="230"/>
      <c r="L4" s="230"/>
      <c r="M4" s="230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Chêne sessile</v>
      </c>
      <c r="B6" s="155">
        <f>'Données projet'!D9</f>
        <v>1.204</v>
      </c>
      <c r="C6" s="156">
        <f ca="1">IF(OR('Données projet'!B9="",'Données projet'!C9="",'Données projet'!C9=0%),0,Calculateur!S3)</f>
        <v>512.84819850818667</v>
      </c>
      <c r="D6" s="156">
        <f>IF(OR('Données projet'!B9="",'Données projet'!C9="",'Données projet'!C9=0%),0,Calculateur!T3)</f>
        <v>332.61387922152159</v>
      </c>
      <c r="E6" s="156">
        <f ca="1">MIN(C6,D6)</f>
        <v>332.61387922152159</v>
      </c>
      <c r="F6" s="156">
        <f ca="1">E6*B6</f>
        <v>400.467110582712</v>
      </c>
      <c r="G6" s="156">
        <f ca="1">F6*(100%-'Données projet'!$C$24)*(100%-'Données projet'!$C$25)*(100%-'Données projet'!$C$26)*(100%-'Données projet'!$C$27)</f>
        <v>360.42039952444082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18.661999999999999</v>
      </c>
      <c r="K6" s="160">
        <f>J6*(100%-'Données projet'!$C$24)*(100%-'Données projet'!$C$25)*(100%-'Données projet'!$C$26)*(100%-'Données projet'!$C$27)</f>
        <v>16.7958</v>
      </c>
      <c r="L6" s="161">
        <f ca="1">G6+I6+K6</f>
        <v>377.21619952444081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Châtaignier</v>
      </c>
      <c r="B7" s="163">
        <f>'Données projet'!D10</f>
        <v>0.30099999999999999</v>
      </c>
      <c r="C7" s="156">
        <f ca="1">IF(OR('Données projet'!B10="",'Données projet'!C10="",'Données projet'!C10=0%),0,Calculateur!AN3)</f>
        <v>344.45199703750711</v>
      </c>
      <c r="D7" s="156">
        <f>IF(OR('Données projet'!B10="",'Données projet'!C10="",'Données projet'!C10=0%),0,Calculateur!AO3)</f>
        <v>376.41441893222185</v>
      </c>
      <c r="E7" s="156">
        <f t="shared" ref="E7:E15" ca="1" si="0">MIN(C7,D7)</f>
        <v>344.45199703750711</v>
      </c>
      <c r="F7" s="156">
        <f t="shared" ref="F7:F15" ca="1" si="1">E7*B7</f>
        <v>103.68005110828963</v>
      </c>
      <c r="G7" s="156">
        <f ca="1">F7*(100%-'Données projet'!$C$24)*(100%-'Données projet'!$C$25)*(100%-'Données projet'!$C$26)*(100%-'Données projet'!$C$27)</f>
        <v>93.312045997460672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10.271625</v>
      </c>
      <c r="K7" s="160">
        <f>J7*(100%-'Données projet'!$C$24)*(100%-'Données projet'!$C$25)*(100%-'Données projet'!$C$26)*(100%-'Données projet'!$C$27)</f>
        <v>9.2444625000000009</v>
      </c>
      <c r="L7" s="161">
        <f t="shared" ref="L7:L15" ca="1" si="2">G7+I7+K7</f>
        <v>102.55650849746067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Chêne pubescent</v>
      </c>
      <c r="B8" s="163">
        <f>'Données projet'!D11</f>
        <v>0.30099999999999999</v>
      </c>
      <c r="C8" s="156">
        <f ca="1">IF(OR('Données projet'!B11="",'Données projet'!C11="",'Données projet'!C11=0%),0,Calculateur!BI3)</f>
        <v>569.39473185784823</v>
      </c>
      <c r="D8" s="156">
        <f>IF(OR('Données projet'!B11="",'Données projet'!C11="",'Données projet'!C11=0%),0,Calculateur!BJ3)</f>
        <v>367.42881145517066</v>
      </c>
      <c r="E8" s="156">
        <f t="shared" ca="1" si="0"/>
        <v>367.42881145517066</v>
      </c>
      <c r="F8" s="156">
        <f t="shared" ca="1" si="1"/>
        <v>110.59607224800637</v>
      </c>
      <c r="G8" s="156">
        <f ca="1">F8*(100%-'Données projet'!$C$24)*(100%-'Données projet'!$C$25)*(100%-'Données projet'!$C$26)*(100%-'Données projet'!$C$27)</f>
        <v>99.536465023205736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4.6654999999999998</v>
      </c>
      <c r="K8" s="160">
        <f>J8*(100%-'Données projet'!$C$24)*(100%-'Données projet'!$C$25)*(100%-'Données projet'!$C$26)*(100%-'Données projet'!$C$27)</f>
        <v>4.19895</v>
      </c>
      <c r="L8" s="161">
        <f t="shared" ca="1" si="2"/>
        <v>103.73541502320573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>Hêtre</v>
      </c>
      <c r="B9" s="163">
        <f>'Données projet'!D12</f>
        <v>0.15049999999999999</v>
      </c>
      <c r="C9" s="156">
        <f ca="1">IF(OR('Données projet'!B12="",'Données projet'!C12="",'Données projet'!C12=0%),0,Calculateur!CD3)</f>
        <v>554.06253050955502</v>
      </c>
      <c r="D9" s="156">
        <f>IF(OR('Données projet'!B12="",'Données projet'!C12="",'Données projet'!C12=0%),0,Calculateur!CE3)</f>
        <v>269.71949336355789</v>
      </c>
      <c r="E9" s="156">
        <f t="shared" ca="1" si="0"/>
        <v>269.71949336355789</v>
      </c>
      <c r="F9" s="156">
        <f t="shared" ca="1" si="1"/>
        <v>40.592783751215464</v>
      </c>
      <c r="G9" s="156">
        <f ca="1">F9*(100%-'Données projet'!$C$24)*(100%-'Données projet'!$C$25)*(100%-'Données projet'!$C$26)*(100%-'Données projet'!$C$27)</f>
        <v>36.53350537609392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1.316875</v>
      </c>
      <c r="K9" s="160">
        <f>J9*(100%-'Données projet'!$C$24)*(100%-'Données projet'!$C$25)*(100%-'Données projet'!$C$26)*(100%-'Données projet'!$C$27)</f>
        <v>1.1851875000000001</v>
      </c>
      <c r="L9" s="161">
        <f t="shared" ca="1" si="2"/>
        <v>37.718692876093918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>Merisier</v>
      </c>
      <c r="B10" s="163">
        <f>'Données projet'!D13</f>
        <v>0.15049999999999999</v>
      </c>
      <c r="C10" s="156">
        <f ca="1">IF(OR('Données projet'!B13="",'Données projet'!C13="",'Données projet'!C13=0%),0,Calculateur!CY3)</f>
        <v>292.21364130214391</v>
      </c>
      <c r="D10" s="156">
        <f>IF(OR('Données projet'!B13="",'Données projet'!C13="",'Données projet'!C13=0%),0,Calculateur!CZ3)</f>
        <v>283.48738729114024</v>
      </c>
      <c r="E10" s="156">
        <f t="shared" ca="1" si="0"/>
        <v>283.48738729114024</v>
      </c>
      <c r="F10" s="156">
        <f t="shared" ca="1" si="1"/>
        <v>42.664851787316607</v>
      </c>
      <c r="G10" s="156">
        <f ca="1">F10*(100%-'Données projet'!$C$24)*(100%-'Données projet'!$C$25)*(100%-'Données projet'!$C$26)*(100%-'Données projet'!$C$27)</f>
        <v>38.398366608584951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2.069375</v>
      </c>
      <c r="K10" s="160">
        <f>J10*(100%-'Données projet'!$C$24)*(100%-'Données projet'!$C$25)*(100%-'Données projet'!$C$26)*(100%-'Données projet'!$C$27)</f>
        <v>1.8624375</v>
      </c>
      <c r="L10" s="161">
        <f t="shared" ca="1" si="2"/>
        <v>40.260804108584949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>Charme</v>
      </c>
      <c r="B11" s="163">
        <f>'Données projet'!D14</f>
        <v>0.15049999999999999</v>
      </c>
      <c r="C11" s="156">
        <f ca="1">IF(OR('Données projet'!B14="",'Données projet'!C14="",'Données projet'!C14=0%),0,Calculateur!DT3)</f>
        <v>427.47603885390191</v>
      </c>
      <c r="D11" s="156">
        <f>IF(OR('Données projet'!B14="",'Données projet'!C14="",'Données projet'!C14=0%),0,Calculateur!DU3)</f>
        <v>350.88664394632116</v>
      </c>
      <c r="E11" s="156">
        <f t="shared" ca="1" si="0"/>
        <v>350.88664394632116</v>
      </c>
      <c r="F11" s="156">
        <f t="shared" ca="1" si="1"/>
        <v>52.808439913921333</v>
      </c>
      <c r="G11" s="156">
        <f ca="1">F11*(100%-'Données projet'!$C$24)*(100%-'Données projet'!$C$25)*(100%-'Données projet'!$C$26)*(100%-'Données projet'!$C$27)</f>
        <v>47.527595922529201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2.3636217948717948</v>
      </c>
      <c r="K11" s="160">
        <f>J11*(100%-'Données projet'!$C$24)*(100%-'Données projet'!$C$25)*(100%-'Données projet'!$C$26)*(100%-'Données projet'!$C$27)</f>
        <v>2.1272596153846153</v>
      </c>
      <c r="L11" s="161">
        <f t="shared" ca="1" si="2"/>
        <v>49.654855537913818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>Alisier torminal</v>
      </c>
      <c r="B12" s="163">
        <f>'Données projet'!D15</f>
        <v>0.30099999999999999</v>
      </c>
      <c r="C12" s="156">
        <f ca="1">IF(OR('Données projet'!B15="",'Données projet'!C15="",'Données projet'!C15=0%),0,Calculateur!EO3)</f>
        <v>455.50822833641354</v>
      </c>
      <c r="D12" s="156">
        <f>IF(OR('Données projet'!B15="",'Données projet'!C15="",'Données projet'!C15=0%),0,Calculateur!EP3)</f>
        <v>261.14722581688039</v>
      </c>
      <c r="E12" s="156">
        <f t="shared" ca="1" si="0"/>
        <v>261.14722581688039</v>
      </c>
      <c r="F12" s="156">
        <f t="shared" ca="1" si="1"/>
        <v>78.605314970880997</v>
      </c>
      <c r="G12" s="156">
        <f ca="1">F12*(100%-'Données projet'!$C$24)*(100%-'Données projet'!$C$25)*(100%-'Données projet'!$C$26)*(100%-'Données projet'!$C$27)</f>
        <v>70.744783473792893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2.1822499999999998</v>
      </c>
      <c r="K12" s="160">
        <f>J12*(100%-'Données projet'!$C$24)*(100%-'Données projet'!$C$25)*(100%-'Données projet'!$C$26)*(100%-'Données projet'!$C$27)</f>
        <v>1.9640249999999999</v>
      </c>
      <c r="L12" s="161">
        <f t="shared" ca="1" si="2"/>
        <v>72.708808473792899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>Chêne rouge d'Amérique</v>
      </c>
      <c r="B13" s="163">
        <f>'Données projet'!D16</f>
        <v>0.15049999999999999</v>
      </c>
      <c r="C13" s="156">
        <f ca="1">IF(OR('Données projet'!B16="",'Données projet'!C16="",'Données projet'!C16=0%),0,Calculateur!FJ3)</f>
        <v>369.34989412920129</v>
      </c>
      <c r="D13" s="156">
        <f>IF(OR('Données projet'!B16="",'Données projet'!C16="",'Données projet'!C16=0%),0,Calculateur!FK3)</f>
        <v>371.26234252426553</v>
      </c>
      <c r="E13" s="156">
        <f t="shared" ca="1" si="0"/>
        <v>369.34989412920129</v>
      </c>
      <c r="F13" s="156">
        <f t="shared" ca="1" si="1"/>
        <v>55.587159066444791</v>
      </c>
      <c r="G13" s="156">
        <f ca="1">F13*(100%-'Données projet'!$C$24)*(100%-'Données projet'!$C$25)*(100%-'Données projet'!$C$26)*(100%-'Données projet'!$C$27)</f>
        <v>50.028443159800311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4.0258750000000001</v>
      </c>
      <c r="K13" s="160">
        <f>J13*(100%-'Données projet'!$C$24)*(100%-'Données projet'!$C$25)*(100%-'Données projet'!$C$26)*(100%-'Données projet'!$C$27)</f>
        <v>3.6232875</v>
      </c>
      <c r="L13" s="161">
        <f t="shared" ca="1" si="2"/>
        <v>53.651730659800307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>Robinier faux-acacia</v>
      </c>
      <c r="B14" s="163">
        <f>'Données projet'!D17</f>
        <v>0.15049999999999999</v>
      </c>
      <c r="C14" s="156">
        <f ca="1">IF(OR('Données projet'!B17="",'Données projet'!C17="",'Données projet'!C17=0%),0,Calculateur!GE3)</f>
        <v>324.4489531703187</v>
      </c>
      <c r="D14" s="156">
        <f>IF(OR('Données projet'!B17="",'Données projet'!C17="",'Données projet'!C17=0%),0,Calculateur!GF3)</f>
        <v>446.55019360848706</v>
      </c>
      <c r="E14" s="156">
        <f t="shared" ca="1" si="0"/>
        <v>324.4489531703187</v>
      </c>
      <c r="F14" s="156">
        <f t="shared" ca="1" si="1"/>
        <v>48.829567452132963</v>
      </c>
      <c r="G14" s="156">
        <f ca="1">F14*(100%-'Données projet'!$C$24)*(100%-'Données projet'!$C$25)*(100%-'Données projet'!$C$26)*(100%-'Données projet'!$C$27)</f>
        <v>43.946610706919671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2.8594999999999997</v>
      </c>
      <c r="K14" s="160">
        <f>J14*(100%-'Données projet'!$C$24)*(100%-'Données projet'!$C$25)*(100%-'Données projet'!$C$26)*(100%-'Données projet'!$C$27)</f>
        <v>2.57355</v>
      </c>
      <c r="L14" s="161">
        <f t="shared" ca="1" si="2"/>
        <v>46.520160706919668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>Tilleul</v>
      </c>
      <c r="B15" s="166">
        <f>'Données projet'!D18</f>
        <v>0.15049999999999999</v>
      </c>
      <c r="C15" s="167">
        <f ca="1">IF(OR('Données projet'!B18="",'Données projet'!C18="",'Données projet'!C18=0%),0,Calculateur!GZ3)</f>
        <v>312.06797204903796</v>
      </c>
      <c r="D15" s="167">
        <f>IF(OR('Données projet'!B18="",'Données projet'!C18="",'Données projet'!C18=0%),0,Calculateur!HA3)</f>
        <v>258.20189001775151</v>
      </c>
      <c r="E15" s="167">
        <f t="shared" ca="1" si="0"/>
        <v>258.20189001775151</v>
      </c>
      <c r="F15" s="168">
        <f t="shared" ca="1" si="1"/>
        <v>38.859384447671601</v>
      </c>
      <c r="G15" s="168">
        <f ca="1">F15*(100%-'Données projet'!$C$24)*(100%-'Données projet'!$C$25)*(100%-'Données projet'!$C$26)*(100%-'Données projet'!$C$27)</f>
        <v>34.973446002904446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2.146554487179487</v>
      </c>
      <c r="K15" s="172">
        <f>J15*(100%-'Données projet'!$C$24)*(100%-'Données projet'!$C$25)*(100%-'Données projet'!$C$26)*(100%-'Données projet'!$C$27)</f>
        <v>1.9318990384615384</v>
      </c>
      <c r="L15" s="173">
        <f t="shared" ca="1" si="2"/>
        <v>36.905345041365983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5"/>
      <c r="B16" s="232"/>
      <c r="C16" s="233"/>
      <c r="D16" s="25"/>
      <c r="E16" s="25"/>
      <c r="F16" s="174">
        <f t="shared" ref="F16:L16" ca="1" si="3">SUM(F6:F15)</f>
        <v>972.69073532859181</v>
      </c>
      <c r="G16" s="175">
        <f t="shared" ca="1" si="3"/>
        <v>875.42166179573269</v>
      </c>
      <c r="H16" s="176">
        <f t="shared" si="3"/>
        <v>0</v>
      </c>
      <c r="I16" s="176">
        <f t="shared" si="3"/>
        <v>0</v>
      </c>
      <c r="J16" s="177">
        <f t="shared" si="3"/>
        <v>50.563176282051288</v>
      </c>
      <c r="K16" s="177">
        <f t="shared" si="3"/>
        <v>45.506858653846152</v>
      </c>
      <c r="L16" s="178">
        <f t="shared" ca="1" si="3"/>
        <v>920.92852044957874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5"/>
      <c r="B17" s="232"/>
      <c r="C17" s="233"/>
      <c r="D17" s="230"/>
      <c r="E17" s="230"/>
      <c r="F17" s="319" t="s">
        <v>246</v>
      </c>
      <c r="G17" s="320"/>
      <c r="H17" s="320"/>
      <c r="I17" s="320"/>
      <c r="J17" s="320"/>
      <c r="K17" s="320"/>
      <c r="L17" s="32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5"/>
      <c r="B18" s="232"/>
      <c r="C18" s="233"/>
      <c r="D18" s="230"/>
      <c r="E18" s="230"/>
      <c r="F18" s="321"/>
      <c r="G18" s="321"/>
      <c r="H18" s="321"/>
      <c r="I18" s="321"/>
      <c r="J18" s="321"/>
      <c r="K18" s="321"/>
      <c r="L18" s="32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0"/>
      <c r="J19" s="230"/>
      <c r="K19" s="230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0"/>
      <c r="J20" s="230"/>
      <c r="K20" s="230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0"/>
      <c r="J21" s="230"/>
      <c r="K21" s="230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0"/>
      <c r="J22" s="230"/>
      <c r="K22" s="230"/>
      <c r="L22" s="230"/>
      <c r="M22" s="230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0"/>
      <c r="J23" s="230"/>
      <c r="K23" s="230"/>
      <c r="L23" s="230"/>
      <c r="M23" s="230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0"/>
      <c r="J24" s="230"/>
      <c r="K24" s="230"/>
      <c r="L24" s="230"/>
      <c r="M24" s="230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0"/>
      <c r="J25" s="230"/>
      <c r="K25" s="230"/>
      <c r="L25" s="230"/>
      <c r="M25" s="230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0"/>
      <c r="J26" s="230"/>
      <c r="K26" s="230"/>
      <c r="L26" s="230"/>
      <c r="M26" s="230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0"/>
      <c r="J27" s="230"/>
      <c r="K27" s="230"/>
      <c r="L27" s="230"/>
      <c r="M27" s="230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0"/>
      <c r="J28" s="230"/>
      <c r="K28" s="230"/>
      <c r="L28" s="230"/>
      <c r="M28" s="230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0"/>
      <c r="J29" s="230"/>
      <c r="K29" s="230"/>
      <c r="L29" s="230"/>
      <c r="M29" s="230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0"/>
      <c r="J30" s="230"/>
      <c r="K30" s="230"/>
      <c r="L30" s="230"/>
      <c r="M30" s="230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0"/>
      <c r="J31" s="230"/>
      <c r="K31" s="230"/>
      <c r="L31" s="230"/>
      <c r="M31" s="230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0"/>
      <c r="J32" s="230"/>
      <c r="K32" s="230"/>
      <c r="L32" s="230"/>
      <c r="M32" s="230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0"/>
      <c r="J33" s="230"/>
      <c r="K33" s="230"/>
      <c r="L33" s="230"/>
      <c r="M33" s="230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0"/>
      <c r="J34" s="230"/>
      <c r="K34" s="230"/>
      <c r="L34" s="230"/>
      <c r="M34" s="230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0"/>
      <c r="J35" s="230"/>
      <c r="K35" s="230"/>
      <c r="L35" s="230"/>
      <c r="M35" s="230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0"/>
      <c r="J36" s="230"/>
      <c r="K36" s="230"/>
      <c r="L36" s="230"/>
      <c r="M36" s="230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0"/>
      <c r="J37" s="230"/>
      <c r="K37" s="230"/>
      <c r="L37" s="230"/>
      <c r="M37" s="230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0"/>
      <c r="J38" s="230"/>
      <c r="K38" s="230"/>
      <c r="L38" s="230"/>
      <c r="M38" s="230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Châtaignier</v>
      </c>
      <c r="B39" s="5"/>
      <c r="C39" s="5"/>
      <c r="D39" s="5"/>
      <c r="E39" s="5"/>
      <c r="F39" s="5"/>
      <c r="G39" s="5"/>
      <c r="H39" s="5"/>
      <c r="I39" s="230"/>
      <c r="J39" s="230"/>
      <c r="K39" s="230"/>
      <c r="L39" s="230"/>
      <c r="M39" s="230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0"/>
      <c r="J40" s="230"/>
      <c r="K40" s="230"/>
      <c r="L40" s="230"/>
      <c r="M40" s="230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0"/>
      <c r="J41" s="230"/>
      <c r="K41" s="230"/>
      <c r="L41" s="230"/>
      <c r="M41" s="230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0"/>
      <c r="J42" s="230"/>
      <c r="K42" s="230"/>
      <c r="L42" s="230"/>
      <c r="M42" s="230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0"/>
      <c r="J43" s="230"/>
      <c r="K43" s="230"/>
      <c r="L43" s="230"/>
      <c r="M43" s="230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0"/>
      <c r="J44" s="230"/>
      <c r="K44" s="230"/>
      <c r="L44" s="230"/>
      <c r="M44" s="230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0"/>
      <c r="J45" s="230"/>
      <c r="K45" s="230"/>
      <c r="L45" s="230"/>
      <c r="M45" s="230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0"/>
      <c r="J46" s="230"/>
      <c r="K46" s="230"/>
      <c r="L46" s="230"/>
      <c r="M46" s="230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0"/>
      <c r="J47" s="230"/>
      <c r="K47" s="230"/>
      <c r="L47" s="230"/>
      <c r="M47" s="230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0"/>
      <c r="J48" s="230"/>
      <c r="K48" s="230"/>
      <c r="L48" s="230"/>
      <c r="M48" s="230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0"/>
      <c r="J49" s="230"/>
      <c r="K49" s="230"/>
      <c r="L49" s="230"/>
      <c r="M49" s="230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0"/>
      <c r="J50" s="230"/>
      <c r="K50" s="230"/>
      <c r="L50" s="230"/>
      <c r="M50" s="230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0"/>
      <c r="J51" s="230"/>
      <c r="K51" s="230"/>
      <c r="L51" s="230"/>
      <c r="M51" s="230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0"/>
      <c r="J52" s="230"/>
      <c r="K52" s="230"/>
      <c r="L52" s="230"/>
      <c r="M52" s="230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0"/>
      <c r="J53" s="230"/>
      <c r="K53" s="230"/>
      <c r="L53" s="230"/>
      <c r="M53" s="230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0"/>
      <c r="J54" s="230"/>
      <c r="K54" s="230"/>
      <c r="L54" s="230"/>
      <c r="M54" s="230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0"/>
      <c r="J55" s="230"/>
      <c r="K55" s="230"/>
      <c r="L55" s="230"/>
      <c r="M55" s="230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0"/>
      <c r="J56" s="230"/>
      <c r="K56" s="230"/>
      <c r="L56" s="230"/>
      <c r="M56" s="230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Chêne pubescent</v>
      </c>
      <c r="B57" s="5"/>
      <c r="C57" s="5"/>
      <c r="D57" s="5"/>
      <c r="E57" s="5"/>
      <c r="F57" s="5"/>
      <c r="G57" s="5"/>
      <c r="H57" s="5"/>
      <c r="I57" s="230"/>
      <c r="J57" s="230"/>
      <c r="K57" s="230"/>
      <c r="L57" s="230"/>
      <c r="M57" s="230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0"/>
      <c r="J58" s="230"/>
      <c r="K58" s="230"/>
      <c r="L58" s="230"/>
      <c r="M58" s="230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0"/>
      <c r="J59" s="230"/>
      <c r="K59" s="230"/>
      <c r="L59" s="230"/>
      <c r="M59" s="230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0"/>
      <c r="J60" s="230"/>
      <c r="K60" s="230"/>
      <c r="L60" s="230"/>
      <c r="M60" s="230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0"/>
      <c r="J61" s="230"/>
      <c r="K61" s="230"/>
      <c r="L61" s="230"/>
      <c r="M61" s="230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0"/>
      <c r="J62" s="230"/>
      <c r="K62" s="230"/>
      <c r="L62" s="230"/>
      <c r="M62" s="230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0"/>
      <c r="J63" s="230"/>
      <c r="K63" s="230"/>
      <c r="L63" s="230"/>
      <c r="M63" s="230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0"/>
      <c r="J64" s="230"/>
      <c r="K64" s="230"/>
      <c r="L64" s="230"/>
      <c r="M64" s="230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0"/>
      <c r="J65" s="230"/>
      <c r="K65" s="230"/>
      <c r="L65" s="230"/>
      <c r="M65" s="230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0"/>
      <c r="J66" s="230"/>
      <c r="K66" s="230"/>
      <c r="L66" s="230"/>
      <c r="M66" s="230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0"/>
      <c r="J67" s="230"/>
      <c r="K67" s="230"/>
      <c r="L67" s="230"/>
      <c r="M67" s="230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0"/>
      <c r="J68" s="230"/>
      <c r="K68" s="230"/>
      <c r="L68" s="230"/>
      <c r="M68" s="230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0"/>
      <c r="J69" s="230"/>
      <c r="K69" s="230"/>
      <c r="L69" s="230"/>
      <c r="M69" s="230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0"/>
      <c r="J70" s="230"/>
      <c r="K70" s="230"/>
      <c r="L70" s="230"/>
      <c r="M70" s="230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0"/>
      <c r="J71" s="230"/>
      <c r="K71" s="230"/>
      <c r="L71" s="230"/>
      <c r="M71" s="230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0"/>
      <c r="J72" s="230"/>
      <c r="K72" s="230"/>
      <c r="L72" s="230"/>
      <c r="M72" s="230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0"/>
      <c r="J73" s="230"/>
      <c r="K73" s="230"/>
      <c r="L73" s="230"/>
      <c r="M73" s="230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0"/>
      <c r="J74" s="230"/>
      <c r="K74" s="230"/>
      <c r="L74" s="230"/>
      <c r="M74" s="230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0"/>
      <c r="J75" s="230"/>
      <c r="K75" s="230"/>
      <c r="L75" s="230"/>
      <c r="M75" s="230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>Hêtre</v>
      </c>
      <c r="B76" s="5"/>
      <c r="C76" s="5"/>
      <c r="D76" s="5"/>
      <c r="E76" s="5"/>
      <c r="F76" s="5"/>
      <c r="G76" s="5"/>
      <c r="H76" s="5"/>
      <c r="I76" s="230"/>
      <c r="J76" s="230"/>
      <c r="K76" s="230"/>
      <c r="L76" s="230"/>
      <c r="M76" s="230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0"/>
      <c r="J77" s="230"/>
      <c r="K77" s="230"/>
      <c r="L77" s="230"/>
      <c r="M77" s="230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0"/>
      <c r="J78" s="230"/>
      <c r="K78" s="230"/>
      <c r="L78" s="230"/>
      <c r="M78" s="230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0"/>
      <c r="J79" s="230"/>
      <c r="K79" s="230"/>
      <c r="L79" s="230"/>
      <c r="M79" s="230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0"/>
      <c r="J80" s="230"/>
      <c r="K80" s="230"/>
      <c r="L80" s="230"/>
      <c r="M80" s="230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0"/>
      <c r="J81" s="230"/>
      <c r="K81" s="230"/>
      <c r="L81" s="230"/>
      <c r="M81" s="230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0"/>
      <c r="J82" s="230"/>
      <c r="K82" s="230"/>
      <c r="L82" s="230"/>
      <c r="M82" s="230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0"/>
      <c r="J83" s="230"/>
      <c r="K83" s="230"/>
      <c r="L83" s="230"/>
      <c r="M83" s="230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0"/>
      <c r="J84" s="230"/>
      <c r="K84" s="230"/>
      <c r="L84" s="230"/>
      <c r="M84" s="230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0"/>
      <c r="J85" s="230"/>
      <c r="K85" s="230"/>
      <c r="L85" s="230"/>
      <c r="M85" s="230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0"/>
      <c r="J86" s="230"/>
      <c r="K86" s="230"/>
      <c r="L86" s="230"/>
      <c r="M86" s="230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0"/>
      <c r="J87" s="230"/>
      <c r="K87" s="230"/>
      <c r="L87" s="230"/>
      <c r="M87" s="230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0"/>
      <c r="J88" s="230"/>
      <c r="K88" s="230"/>
      <c r="L88" s="230"/>
      <c r="M88" s="230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0"/>
      <c r="J89" s="230"/>
      <c r="K89" s="230"/>
      <c r="L89" s="230"/>
      <c r="M89" s="230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0"/>
      <c r="J90" s="230"/>
      <c r="K90" s="230"/>
      <c r="L90" s="230"/>
      <c r="M90" s="230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0"/>
      <c r="J91" s="230"/>
      <c r="K91" s="230"/>
      <c r="L91" s="230"/>
      <c r="M91" s="230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0"/>
      <c r="J92" s="230"/>
      <c r="K92" s="230"/>
      <c r="L92" s="230"/>
      <c r="M92" s="230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0"/>
      <c r="J93" s="230"/>
      <c r="K93" s="230"/>
      <c r="L93" s="230"/>
      <c r="M93" s="230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>Merisier</v>
      </c>
      <c r="B94" s="5"/>
      <c r="C94" s="5"/>
      <c r="D94" s="5"/>
      <c r="E94" s="5"/>
      <c r="F94" s="5"/>
      <c r="G94" s="5"/>
      <c r="H94" s="5"/>
      <c r="I94" s="230"/>
      <c r="J94" s="230"/>
      <c r="K94" s="230"/>
      <c r="L94" s="230"/>
      <c r="M94" s="230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0"/>
      <c r="J95" s="230"/>
      <c r="K95" s="230"/>
      <c r="L95" s="230"/>
      <c r="M95" s="230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0"/>
      <c r="J96" s="230"/>
      <c r="K96" s="230"/>
      <c r="L96" s="230"/>
      <c r="M96" s="230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0"/>
      <c r="J97" s="230"/>
      <c r="K97" s="230"/>
      <c r="L97" s="230"/>
      <c r="M97" s="230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0"/>
      <c r="J98" s="230"/>
      <c r="K98" s="230"/>
      <c r="L98" s="230"/>
      <c r="M98" s="230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0"/>
      <c r="J99" s="230"/>
      <c r="K99" s="230"/>
      <c r="L99" s="230"/>
      <c r="M99" s="230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0"/>
      <c r="J100" s="230"/>
      <c r="K100" s="230"/>
      <c r="L100" s="230"/>
      <c r="M100" s="230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0"/>
      <c r="J101" s="230"/>
      <c r="K101" s="230"/>
      <c r="L101" s="230"/>
      <c r="M101" s="230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0"/>
      <c r="J102" s="230"/>
      <c r="K102" s="230"/>
      <c r="L102" s="230"/>
      <c r="M102" s="230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0"/>
      <c r="J103" s="230"/>
      <c r="K103" s="230"/>
      <c r="L103" s="230"/>
      <c r="M103" s="230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0"/>
      <c r="J104" s="230"/>
      <c r="K104" s="230"/>
      <c r="L104" s="230"/>
      <c r="M104" s="230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0"/>
      <c r="J105" s="230"/>
      <c r="K105" s="230"/>
      <c r="L105" s="230"/>
      <c r="M105" s="230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0"/>
      <c r="J106" s="230"/>
      <c r="K106" s="230"/>
      <c r="L106" s="230"/>
      <c r="M106" s="230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0"/>
      <c r="J107" s="230"/>
      <c r="K107" s="230"/>
      <c r="L107" s="230"/>
      <c r="M107" s="230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0"/>
      <c r="J108" s="230"/>
      <c r="K108" s="230"/>
      <c r="L108" s="230"/>
      <c r="M108" s="230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0"/>
      <c r="J109" s="230"/>
      <c r="K109" s="230"/>
      <c r="L109" s="230"/>
      <c r="M109" s="230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0"/>
      <c r="J110" s="230"/>
      <c r="K110" s="230"/>
      <c r="L110" s="230"/>
      <c r="M110" s="230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0"/>
      <c r="J111" s="230"/>
      <c r="K111" s="230"/>
      <c r="L111" s="230"/>
      <c r="M111" s="230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>Charme</v>
      </c>
      <c r="B112" s="5"/>
      <c r="C112" s="5"/>
      <c r="D112" s="5"/>
      <c r="E112" s="5"/>
      <c r="F112" s="5"/>
      <c r="G112" s="5"/>
      <c r="H112" s="5"/>
      <c r="I112" s="230"/>
      <c r="J112" s="230"/>
      <c r="K112" s="230"/>
      <c r="L112" s="230"/>
      <c r="M112" s="230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0"/>
      <c r="J113" s="230"/>
      <c r="K113" s="230"/>
      <c r="L113" s="230"/>
      <c r="M113" s="230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0"/>
      <c r="J114" s="230"/>
      <c r="K114" s="230"/>
      <c r="L114" s="230"/>
      <c r="M114" s="230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0"/>
      <c r="J115" s="230"/>
      <c r="K115" s="230"/>
      <c r="L115" s="230"/>
      <c r="M115" s="230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0"/>
      <c r="J116" s="230"/>
      <c r="K116" s="230"/>
      <c r="L116" s="230"/>
      <c r="M116" s="230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0"/>
      <c r="J117" s="230"/>
      <c r="K117" s="230"/>
      <c r="L117" s="230"/>
      <c r="M117" s="230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0"/>
      <c r="J118" s="230"/>
      <c r="K118" s="230"/>
      <c r="L118" s="230"/>
      <c r="M118" s="230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0"/>
      <c r="J119" s="230"/>
      <c r="K119" s="230"/>
      <c r="L119" s="230"/>
      <c r="M119" s="230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0"/>
      <c r="J120" s="230"/>
      <c r="K120" s="230"/>
      <c r="L120" s="230"/>
      <c r="M120" s="230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0"/>
      <c r="J121" s="230"/>
      <c r="K121" s="230"/>
      <c r="L121" s="230"/>
      <c r="M121" s="230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0"/>
      <c r="J122" s="230"/>
      <c r="K122" s="230"/>
      <c r="L122" s="230"/>
      <c r="M122" s="230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0"/>
      <c r="J123" s="230"/>
      <c r="K123" s="230"/>
      <c r="L123" s="230"/>
      <c r="M123" s="230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0"/>
      <c r="J124" s="230"/>
      <c r="K124" s="230"/>
      <c r="L124" s="230"/>
      <c r="M124" s="230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0"/>
      <c r="J125" s="230"/>
      <c r="K125" s="230"/>
      <c r="L125" s="230"/>
      <c r="M125" s="230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0"/>
      <c r="J126" s="230"/>
      <c r="K126" s="230"/>
      <c r="L126" s="230"/>
      <c r="M126" s="230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0"/>
      <c r="J127" s="230"/>
      <c r="K127" s="230"/>
      <c r="L127" s="230"/>
      <c r="M127" s="230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0"/>
      <c r="J128" s="230"/>
      <c r="K128" s="230"/>
      <c r="L128" s="230"/>
      <c r="M128" s="230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0"/>
      <c r="J129" s="230"/>
      <c r="K129" s="230"/>
      <c r="L129" s="230"/>
      <c r="M129" s="230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>Alisier torminal</v>
      </c>
      <c r="B130" s="5"/>
      <c r="C130" s="5"/>
      <c r="D130" s="5"/>
      <c r="E130" s="5"/>
      <c r="F130" s="5"/>
      <c r="G130" s="5"/>
      <c r="H130" s="5"/>
      <c r="I130" s="230"/>
      <c r="J130" s="230"/>
      <c r="K130" s="230"/>
      <c r="L130" s="230"/>
      <c r="M130" s="230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0"/>
      <c r="J131" s="230"/>
      <c r="K131" s="230"/>
      <c r="L131" s="230"/>
      <c r="M131" s="230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0"/>
      <c r="J132" s="230"/>
      <c r="K132" s="230"/>
      <c r="L132" s="230"/>
      <c r="M132" s="230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0"/>
      <c r="J133" s="230"/>
      <c r="K133" s="230"/>
      <c r="L133" s="230"/>
      <c r="M133" s="230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0"/>
      <c r="J134" s="230"/>
      <c r="K134" s="230"/>
      <c r="L134" s="230"/>
      <c r="M134" s="230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0"/>
      <c r="J135" s="230"/>
      <c r="K135" s="230"/>
      <c r="L135" s="230"/>
      <c r="M135" s="230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0"/>
      <c r="J136" s="230"/>
      <c r="K136" s="230"/>
      <c r="L136" s="230"/>
      <c r="M136" s="230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0"/>
      <c r="J137" s="230"/>
      <c r="K137" s="230"/>
      <c r="L137" s="230"/>
      <c r="M137" s="230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0"/>
      <c r="J138" s="230"/>
      <c r="K138" s="230"/>
      <c r="L138" s="230"/>
      <c r="M138" s="230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0"/>
      <c r="J139" s="230"/>
      <c r="K139" s="230"/>
      <c r="L139" s="230"/>
      <c r="M139" s="230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0"/>
      <c r="J140" s="230"/>
      <c r="K140" s="230"/>
      <c r="L140" s="230"/>
      <c r="M140" s="230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0"/>
      <c r="J141" s="230"/>
      <c r="K141" s="230"/>
      <c r="L141" s="230"/>
      <c r="M141" s="230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0"/>
      <c r="J142" s="230"/>
      <c r="K142" s="230"/>
      <c r="L142" s="230"/>
      <c r="M142" s="230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0"/>
      <c r="J143" s="230"/>
      <c r="K143" s="230"/>
      <c r="L143" s="230"/>
      <c r="M143" s="230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0"/>
      <c r="J144" s="230"/>
      <c r="K144" s="230"/>
      <c r="L144" s="230"/>
      <c r="M144" s="230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0"/>
      <c r="J145" s="230"/>
      <c r="K145" s="230"/>
      <c r="L145" s="230"/>
      <c r="M145" s="230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0"/>
      <c r="J146" s="230"/>
      <c r="K146" s="230"/>
      <c r="L146" s="230"/>
      <c r="M146" s="230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0"/>
      <c r="J147" s="230"/>
      <c r="K147" s="230"/>
      <c r="L147" s="230"/>
      <c r="M147" s="230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>Chêne rouge d'Amérique</v>
      </c>
      <c r="B148" s="5"/>
      <c r="C148" s="5"/>
      <c r="D148" s="5"/>
      <c r="E148" s="5"/>
      <c r="F148" s="5"/>
      <c r="G148" s="5"/>
      <c r="H148" s="5"/>
      <c r="I148" s="230"/>
      <c r="J148" s="230"/>
      <c r="K148" s="230"/>
      <c r="L148" s="230"/>
      <c r="M148" s="230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0"/>
      <c r="J149" s="230"/>
      <c r="K149" s="230"/>
      <c r="L149" s="230"/>
      <c r="M149" s="230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0"/>
      <c r="J150" s="230"/>
      <c r="K150" s="230"/>
      <c r="L150" s="230"/>
      <c r="M150" s="230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0"/>
      <c r="J151" s="230"/>
      <c r="K151" s="230"/>
      <c r="L151" s="230"/>
      <c r="M151" s="230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0"/>
      <c r="J152" s="230"/>
      <c r="K152" s="230"/>
      <c r="L152" s="230"/>
      <c r="M152" s="230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0"/>
      <c r="J153" s="230"/>
      <c r="K153" s="230"/>
      <c r="L153" s="230"/>
      <c r="M153" s="230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0"/>
      <c r="J154" s="230"/>
      <c r="K154" s="230"/>
      <c r="L154" s="230"/>
      <c r="M154" s="230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0"/>
      <c r="J155" s="230"/>
      <c r="K155" s="230"/>
      <c r="L155" s="230"/>
      <c r="M155" s="230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0"/>
      <c r="J156" s="230"/>
      <c r="K156" s="230"/>
      <c r="L156" s="230"/>
      <c r="M156" s="230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0"/>
      <c r="J157" s="230"/>
      <c r="K157" s="230"/>
      <c r="L157" s="230"/>
      <c r="M157" s="230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0"/>
      <c r="J158" s="230"/>
      <c r="K158" s="230"/>
      <c r="L158" s="230"/>
      <c r="M158" s="230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0"/>
      <c r="J159" s="230"/>
      <c r="K159" s="230"/>
      <c r="L159" s="230"/>
      <c r="M159" s="230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0"/>
      <c r="J160" s="230"/>
      <c r="K160" s="230"/>
      <c r="L160" s="230"/>
      <c r="M160" s="230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0"/>
      <c r="J161" s="230"/>
      <c r="K161" s="230"/>
      <c r="L161" s="230"/>
      <c r="M161" s="230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0"/>
      <c r="J162" s="230"/>
      <c r="K162" s="230"/>
      <c r="L162" s="230"/>
      <c r="M162" s="230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0"/>
      <c r="J163" s="230"/>
      <c r="K163" s="230"/>
      <c r="L163" s="230"/>
      <c r="M163" s="230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0"/>
      <c r="J164" s="230"/>
      <c r="K164" s="230"/>
      <c r="L164" s="230"/>
      <c r="M164" s="230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0"/>
      <c r="J165" s="230"/>
      <c r="K165" s="230"/>
      <c r="L165" s="230"/>
      <c r="M165" s="230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>Robinier faux-acacia</v>
      </c>
      <c r="B166" s="5"/>
      <c r="C166" s="5"/>
      <c r="D166" s="5"/>
      <c r="E166" s="5"/>
      <c r="F166" s="5"/>
      <c r="G166" s="5"/>
      <c r="H166" s="5"/>
      <c r="I166" s="230"/>
      <c r="J166" s="230"/>
      <c r="K166" s="230"/>
      <c r="L166" s="230"/>
      <c r="M166" s="230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0"/>
      <c r="J167" s="230"/>
      <c r="K167" s="230"/>
      <c r="L167" s="230"/>
      <c r="M167" s="230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0"/>
      <c r="J168" s="230"/>
      <c r="K168" s="230"/>
      <c r="L168" s="230"/>
      <c r="M168" s="230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0"/>
      <c r="J169" s="230"/>
      <c r="K169" s="230"/>
      <c r="L169" s="230"/>
      <c r="M169" s="230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0"/>
      <c r="J170" s="230"/>
      <c r="K170" s="230"/>
      <c r="L170" s="230"/>
      <c r="M170" s="230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0"/>
      <c r="J171" s="230"/>
      <c r="K171" s="230"/>
      <c r="L171" s="230"/>
      <c r="M171" s="230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0"/>
      <c r="J172" s="230"/>
      <c r="K172" s="230"/>
      <c r="L172" s="230"/>
      <c r="M172" s="230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0"/>
      <c r="J173" s="230"/>
      <c r="K173" s="230"/>
      <c r="L173" s="230"/>
      <c r="M173" s="230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0"/>
      <c r="J174" s="230"/>
      <c r="K174" s="230"/>
      <c r="L174" s="230"/>
      <c r="M174" s="230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0"/>
      <c r="J175" s="230"/>
      <c r="K175" s="230"/>
      <c r="L175" s="230"/>
      <c r="M175" s="230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0"/>
      <c r="J176" s="230"/>
      <c r="K176" s="230"/>
      <c r="L176" s="230"/>
      <c r="M176" s="230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0"/>
      <c r="J177" s="230"/>
      <c r="K177" s="230"/>
      <c r="L177" s="230"/>
      <c r="M177" s="230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0"/>
      <c r="J178" s="230"/>
      <c r="K178" s="230"/>
      <c r="L178" s="230"/>
      <c r="M178" s="230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0"/>
      <c r="J179" s="230"/>
      <c r="K179" s="230"/>
      <c r="L179" s="230"/>
      <c r="M179" s="230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0"/>
      <c r="J180" s="230"/>
      <c r="K180" s="230"/>
      <c r="L180" s="230"/>
      <c r="M180" s="230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0"/>
      <c r="J181" s="230"/>
      <c r="K181" s="230"/>
      <c r="L181" s="230"/>
      <c r="M181" s="230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0"/>
      <c r="J182" s="230"/>
      <c r="K182" s="230"/>
      <c r="L182" s="230"/>
      <c r="M182" s="230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0"/>
      <c r="J183" s="230"/>
      <c r="K183" s="230"/>
      <c r="L183" s="230"/>
      <c r="M183" s="230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>Tilleul</v>
      </c>
      <c r="B184" s="5"/>
      <c r="C184" s="5"/>
      <c r="D184" s="5"/>
      <c r="E184" s="5"/>
      <c r="F184" s="5"/>
      <c r="G184" s="5"/>
      <c r="H184" s="5"/>
      <c r="I184" s="230"/>
      <c r="J184" s="230"/>
      <c r="K184" s="230"/>
      <c r="L184" s="230"/>
      <c r="M184" s="230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0"/>
      <c r="J185" s="230"/>
      <c r="K185" s="230"/>
      <c r="L185" s="230"/>
      <c r="M185" s="230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0"/>
      <c r="J186" s="230"/>
      <c r="K186" s="230"/>
      <c r="L186" s="230"/>
      <c r="M186" s="230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0"/>
      <c r="J187" s="230"/>
      <c r="K187" s="230"/>
      <c r="L187" s="230"/>
      <c r="M187" s="230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0"/>
      <c r="J188" s="230"/>
      <c r="K188" s="230"/>
      <c r="L188" s="230"/>
      <c r="M188" s="230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0"/>
      <c r="J189" s="230"/>
      <c r="K189" s="230"/>
      <c r="L189" s="230"/>
      <c r="M189" s="230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0"/>
      <c r="J190" s="230"/>
      <c r="K190" s="230"/>
      <c r="L190" s="230"/>
      <c r="M190" s="230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0"/>
      <c r="J191" s="230"/>
      <c r="K191" s="230"/>
      <c r="L191" s="230"/>
      <c r="M191" s="230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0"/>
      <c r="J192" s="230"/>
      <c r="K192" s="230"/>
      <c r="L192" s="230"/>
      <c r="M192" s="230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0"/>
      <c r="J193" s="230"/>
      <c r="K193" s="230"/>
      <c r="L193" s="230"/>
      <c r="M193" s="230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0"/>
      <c r="J194" s="230"/>
      <c r="K194" s="230"/>
      <c r="L194" s="230"/>
      <c r="M194" s="230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0"/>
      <c r="J195" s="230"/>
      <c r="K195" s="230"/>
      <c r="L195" s="230"/>
      <c r="M195" s="230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0"/>
      <c r="J196" s="230"/>
      <c r="K196" s="230"/>
      <c r="L196" s="230"/>
      <c r="M196" s="230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0"/>
      <c r="J197" s="230"/>
      <c r="K197" s="230"/>
      <c r="L197" s="230"/>
      <c r="M197" s="230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0"/>
      <c r="J198" s="230"/>
      <c r="K198" s="230"/>
      <c r="L198" s="230"/>
      <c r="M198" s="230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0"/>
      <c r="J199" s="230"/>
      <c r="K199" s="230"/>
      <c r="L199" s="230"/>
      <c r="M199" s="230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0"/>
      <c r="J200" s="230"/>
      <c r="K200" s="230"/>
      <c r="L200" s="230"/>
      <c r="M200" s="230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0"/>
      <c r="J201" s="230"/>
      <c r="K201" s="230"/>
      <c r="L201" s="230"/>
      <c r="M201" s="230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0"/>
      <c r="J202" s="230"/>
      <c r="K202" s="230"/>
      <c r="L202" s="230"/>
      <c r="M202" s="230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0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abSelected="1" topLeftCell="N6" zoomScale="80" zoomScaleNormal="80" workbookViewId="0">
      <selection activeCell="P28" sqref="P28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7" t="s">
        <v>272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5" t="s">
        <v>315</v>
      </c>
      <c r="I4" s="325"/>
      <c r="K4" s="322" t="s">
        <v>253</v>
      </c>
      <c r="L4" s="323"/>
      <c r="M4" s="267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8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4"/>
      <c r="B7" s="275"/>
      <c r="C7" s="275"/>
      <c r="D7" s="275"/>
      <c r="E7" s="276"/>
      <c r="F7" s="276" t="s">
        <v>192</v>
      </c>
      <c r="G7" s="277"/>
      <c r="H7" s="275"/>
      <c r="I7" s="275"/>
      <c r="J7" s="278"/>
      <c r="K7" s="272"/>
      <c r="L7" s="273"/>
      <c r="M7" s="273"/>
      <c r="N7" s="279" t="s">
        <v>191</v>
      </c>
      <c r="O7" s="279"/>
      <c r="P7" s="280"/>
      <c r="Q7" s="281"/>
      <c r="R7" s="333" t="s">
        <v>310</v>
      </c>
      <c r="S7" s="334"/>
      <c r="T7" s="334"/>
      <c r="U7" s="334"/>
      <c r="V7" s="335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0"/>
      <c r="G8" s="220"/>
      <c r="H8" s="5"/>
      <c r="I8" s="5"/>
      <c r="J8" s="213"/>
      <c r="K8" s="224"/>
      <c r="L8" s="25"/>
      <c r="M8" s="25"/>
      <c r="N8" s="25"/>
      <c r="O8" s="25"/>
      <c r="P8" s="25"/>
      <c r="Q8" s="264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59" t="s">
        <v>311</v>
      </c>
      <c r="C9" s="25"/>
      <c r="D9" s="25"/>
      <c r="E9" s="25"/>
      <c r="F9" s="260"/>
      <c r="G9" s="259" t="s">
        <v>314</v>
      </c>
      <c r="J9" s="213"/>
      <c r="K9" s="224"/>
      <c r="O9" s="25"/>
      <c r="P9" s="25"/>
      <c r="Q9" s="264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59" t="s">
        <v>317</v>
      </c>
      <c r="C10" s="25"/>
      <c r="D10" s="25"/>
      <c r="E10" s="25"/>
      <c r="F10" s="260"/>
      <c r="G10" s="259" t="s">
        <v>316</v>
      </c>
      <c r="J10" s="213"/>
      <c r="K10" s="224"/>
      <c r="O10" s="25"/>
      <c r="P10" s="25"/>
      <c r="Q10" s="264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1029.8386908750992</v>
      </c>
      <c r="U10" s="190">
        <f>'Données projet'!D9</f>
        <v>1.204</v>
      </c>
      <c r="V10" s="189">
        <f>U10*T10</f>
        <v>1239.9257838136195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59" t="s">
        <v>312</v>
      </c>
      <c r="B11" s="25"/>
      <c r="C11" s="25"/>
      <c r="D11" s="25"/>
      <c r="E11" s="25"/>
      <c r="F11" s="260"/>
      <c r="G11" s="259" t="s">
        <v>313</v>
      </c>
      <c r="J11" s="213"/>
      <c r="K11" s="224"/>
      <c r="M11" s="5"/>
      <c r="N11" s="5"/>
      <c r="O11" s="25"/>
      <c r="P11" s="25"/>
      <c r="Q11" s="264"/>
      <c r="R11" s="25"/>
      <c r="S11" s="185" t="str">
        <f>B45</f>
        <v>Châtaignier</v>
      </c>
      <c r="T11" s="271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1892.5913240334041</v>
      </c>
      <c r="U11" s="190">
        <f>'Données projet'!D10</f>
        <v>0.30099999999999999</v>
      </c>
      <c r="V11" s="189">
        <f t="shared" ref="V11" si="0">U11*T11</f>
        <v>569.6699885340546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0"/>
      <c r="G12" s="1"/>
      <c r="J12" s="213"/>
      <c r="K12" s="224"/>
      <c r="L12" s="216"/>
      <c r="M12" s="25"/>
      <c r="N12" s="25"/>
      <c r="O12" s="25"/>
      <c r="P12" s="25"/>
      <c r="Q12" s="264"/>
      <c r="R12" s="25"/>
      <c r="S12" s="185" t="str">
        <f>B76</f>
        <v>Chêne pubescent</v>
      </c>
      <c r="T12" s="271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1029.8386908750992</v>
      </c>
      <c r="U12" s="190">
        <f>'Données projet'!D11</f>
        <v>0.30099999999999999</v>
      </c>
      <c r="V12" s="189">
        <f t="shared" ref="V12:V19" si="1">U12*T12</f>
        <v>309.98144595340489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0"/>
      <c r="J13" s="25"/>
      <c r="K13" s="224"/>
      <c r="L13" s="184" t="s">
        <v>257</v>
      </c>
      <c r="M13" s="25"/>
      <c r="N13" s="25"/>
      <c r="O13" s="25"/>
      <c r="P13" s="25"/>
      <c r="Q13" s="264"/>
      <c r="R13" s="25"/>
      <c r="S13" s="185" t="str">
        <f>B107</f>
        <v>Hêtre</v>
      </c>
      <c r="T13" s="271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768.31474705516359</v>
      </c>
      <c r="U13" s="190">
        <f>'Données projet'!D12</f>
        <v>0.15049999999999999</v>
      </c>
      <c r="V13" s="189">
        <f t="shared" si="1"/>
        <v>115.63136943180211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0"/>
      <c r="G14" s="220"/>
      <c r="H14" s="185" t="s">
        <v>178</v>
      </c>
      <c r="I14" s="185" t="s">
        <v>290</v>
      </c>
      <c r="J14" s="214"/>
      <c r="K14" s="183"/>
      <c r="L14" s="216"/>
      <c r="M14" s="25"/>
      <c r="N14" s="25"/>
      <c r="O14" s="5"/>
      <c r="P14" s="5"/>
      <c r="Q14" s="265"/>
      <c r="R14" s="5"/>
      <c r="S14" s="185" t="str">
        <f>B138</f>
        <v>Merisier</v>
      </c>
      <c r="T14" s="271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2394.3313958151411</v>
      </c>
      <c r="U14" s="190">
        <f>'Données projet'!D13</f>
        <v>0.15049999999999999</v>
      </c>
      <c r="V14" s="189">
        <f t="shared" si="1"/>
        <v>360.34687507017873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0"/>
      <c r="G15" s="326" t="s">
        <v>318</v>
      </c>
      <c r="H15" s="203">
        <v>0</v>
      </c>
      <c r="I15" s="204">
        <v>0</v>
      </c>
      <c r="J15" s="215"/>
      <c r="K15" s="224"/>
      <c r="L15" s="216"/>
      <c r="M15" s="25"/>
      <c r="N15" s="25"/>
      <c r="O15" s="25"/>
      <c r="P15" s="25"/>
      <c r="Q15" s="264"/>
      <c r="R15" s="25"/>
      <c r="S15" s="185" t="str">
        <f>B169</f>
        <v>Charme</v>
      </c>
      <c r="T15" s="271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654.86911551785272</v>
      </c>
      <c r="U15" s="190">
        <f>'Données projet'!D14</f>
        <v>0.15049999999999999</v>
      </c>
      <c r="V15" s="189">
        <f t="shared" si="1"/>
        <v>98.557801885436831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6" t="s">
        <v>180</v>
      </c>
      <c r="B16" s="51" t="s">
        <v>256</v>
      </c>
      <c r="C16" s="51" t="s">
        <v>255</v>
      </c>
      <c r="D16" s="256" t="s">
        <v>252</v>
      </c>
      <c r="E16" s="256" t="s">
        <v>320</v>
      </c>
      <c r="F16" s="260"/>
      <c r="G16" s="326"/>
      <c r="H16" s="203"/>
      <c r="I16" s="204"/>
      <c r="J16" s="215"/>
      <c r="K16" s="224"/>
      <c r="L16" s="322" t="s">
        <v>254</v>
      </c>
      <c r="M16" s="323"/>
      <c r="N16" s="2"/>
      <c r="O16" s="25"/>
      <c r="P16" s="25"/>
      <c r="Q16" s="264"/>
      <c r="R16" s="25"/>
      <c r="S16" s="185" t="str">
        <f>B200</f>
        <v>Alisier torminal</v>
      </c>
      <c r="T16" s="271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663.20320739521912</v>
      </c>
      <c r="U16" s="190">
        <f>'Données projet'!D15</f>
        <v>0.30099999999999999</v>
      </c>
      <c r="V16" s="189">
        <f t="shared" si="1"/>
        <v>199.62416542596094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09">
        <v>0</v>
      </c>
      <c r="B17" s="212" t="s">
        <v>132</v>
      </c>
      <c r="C17" s="211" t="s">
        <v>132</v>
      </c>
      <c r="D17" s="210" t="s">
        <v>132</v>
      </c>
      <c r="E17" s="206"/>
      <c r="F17" s="260"/>
      <c r="G17" s="326"/>
      <c r="J17" s="215"/>
      <c r="K17" s="224"/>
      <c r="L17" s="293" t="s">
        <v>289</v>
      </c>
      <c r="M17" s="295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4"/>
      <c r="R17" s="25"/>
      <c r="S17" s="185" t="str">
        <f>B231</f>
        <v>Chêne rouge d'Amérique</v>
      </c>
      <c r="T17" s="271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836.01839603645669</v>
      </c>
      <c r="U17" s="190">
        <f>'Données projet'!D16</f>
        <v>0.15049999999999999</v>
      </c>
      <c r="V17" s="189">
        <f t="shared" si="1"/>
        <v>125.82076860348673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09">
        <v>1</v>
      </c>
      <c r="B18" s="212" t="s">
        <v>132</v>
      </c>
      <c r="C18" s="211" t="s">
        <v>132</v>
      </c>
      <c r="D18" s="210" t="s">
        <v>132</v>
      </c>
      <c r="E18" s="206"/>
      <c r="F18" s="260"/>
      <c r="G18" s="326"/>
      <c r="J18" s="215"/>
      <c r="K18" s="224"/>
      <c r="L18" s="293" t="s">
        <v>255</v>
      </c>
      <c r="M18" s="295"/>
      <c r="N18" s="205"/>
      <c r="O18" s="25"/>
      <c r="P18" s="25"/>
      <c r="Q18" s="264"/>
      <c r="R18" s="25"/>
      <c r="S18" s="185" t="str">
        <f>B262</f>
        <v>Robinier faux-acacia</v>
      </c>
      <c r="T18" s="271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1780.2408614975245</v>
      </c>
      <c r="U18" s="190">
        <f>'Données projet'!D17</f>
        <v>0.15049999999999999</v>
      </c>
      <c r="V18" s="189">
        <f t="shared" si="1"/>
        <v>267.92624965537743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09">
        <v>2</v>
      </c>
      <c r="B19" s="212" t="s">
        <v>132</v>
      </c>
      <c r="C19" s="211" t="s">
        <v>132</v>
      </c>
      <c r="D19" s="210" t="s">
        <v>132</v>
      </c>
      <c r="E19" s="206"/>
      <c r="F19" s="260"/>
      <c r="G19" s="326"/>
      <c r="H19" s="231" t="s">
        <v>178</v>
      </c>
      <c r="I19" s="231" t="s">
        <v>287</v>
      </c>
      <c r="J19" s="259"/>
      <c r="K19" s="183"/>
      <c r="L19" s="322" t="s">
        <v>288</v>
      </c>
      <c r="M19" s="323"/>
      <c r="N19" s="191">
        <f>N17*N18</f>
        <v>0</v>
      </c>
      <c r="O19" s="25"/>
      <c r="P19" s="5"/>
      <c r="Q19" s="265"/>
      <c r="R19" s="5"/>
      <c r="S19" s="185" t="str">
        <f>B293</f>
        <v>Tilleul</v>
      </c>
      <c r="T19" s="271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485.42313709472717</v>
      </c>
      <c r="U19" s="190">
        <f>'Données projet'!D18</f>
        <v>0.15049999999999999</v>
      </c>
      <c r="V19" s="189">
        <f t="shared" si="1"/>
        <v>73.056182132756433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09">
        <v>3</v>
      </c>
      <c r="B20" s="212" t="s">
        <v>132</v>
      </c>
      <c r="C20" s="211" t="s">
        <v>132</v>
      </c>
      <c r="D20" s="210" t="s">
        <v>132</v>
      </c>
      <c r="E20" s="206"/>
      <c r="F20" s="260"/>
      <c r="G20" s="326"/>
      <c r="H20" s="203">
        <v>0</v>
      </c>
      <c r="I20" s="204">
        <v>8500</v>
      </c>
      <c r="J20" s="5"/>
      <c r="K20" s="183"/>
      <c r="O20" s="25"/>
      <c r="P20" s="5"/>
      <c r="Q20" s="265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09">
        <v>4</v>
      </c>
      <c r="B21" s="212" t="s">
        <v>132</v>
      </c>
      <c r="C21" s="211" t="s">
        <v>132</v>
      </c>
      <c r="D21" s="210" t="s">
        <v>132</v>
      </c>
      <c r="E21" s="206"/>
      <c r="F21" s="260"/>
      <c r="H21" s="203"/>
      <c r="I21" s="204"/>
      <c r="K21" s="183"/>
      <c r="O21" s="25"/>
      <c r="P21" s="5"/>
      <c r="Q21" s="265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09">
        <v>5</v>
      </c>
      <c r="B22" s="212" t="s">
        <v>132</v>
      </c>
      <c r="C22" s="211" t="s">
        <v>132</v>
      </c>
      <c r="D22" s="210" t="s">
        <v>132</v>
      </c>
      <c r="E22" s="206"/>
      <c r="F22" s="260"/>
      <c r="H22" s="203"/>
      <c r="I22" s="204"/>
      <c r="K22" s="183"/>
      <c r="O22" s="25"/>
      <c r="P22" s="5"/>
      <c r="Q22" s="265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20</v>
      </c>
      <c r="B23" s="193">
        <f>'Données projet'!D36</f>
        <v>6</v>
      </c>
      <c r="C23" s="206">
        <v>10</v>
      </c>
      <c r="D23" s="194">
        <f>B23*C23</f>
        <v>60</v>
      </c>
      <c r="E23" s="206"/>
      <c r="F23" s="260"/>
      <c r="H23" s="203"/>
      <c r="I23" s="204"/>
      <c r="K23" s="224"/>
      <c r="L23" s="324" t="s">
        <v>260</v>
      </c>
      <c r="M23" s="324"/>
      <c r="N23" s="324"/>
      <c r="O23" s="25"/>
      <c r="P23" s="25"/>
      <c r="Q23" s="264"/>
      <c r="R23" s="25"/>
      <c r="S23" s="185" t="s">
        <v>264</v>
      </c>
      <c r="T23" s="33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-22224.459369493921</v>
      </c>
      <c r="U23" s="338"/>
      <c r="V23" s="338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25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3"/>
      <c r="H24" s="203"/>
      <c r="I24" s="204"/>
      <c r="K24" s="224"/>
      <c r="O24" s="25"/>
      <c r="P24" s="25"/>
      <c r="Q24" s="264"/>
      <c r="R24" s="25"/>
      <c r="S24" s="185" t="s">
        <v>261</v>
      </c>
      <c r="T24" s="339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9"/>
      <c r="V24" s="339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30</v>
      </c>
      <c r="B25" s="193">
        <f>'Données projet'!D38</f>
        <v>56</v>
      </c>
      <c r="C25" s="206">
        <v>10</v>
      </c>
      <c r="D25" s="194">
        <f t="shared" si="2"/>
        <v>560</v>
      </c>
      <c r="E25" s="206"/>
      <c r="F25" s="263"/>
      <c r="G25" s="1"/>
      <c r="H25" s="203"/>
      <c r="I25" s="204"/>
      <c r="K25" s="224"/>
      <c r="L25" s="270" t="s">
        <v>285</v>
      </c>
      <c r="M25" s="270"/>
      <c r="N25" s="270"/>
      <c r="O25" s="270"/>
      <c r="P25" s="205">
        <v>0</v>
      </c>
      <c r="Q25" s="264"/>
      <c r="R25" s="25"/>
      <c r="S25" s="198" t="s">
        <v>266</v>
      </c>
      <c r="T25" s="340">
        <f ca="1">T23-T24</f>
        <v>-22224.459369493921</v>
      </c>
      <c r="U25" s="340"/>
      <c r="V25" s="340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35</v>
      </c>
      <c r="B26" s="193">
        <f>'Données projet'!D39</f>
        <v>0</v>
      </c>
      <c r="C26" s="206"/>
      <c r="D26" s="194">
        <f t="shared" si="2"/>
        <v>0</v>
      </c>
      <c r="E26" s="206"/>
      <c r="F26" s="263"/>
      <c r="G26" s="258"/>
      <c r="H26" s="203"/>
      <c r="I26" s="204"/>
      <c r="K26" s="224"/>
      <c r="L26" s="327" t="s">
        <v>258</v>
      </c>
      <c r="M26" s="328"/>
      <c r="N26" s="328"/>
      <c r="O26" s="328"/>
      <c r="P26" s="329"/>
      <c r="Q26" s="264"/>
      <c r="R26" s="25"/>
      <c r="S26" s="198" t="s">
        <v>265</v>
      </c>
      <c r="T26" s="337" t="str">
        <f ca="1">IF(T25&lt;0,"Votre projet est additionnel","Votre projet n'est pas additionnel")</f>
        <v>Votre projet est additionnel</v>
      </c>
      <c r="U26" s="337"/>
      <c r="V26" s="337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40</v>
      </c>
      <c r="B27" s="193">
        <f>'Données projet'!D40</f>
        <v>56</v>
      </c>
      <c r="C27" s="206">
        <v>15</v>
      </c>
      <c r="D27" s="194">
        <f t="shared" si="2"/>
        <v>840</v>
      </c>
      <c r="E27" s="206"/>
      <c r="F27" s="263"/>
      <c r="G27" s="258"/>
      <c r="H27" s="203"/>
      <c r="I27" s="204"/>
      <c r="K27" s="224"/>
      <c r="L27" s="330"/>
      <c r="M27" s="331"/>
      <c r="N27" s="331"/>
      <c r="O27" s="331"/>
      <c r="P27" s="332"/>
      <c r="Q27" s="264"/>
      <c r="R27" s="25"/>
      <c r="S27" s="336" t="s">
        <v>267</v>
      </c>
      <c r="T27" s="336"/>
      <c r="U27" s="336"/>
      <c r="V27" s="336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45</v>
      </c>
      <c r="B28" s="193">
        <f>'Données projet'!D41</f>
        <v>0</v>
      </c>
      <c r="C28" s="206"/>
      <c r="D28" s="194">
        <f t="shared" si="2"/>
        <v>0</v>
      </c>
      <c r="E28" s="206"/>
      <c r="F28" s="263"/>
      <c r="G28" s="221"/>
      <c r="H28" s="203"/>
      <c r="I28" s="204"/>
      <c r="K28" s="224"/>
      <c r="Q28" s="264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50</v>
      </c>
      <c r="B29" s="193">
        <f>'Données projet'!D42</f>
        <v>56</v>
      </c>
      <c r="C29" s="206">
        <v>20</v>
      </c>
      <c r="D29" s="194">
        <f t="shared" si="2"/>
        <v>1120</v>
      </c>
      <c r="E29" s="206"/>
      <c r="F29" s="263"/>
      <c r="G29" s="217"/>
      <c r="H29" s="203"/>
      <c r="I29" s="204"/>
      <c r="K29" s="224"/>
      <c r="O29" s="25"/>
      <c r="P29" s="25"/>
      <c r="Q29" s="264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55</v>
      </c>
      <c r="B30" s="193">
        <f>'Données projet'!D43</f>
        <v>0</v>
      </c>
      <c r="C30" s="206"/>
      <c r="D30" s="194">
        <f t="shared" si="2"/>
        <v>0</v>
      </c>
      <c r="E30" s="206"/>
      <c r="F30" s="263"/>
      <c r="G30" s="217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5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60</v>
      </c>
      <c r="B31" s="193">
        <f>'Données projet'!D44</f>
        <v>56</v>
      </c>
      <c r="C31" s="206">
        <v>30</v>
      </c>
      <c r="D31" s="194">
        <f t="shared" si="2"/>
        <v>1680</v>
      </c>
      <c r="E31" s="206"/>
      <c r="F31" s="263"/>
      <c r="G31" s="217"/>
      <c r="H31" s="203"/>
      <c r="I31" s="204"/>
      <c r="K31" s="183"/>
      <c r="Q31" s="264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65</v>
      </c>
      <c r="B32" s="193">
        <f>'Données projet'!D45</f>
        <v>0</v>
      </c>
      <c r="C32" s="206"/>
      <c r="D32" s="194">
        <f t="shared" si="2"/>
        <v>0</v>
      </c>
      <c r="E32" s="206"/>
      <c r="F32" s="263"/>
      <c r="G32" s="217"/>
      <c r="H32" s="203"/>
      <c r="I32" s="204"/>
      <c r="K32" s="183"/>
      <c r="N32" s="5"/>
      <c r="O32" s="269" t="s">
        <v>178</v>
      </c>
      <c r="P32" s="269" t="s">
        <v>252</v>
      </c>
      <c r="Q32" s="264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70</v>
      </c>
      <c r="B33" s="193">
        <f>'Données projet'!D46</f>
        <v>56</v>
      </c>
      <c r="C33" s="206">
        <v>40</v>
      </c>
      <c r="D33" s="194">
        <f t="shared" si="2"/>
        <v>2240</v>
      </c>
      <c r="E33" s="206"/>
      <c r="F33" s="263"/>
      <c r="G33" s="217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4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75</v>
      </c>
      <c r="B34" s="193">
        <f>'Données projet'!D47</f>
        <v>0</v>
      </c>
      <c r="C34" s="206"/>
      <c r="D34" s="194">
        <f t="shared" si="2"/>
        <v>0</v>
      </c>
      <c r="E34" s="206"/>
      <c r="F34" s="263"/>
      <c r="G34" s="217"/>
      <c r="H34" s="203"/>
      <c r="I34" s="204"/>
      <c r="K34" s="183"/>
      <c r="L34" s="283"/>
      <c r="M34" s="283"/>
      <c r="N34" s="284"/>
      <c r="O34" s="207">
        <f>IF(O33+1&lt;=MIN('Données projet'!$E$9:$E$18),O33+1,"STOP")</f>
        <v>1</v>
      </c>
      <c r="P34" s="197">
        <f t="shared" si="3"/>
        <v>0</v>
      </c>
      <c r="Q34" s="264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80</v>
      </c>
      <c r="B35" s="193">
        <f>'Données projet'!D48</f>
        <v>56</v>
      </c>
      <c r="C35" s="206">
        <v>50</v>
      </c>
      <c r="D35" s="194">
        <f t="shared" si="2"/>
        <v>2800</v>
      </c>
      <c r="E35" s="206"/>
      <c r="F35" s="263"/>
      <c r="G35" s="217"/>
      <c r="H35" s="203"/>
      <c r="I35" s="204"/>
      <c r="K35" s="183"/>
      <c r="L35" s="283"/>
      <c r="M35" s="283"/>
      <c r="N35" s="284"/>
      <c r="O35" s="207">
        <f>IF(O34+1&lt;=MIN('Données projet'!$E$9:$E$18),O34+1,"STOP")</f>
        <v>2</v>
      </c>
      <c r="P35" s="197">
        <f t="shared" si="3"/>
        <v>0</v>
      </c>
      <c r="Q35" s="264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90</v>
      </c>
      <c r="B36" s="193">
        <f>'Données projet'!D49</f>
        <v>56</v>
      </c>
      <c r="C36" s="206">
        <v>60</v>
      </c>
      <c r="D36" s="194">
        <f t="shared" si="2"/>
        <v>3360</v>
      </c>
      <c r="E36" s="206"/>
      <c r="F36" s="263"/>
      <c r="G36" s="217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4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100</v>
      </c>
      <c r="B37" s="193">
        <f>'Données projet'!D50</f>
        <v>55</v>
      </c>
      <c r="C37" s="206">
        <v>70</v>
      </c>
      <c r="D37" s="194">
        <f t="shared" si="2"/>
        <v>3850</v>
      </c>
      <c r="E37" s="206"/>
      <c r="F37" s="263"/>
      <c r="G37" s="217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4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110</v>
      </c>
      <c r="B38" s="193">
        <f>'Données projet'!D51</f>
        <v>51</v>
      </c>
      <c r="C38" s="206">
        <v>80</v>
      </c>
      <c r="D38" s="194">
        <f t="shared" si="2"/>
        <v>4080</v>
      </c>
      <c r="E38" s="206"/>
      <c r="F38" s="263"/>
      <c r="G38" s="217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4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120</v>
      </c>
      <c r="B39" s="193">
        <f>'Données projet'!D52</f>
        <v>47</v>
      </c>
      <c r="C39" s="206">
        <v>90</v>
      </c>
      <c r="D39" s="194">
        <f t="shared" si="2"/>
        <v>4230</v>
      </c>
      <c r="E39" s="206"/>
      <c r="F39" s="263"/>
      <c r="G39" s="217"/>
      <c r="H39" s="203"/>
      <c r="I39" s="204"/>
      <c r="K39" s="224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4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135</v>
      </c>
      <c r="B40" s="193">
        <f>'Données projet'!D53</f>
        <v>65</v>
      </c>
      <c r="C40" s="206">
        <v>120</v>
      </c>
      <c r="D40" s="194">
        <f t="shared" si="2"/>
        <v>7800</v>
      </c>
      <c r="E40" s="206"/>
      <c r="F40" s="263"/>
      <c r="G40" s="217"/>
      <c r="H40" s="203"/>
      <c r="I40" s="204"/>
      <c r="K40" s="224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4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150</v>
      </c>
      <c r="B41" s="193">
        <f>'Données projet'!D54</f>
        <v>355</v>
      </c>
      <c r="C41" s="206">
        <v>200</v>
      </c>
      <c r="D41" s="194">
        <f t="shared" si="2"/>
        <v>71000</v>
      </c>
      <c r="E41" s="206"/>
      <c r="F41" s="263"/>
      <c r="G41" s="217"/>
      <c r="H41" s="203"/>
      <c r="I41" s="204"/>
      <c r="K41" s="224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4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3"/>
      <c r="G42" s="217"/>
      <c r="H42" s="203"/>
      <c r="I42" s="204"/>
      <c r="K42" s="224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4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5"/>
      <c r="E43" s="255"/>
      <c r="F43" s="268"/>
      <c r="G43" s="217"/>
      <c r="H43" s="203"/>
      <c r="I43" s="204"/>
      <c r="K43" s="224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0"/>
      <c r="G44" s="217"/>
      <c r="H44" s="203"/>
      <c r="I44" s="204"/>
      <c r="K44" s="224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Châtaignier</v>
      </c>
      <c r="C45" s="5"/>
      <c r="D45" s="5"/>
      <c r="E45" s="5"/>
      <c r="F45" s="260"/>
      <c r="G45" s="217"/>
      <c r="H45" s="203"/>
      <c r="I45" s="204"/>
      <c r="J45" s="25"/>
      <c r="K45" s="224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0"/>
      <c r="G46" s="217"/>
      <c r="H46" s="203"/>
      <c r="I46" s="204"/>
      <c r="J46" s="25"/>
      <c r="K46" s="224"/>
      <c r="L46" s="219"/>
      <c r="M46" s="219"/>
      <c r="N46" s="219"/>
      <c r="O46" s="207">
        <f>IF(O45+1&lt;=MIN('Données projet'!$E$9:$E$18),O45+1,"STOP")</f>
        <v>13</v>
      </c>
      <c r="P46" s="200">
        <f t="shared" si="3"/>
        <v>0</v>
      </c>
      <c r="Q46" s="26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6" t="s">
        <v>180</v>
      </c>
      <c r="B47" s="51" t="s">
        <v>256</v>
      </c>
      <c r="C47" s="51" t="s">
        <v>255</v>
      </c>
      <c r="D47" s="256" t="s">
        <v>252</v>
      </c>
      <c r="E47" s="256" t="s">
        <v>320</v>
      </c>
      <c r="F47" s="261"/>
      <c r="G47" s="217"/>
      <c r="H47" s="203"/>
      <c r="I47" s="204"/>
      <c r="J47" s="25"/>
      <c r="K47" s="224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09">
        <v>0</v>
      </c>
      <c r="B48" s="212" t="s">
        <v>132</v>
      </c>
      <c r="C48" s="211" t="s">
        <v>132</v>
      </c>
      <c r="D48" s="210" t="s">
        <v>132</v>
      </c>
      <c r="E48" s="206"/>
      <c r="F48" s="261"/>
      <c r="G48" s="217"/>
      <c r="H48" s="203"/>
      <c r="I48" s="204"/>
      <c r="J48" s="25"/>
      <c r="K48" s="224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09">
        <v>1</v>
      </c>
      <c r="B49" s="212" t="s">
        <v>132</v>
      </c>
      <c r="C49" s="211" t="s">
        <v>132</v>
      </c>
      <c r="D49" s="210" t="s">
        <v>132</v>
      </c>
      <c r="E49" s="206"/>
      <c r="F49" s="261"/>
      <c r="G49" s="218"/>
      <c r="H49" s="203"/>
      <c r="I49" s="204"/>
      <c r="J49" s="219"/>
      <c r="K49" s="226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6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09">
        <v>2</v>
      </c>
      <c r="B50" s="212" t="s">
        <v>132</v>
      </c>
      <c r="C50" s="211" t="s">
        <v>132</v>
      </c>
      <c r="D50" s="210" t="s">
        <v>132</v>
      </c>
      <c r="E50" s="206"/>
      <c r="F50" s="261"/>
      <c r="G50" s="220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09">
        <v>3</v>
      </c>
      <c r="B51" s="212" t="s">
        <v>132</v>
      </c>
      <c r="C51" s="211" t="s">
        <v>132</v>
      </c>
      <c r="D51" s="210" t="s">
        <v>132</v>
      </c>
      <c r="E51" s="206"/>
      <c r="F51" s="261"/>
      <c r="G51" s="220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09">
        <v>4</v>
      </c>
      <c r="B52" s="212" t="s">
        <v>132</v>
      </c>
      <c r="C52" s="211" t="s">
        <v>132</v>
      </c>
      <c r="D52" s="210" t="s">
        <v>132</v>
      </c>
      <c r="E52" s="206"/>
      <c r="F52" s="261"/>
      <c r="G52" s="220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09">
        <v>5</v>
      </c>
      <c r="B53" s="212" t="s">
        <v>132</v>
      </c>
      <c r="C53" s="211" t="s">
        <v>132</v>
      </c>
      <c r="D53" s="210" t="s">
        <v>132</v>
      </c>
      <c r="E53" s="206"/>
      <c r="F53" s="261"/>
      <c r="G53" s="221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10</v>
      </c>
      <c r="B54" s="193">
        <f>'Données projet'!D62</f>
        <v>0</v>
      </c>
      <c r="C54" s="204"/>
      <c r="D54" s="191">
        <f>B54*C54</f>
        <v>0</v>
      </c>
      <c r="E54" s="206"/>
      <c r="F54" s="262"/>
      <c r="G54" s="221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15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2"/>
      <c r="G55" s="221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20</v>
      </c>
      <c r="B56" s="193">
        <f>'Données projet'!D64</f>
        <v>66.5</v>
      </c>
      <c r="C56" s="204">
        <v>10</v>
      </c>
      <c r="D56" s="191">
        <f t="shared" si="4"/>
        <v>665</v>
      </c>
      <c r="E56" s="206"/>
      <c r="F56" s="262"/>
      <c r="G56" s="221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25</v>
      </c>
      <c r="B57" s="193">
        <f>'Données projet'!D65</f>
        <v>0</v>
      </c>
      <c r="C57" s="204"/>
      <c r="D57" s="191">
        <f t="shared" si="4"/>
        <v>0</v>
      </c>
      <c r="E57" s="206"/>
      <c r="F57" s="262"/>
      <c r="G57" s="221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30</v>
      </c>
      <c r="B58" s="193">
        <f>'Données projet'!D66</f>
        <v>70</v>
      </c>
      <c r="C58" s="204">
        <v>15</v>
      </c>
      <c r="D58" s="191">
        <f t="shared" si="4"/>
        <v>1050</v>
      </c>
      <c r="E58" s="206"/>
      <c r="F58" s="262"/>
      <c r="G58" s="221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35</v>
      </c>
      <c r="B59" s="193">
        <f>'Données projet'!D67</f>
        <v>0</v>
      </c>
      <c r="C59" s="204"/>
      <c r="D59" s="191">
        <f t="shared" si="4"/>
        <v>0</v>
      </c>
      <c r="E59" s="206"/>
      <c r="F59" s="262"/>
      <c r="G59" s="221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40</v>
      </c>
      <c r="B60" s="193">
        <f>'Données projet'!D68</f>
        <v>70</v>
      </c>
      <c r="C60" s="204">
        <v>20</v>
      </c>
      <c r="D60" s="191">
        <f t="shared" si="4"/>
        <v>1400</v>
      </c>
      <c r="E60" s="206"/>
      <c r="F60" s="262"/>
      <c r="G60" s="222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45</v>
      </c>
      <c r="B61" s="193">
        <f>'Données projet'!D69</f>
        <v>0</v>
      </c>
      <c r="C61" s="204"/>
      <c r="D61" s="191">
        <f t="shared" si="4"/>
        <v>0</v>
      </c>
      <c r="E61" s="206"/>
      <c r="F61" s="262"/>
      <c r="G61" s="222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50</v>
      </c>
      <c r="B62" s="193">
        <f>'Données projet'!D70</f>
        <v>43.099999999999994</v>
      </c>
      <c r="C62" s="204">
        <v>30</v>
      </c>
      <c r="D62" s="191">
        <f t="shared" si="4"/>
        <v>1292.9999999999998</v>
      </c>
      <c r="E62" s="206"/>
      <c r="F62" s="262"/>
      <c r="G62" s="222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55</v>
      </c>
      <c r="B63" s="193">
        <f>'Données projet'!D71</f>
        <v>0</v>
      </c>
      <c r="C63" s="204"/>
      <c r="D63" s="191">
        <f t="shared" si="4"/>
        <v>0</v>
      </c>
      <c r="E63" s="206"/>
      <c r="F63" s="262"/>
      <c r="G63" s="222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60</v>
      </c>
      <c r="B64" s="193">
        <f>'Données projet'!D72</f>
        <v>30.2</v>
      </c>
      <c r="C64" s="204">
        <v>40</v>
      </c>
      <c r="D64" s="191">
        <f t="shared" si="4"/>
        <v>1208</v>
      </c>
      <c r="E64" s="206"/>
      <c r="F64" s="262"/>
      <c r="G64" s="222"/>
      <c r="H64" s="203"/>
      <c r="I64" s="204"/>
      <c r="J64" s="223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65</v>
      </c>
      <c r="B65" s="193">
        <f>'Données projet'!D73</f>
        <v>0</v>
      </c>
      <c r="C65" s="204"/>
      <c r="D65" s="191">
        <f t="shared" si="4"/>
        <v>0</v>
      </c>
      <c r="E65" s="206"/>
      <c r="F65" s="262"/>
      <c r="G65" s="222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70</v>
      </c>
      <c r="B66" s="193">
        <f>'Données projet'!D74</f>
        <v>25.9</v>
      </c>
      <c r="C66" s="204">
        <v>50</v>
      </c>
      <c r="D66" s="191">
        <f t="shared" si="4"/>
        <v>1295</v>
      </c>
      <c r="E66" s="206"/>
      <c r="F66" s="262"/>
      <c r="G66" s="222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75</v>
      </c>
      <c r="B67" s="193">
        <f>'Données projet'!D75</f>
        <v>0</v>
      </c>
      <c r="C67" s="204"/>
      <c r="D67" s="191">
        <f t="shared" si="4"/>
        <v>0</v>
      </c>
      <c r="E67" s="206"/>
      <c r="F67" s="262"/>
      <c r="G67" s="222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80</v>
      </c>
      <c r="B68" s="193">
        <f>'Données projet'!D76</f>
        <v>341.3</v>
      </c>
      <c r="C68" s="204">
        <v>80</v>
      </c>
      <c r="D68" s="191">
        <f t="shared" si="4"/>
        <v>27304</v>
      </c>
      <c r="E68" s="206"/>
      <c r="F68" s="262"/>
      <c r="G68" s="222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2"/>
      <c r="G69" s="222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2"/>
      <c r="G70" s="222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2"/>
      <c r="G71" s="222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2"/>
      <c r="G72" s="222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2"/>
      <c r="G73" s="222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0"/>
      <c r="G74" s="222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0"/>
      <c r="G75" s="222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Chêne pubescent</v>
      </c>
      <c r="C76" s="5"/>
      <c r="D76" s="5"/>
      <c r="E76" s="5"/>
      <c r="F76" s="260"/>
      <c r="G76" s="222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0"/>
      <c r="G77" s="222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6" t="s">
        <v>180</v>
      </c>
      <c r="B78" s="51" t="s">
        <v>256</v>
      </c>
      <c r="C78" s="51" t="s">
        <v>255</v>
      </c>
      <c r="D78" s="256" t="s">
        <v>252</v>
      </c>
      <c r="E78" s="256" t="s">
        <v>320</v>
      </c>
      <c r="F78" s="261"/>
      <c r="G78" s="222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09">
        <v>0</v>
      </c>
      <c r="B79" s="212" t="s">
        <v>132</v>
      </c>
      <c r="C79" s="211" t="s">
        <v>132</v>
      </c>
      <c r="D79" s="210" t="s">
        <v>132</v>
      </c>
      <c r="E79" s="206"/>
      <c r="F79" s="261"/>
      <c r="G79" s="222"/>
      <c r="H79" s="203"/>
      <c r="I79" s="204"/>
      <c r="J79" s="5"/>
      <c r="K79" s="183"/>
      <c r="L79" s="5"/>
      <c r="M79" s="5"/>
      <c r="N79" s="5"/>
      <c r="O79" s="207" t="str">
        <f>IF(O78+1&lt;=MIN('Données projet'!$E$9:$E$18),O78+1,"STOP")</f>
        <v>STOP</v>
      </c>
      <c r="P79" s="197" t="e">
        <f t="shared" si="5"/>
        <v>#VALUE!</v>
      </c>
      <c r="Q79" s="26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09">
        <v>1</v>
      </c>
      <c r="B80" s="212" t="s">
        <v>132</v>
      </c>
      <c r="C80" s="211" t="s">
        <v>132</v>
      </c>
      <c r="D80" s="210" t="s">
        <v>132</v>
      </c>
      <c r="E80" s="206"/>
      <c r="F80" s="261"/>
      <c r="G80" s="220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09">
        <v>2</v>
      </c>
      <c r="B81" s="212" t="s">
        <v>132</v>
      </c>
      <c r="C81" s="211" t="s">
        <v>132</v>
      </c>
      <c r="D81" s="210" t="s">
        <v>132</v>
      </c>
      <c r="E81" s="206"/>
      <c r="F81" s="261"/>
      <c r="G81" s="220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09">
        <v>3</v>
      </c>
      <c r="B82" s="212" t="s">
        <v>132</v>
      </c>
      <c r="C82" s="211" t="s">
        <v>132</v>
      </c>
      <c r="D82" s="210" t="s">
        <v>132</v>
      </c>
      <c r="E82" s="206"/>
      <c r="F82" s="261"/>
      <c r="G82" s="220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09">
        <v>4</v>
      </c>
      <c r="B83" s="212" t="s">
        <v>132</v>
      </c>
      <c r="C83" s="211" t="s">
        <v>132</v>
      </c>
      <c r="D83" s="210" t="s">
        <v>132</v>
      </c>
      <c r="E83" s="206"/>
      <c r="F83" s="261"/>
      <c r="G83" s="220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09">
        <v>5</v>
      </c>
      <c r="B84" s="212" t="s">
        <v>132</v>
      </c>
      <c r="C84" s="211" t="s">
        <v>132</v>
      </c>
      <c r="D84" s="210" t="s">
        <v>132</v>
      </c>
      <c r="E84" s="206"/>
      <c r="F84" s="261"/>
      <c r="G84" s="221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20</v>
      </c>
      <c r="B85" s="193">
        <f>'Données projet'!D88</f>
        <v>6</v>
      </c>
      <c r="C85" s="206">
        <v>10</v>
      </c>
      <c r="D85" s="191">
        <f>B85*C85</f>
        <v>60</v>
      </c>
      <c r="E85" s="206"/>
      <c r="F85" s="262"/>
      <c r="G85" s="221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25</v>
      </c>
      <c r="B86" s="193">
        <f>'Données projet'!D89</f>
        <v>0</v>
      </c>
      <c r="C86" s="206"/>
      <c r="D86" s="191">
        <f t="shared" ref="D86:D104" si="6">B86*C86</f>
        <v>0</v>
      </c>
      <c r="E86" s="206"/>
      <c r="F86" s="262"/>
      <c r="G86" s="221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30</v>
      </c>
      <c r="B87" s="193">
        <f>'Données projet'!D90</f>
        <v>56</v>
      </c>
      <c r="C87" s="206">
        <v>10</v>
      </c>
      <c r="D87" s="191">
        <f t="shared" si="6"/>
        <v>560</v>
      </c>
      <c r="E87" s="206"/>
      <c r="F87" s="262"/>
      <c r="G87" s="221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35</v>
      </c>
      <c r="B88" s="193">
        <f>'Données projet'!D91</f>
        <v>0</v>
      </c>
      <c r="C88" s="206"/>
      <c r="D88" s="191">
        <f t="shared" si="6"/>
        <v>0</v>
      </c>
      <c r="E88" s="206"/>
      <c r="F88" s="262"/>
      <c r="G88" s="221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40</v>
      </c>
      <c r="B89" s="193">
        <f>'Données projet'!D92</f>
        <v>56</v>
      </c>
      <c r="C89" s="206">
        <v>15</v>
      </c>
      <c r="D89" s="191">
        <f t="shared" si="6"/>
        <v>840</v>
      </c>
      <c r="E89" s="206"/>
      <c r="F89" s="262"/>
      <c r="G89" s="221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45</v>
      </c>
      <c r="B90" s="193">
        <f>'Données projet'!D93</f>
        <v>0</v>
      </c>
      <c r="C90" s="206"/>
      <c r="D90" s="191">
        <f t="shared" si="6"/>
        <v>0</v>
      </c>
      <c r="E90" s="206"/>
      <c r="F90" s="262"/>
      <c r="G90" s="221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50</v>
      </c>
      <c r="B91" s="193">
        <f>'Données projet'!D94</f>
        <v>56</v>
      </c>
      <c r="C91" s="206">
        <v>20</v>
      </c>
      <c r="D91" s="191">
        <f t="shared" si="6"/>
        <v>1120</v>
      </c>
      <c r="E91" s="206"/>
      <c r="F91" s="262"/>
      <c r="G91" s="222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55</v>
      </c>
      <c r="B92" s="193">
        <f>'Données projet'!D95</f>
        <v>0</v>
      </c>
      <c r="C92" s="206"/>
      <c r="D92" s="191">
        <f t="shared" si="6"/>
        <v>0</v>
      </c>
      <c r="E92" s="206"/>
      <c r="F92" s="262"/>
      <c r="G92" s="222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60</v>
      </c>
      <c r="B93" s="193">
        <f>'Données projet'!D96</f>
        <v>56</v>
      </c>
      <c r="C93" s="206">
        <v>30</v>
      </c>
      <c r="D93" s="191">
        <f t="shared" si="6"/>
        <v>1680</v>
      </c>
      <c r="E93" s="206"/>
      <c r="F93" s="262"/>
      <c r="G93" s="222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65</v>
      </c>
      <c r="B94" s="193">
        <f>'Données projet'!D97</f>
        <v>0</v>
      </c>
      <c r="C94" s="206"/>
      <c r="D94" s="191">
        <f t="shared" si="6"/>
        <v>0</v>
      </c>
      <c r="E94" s="206"/>
      <c r="F94" s="262"/>
      <c r="G94" s="222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70</v>
      </c>
      <c r="B95" s="193">
        <f>'Données projet'!D98</f>
        <v>56</v>
      </c>
      <c r="C95" s="206">
        <v>40</v>
      </c>
      <c r="D95" s="191">
        <f t="shared" si="6"/>
        <v>2240</v>
      </c>
      <c r="E95" s="206"/>
      <c r="F95" s="262"/>
      <c r="G95" s="222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75</v>
      </c>
      <c r="B96" s="193">
        <f>'Données projet'!D99</f>
        <v>0</v>
      </c>
      <c r="C96" s="206"/>
      <c r="D96" s="191">
        <f t="shared" si="6"/>
        <v>0</v>
      </c>
      <c r="E96" s="206"/>
      <c r="F96" s="262"/>
      <c r="G96" s="222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80</v>
      </c>
      <c r="B97" s="193">
        <f>'Données projet'!D100</f>
        <v>56</v>
      </c>
      <c r="C97" s="206">
        <v>50</v>
      </c>
      <c r="D97" s="191">
        <f t="shared" si="6"/>
        <v>2800</v>
      </c>
      <c r="E97" s="206"/>
      <c r="F97" s="262"/>
      <c r="G97" s="222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90</v>
      </c>
      <c r="B98" s="193">
        <f>'Données projet'!D101</f>
        <v>56</v>
      </c>
      <c r="C98" s="206">
        <v>60</v>
      </c>
      <c r="D98" s="191">
        <f t="shared" si="6"/>
        <v>3360</v>
      </c>
      <c r="E98" s="206"/>
      <c r="F98" s="262"/>
      <c r="G98" s="222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100</v>
      </c>
      <c r="B99" s="193">
        <f>'Données projet'!D102</f>
        <v>55</v>
      </c>
      <c r="C99" s="206">
        <v>70</v>
      </c>
      <c r="D99" s="191">
        <f t="shared" si="6"/>
        <v>3850</v>
      </c>
      <c r="E99" s="206"/>
      <c r="F99" s="262"/>
      <c r="G99" s="222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110</v>
      </c>
      <c r="B100" s="193">
        <f>'Données projet'!D103</f>
        <v>51</v>
      </c>
      <c r="C100" s="206">
        <v>80</v>
      </c>
      <c r="D100" s="191">
        <f t="shared" si="6"/>
        <v>4080</v>
      </c>
      <c r="E100" s="206"/>
      <c r="F100" s="262"/>
      <c r="G100" s="222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120</v>
      </c>
      <c r="B101" s="193">
        <f>'Données projet'!D104</f>
        <v>47</v>
      </c>
      <c r="C101" s="206">
        <v>90</v>
      </c>
      <c r="D101" s="191">
        <f t="shared" si="6"/>
        <v>4230</v>
      </c>
      <c r="E101" s="206"/>
      <c r="F101" s="262"/>
      <c r="G101" s="222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135</v>
      </c>
      <c r="B102" s="193">
        <f>'Données projet'!D105</f>
        <v>65</v>
      </c>
      <c r="C102" s="206">
        <v>120</v>
      </c>
      <c r="D102" s="191">
        <f t="shared" si="6"/>
        <v>7800</v>
      </c>
      <c r="E102" s="206"/>
      <c r="F102" s="262"/>
      <c r="G102" s="222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150</v>
      </c>
      <c r="B103" s="193">
        <f>'Données projet'!D106</f>
        <v>355</v>
      </c>
      <c r="C103" s="206">
        <v>200</v>
      </c>
      <c r="D103" s="191">
        <f t="shared" si="6"/>
        <v>71000</v>
      </c>
      <c r="E103" s="206"/>
      <c r="F103" s="262"/>
      <c r="G103" s="222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2"/>
      <c r="G104" s="222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0"/>
      <c r="G105" s="222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0"/>
      <c r="G106" s="222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>Hêtre</v>
      </c>
      <c r="C107" s="5"/>
      <c r="D107" s="5"/>
      <c r="E107" s="5"/>
      <c r="F107" s="260"/>
      <c r="G107" s="222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0"/>
      <c r="G108" s="222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6" t="s">
        <v>180</v>
      </c>
      <c r="B109" s="51" t="s">
        <v>256</v>
      </c>
      <c r="C109" s="51" t="s">
        <v>255</v>
      </c>
      <c r="D109" s="256" t="s">
        <v>252</v>
      </c>
      <c r="E109" s="256" t="s">
        <v>320</v>
      </c>
      <c r="F109" s="261"/>
      <c r="G109" s="222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09">
        <v>0</v>
      </c>
      <c r="B110" s="212" t="s">
        <v>132</v>
      </c>
      <c r="C110" s="211" t="s">
        <v>132</v>
      </c>
      <c r="D110" s="210" t="s">
        <v>132</v>
      </c>
      <c r="E110" s="206"/>
      <c r="F110" s="261"/>
      <c r="G110" s="222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09">
        <v>1</v>
      </c>
      <c r="B111" s="212" t="s">
        <v>132</v>
      </c>
      <c r="C111" s="211" t="s">
        <v>132</v>
      </c>
      <c r="D111" s="210" t="s">
        <v>132</v>
      </c>
      <c r="E111" s="206"/>
      <c r="F111" s="261"/>
      <c r="G111" s="220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09">
        <v>2</v>
      </c>
      <c r="B112" s="212" t="s">
        <v>132</v>
      </c>
      <c r="C112" s="211" t="s">
        <v>132</v>
      </c>
      <c r="D112" s="210" t="s">
        <v>132</v>
      </c>
      <c r="E112" s="206"/>
      <c r="F112" s="261"/>
      <c r="G112" s="220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09">
        <v>3</v>
      </c>
      <c r="B113" s="212" t="s">
        <v>132</v>
      </c>
      <c r="C113" s="211" t="s">
        <v>132</v>
      </c>
      <c r="D113" s="210" t="s">
        <v>132</v>
      </c>
      <c r="E113" s="206"/>
      <c r="F113" s="261"/>
      <c r="G113" s="220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09">
        <v>4</v>
      </c>
      <c r="B114" s="212" t="s">
        <v>132</v>
      </c>
      <c r="C114" s="211" t="s">
        <v>132</v>
      </c>
      <c r="D114" s="210" t="s">
        <v>132</v>
      </c>
      <c r="E114" s="206"/>
      <c r="F114" s="261"/>
      <c r="G114" s="220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09">
        <v>5</v>
      </c>
      <c r="B115" s="212" t="s">
        <v>132</v>
      </c>
      <c r="C115" s="211" t="s">
        <v>132</v>
      </c>
      <c r="D115" s="210" t="s">
        <v>132</v>
      </c>
      <c r="E115" s="206"/>
      <c r="F115" s="261"/>
      <c r="G115" s="221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20</v>
      </c>
      <c r="B116" s="193">
        <f>'Données projet'!D114</f>
        <v>0</v>
      </c>
      <c r="C116" s="204"/>
      <c r="D116" s="191">
        <f>B116*C116</f>
        <v>0</v>
      </c>
      <c r="E116" s="206"/>
      <c r="F116" s="262"/>
      <c r="G116" s="221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25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2"/>
      <c r="G117" s="221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30</v>
      </c>
      <c r="B118" s="193">
        <f>'Données projet'!D116</f>
        <v>35</v>
      </c>
      <c r="C118" s="204">
        <v>10</v>
      </c>
      <c r="D118" s="191">
        <f t="shared" si="8"/>
        <v>350</v>
      </c>
      <c r="E118" s="206"/>
      <c r="F118" s="262"/>
      <c r="G118" s="221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35</v>
      </c>
      <c r="B119" s="193">
        <f>'Données projet'!D117</f>
        <v>0</v>
      </c>
      <c r="C119" s="204"/>
      <c r="D119" s="191">
        <f t="shared" si="8"/>
        <v>0</v>
      </c>
      <c r="E119" s="206"/>
      <c r="F119" s="262"/>
      <c r="G119" s="221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40</v>
      </c>
      <c r="B120" s="193">
        <f>'Données projet'!D118</f>
        <v>56</v>
      </c>
      <c r="C120" s="204">
        <v>15</v>
      </c>
      <c r="D120" s="191">
        <f t="shared" si="8"/>
        <v>840</v>
      </c>
      <c r="E120" s="206"/>
      <c r="F120" s="262"/>
      <c r="G120" s="221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45</v>
      </c>
      <c r="B121" s="193">
        <f>'Données projet'!D119</f>
        <v>0</v>
      </c>
      <c r="C121" s="204"/>
      <c r="D121" s="191">
        <f t="shared" si="8"/>
        <v>0</v>
      </c>
      <c r="E121" s="206"/>
      <c r="F121" s="262"/>
      <c r="G121" s="221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50</v>
      </c>
      <c r="B122" s="193">
        <f>'Données projet'!D120</f>
        <v>56</v>
      </c>
      <c r="C122" s="204">
        <v>20</v>
      </c>
      <c r="D122" s="191">
        <f t="shared" si="8"/>
        <v>1120</v>
      </c>
      <c r="E122" s="206"/>
      <c r="F122" s="262"/>
      <c r="G122" s="222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55</v>
      </c>
      <c r="B123" s="193">
        <f>'Données projet'!D121</f>
        <v>0</v>
      </c>
      <c r="C123" s="204"/>
      <c r="D123" s="191">
        <f t="shared" si="8"/>
        <v>0</v>
      </c>
      <c r="E123" s="206"/>
      <c r="F123" s="262"/>
      <c r="G123" s="222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60</v>
      </c>
      <c r="B124" s="193">
        <f>'Données projet'!D122</f>
        <v>56</v>
      </c>
      <c r="C124" s="204">
        <v>25</v>
      </c>
      <c r="D124" s="191">
        <f t="shared" si="8"/>
        <v>1400</v>
      </c>
      <c r="E124" s="206"/>
      <c r="F124" s="262"/>
      <c r="G124" s="222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65</v>
      </c>
      <c r="B125" s="193">
        <f>'Données projet'!D123</f>
        <v>0</v>
      </c>
      <c r="C125" s="204"/>
      <c r="D125" s="191">
        <f t="shared" si="8"/>
        <v>0</v>
      </c>
      <c r="E125" s="206"/>
      <c r="F125" s="262"/>
      <c r="G125" s="222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70</v>
      </c>
      <c r="B126" s="193">
        <f>'Données projet'!D124</f>
        <v>56</v>
      </c>
      <c r="C126" s="204">
        <v>30</v>
      </c>
      <c r="D126" s="191">
        <f t="shared" si="8"/>
        <v>1680</v>
      </c>
      <c r="E126" s="206"/>
      <c r="F126" s="262"/>
      <c r="G126" s="222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75</v>
      </c>
      <c r="B127" s="193">
        <f>'Données projet'!D125</f>
        <v>0</v>
      </c>
      <c r="C127" s="204"/>
      <c r="D127" s="191">
        <f t="shared" si="8"/>
        <v>0</v>
      </c>
      <c r="E127" s="206"/>
      <c r="F127" s="262"/>
      <c r="G127" s="222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80</v>
      </c>
      <c r="B128" s="193">
        <f>'Données projet'!D126</f>
        <v>66</v>
      </c>
      <c r="C128" s="204">
        <v>35</v>
      </c>
      <c r="D128" s="191">
        <f t="shared" si="8"/>
        <v>2310</v>
      </c>
      <c r="E128" s="206"/>
      <c r="F128" s="262"/>
      <c r="G128" s="222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90</v>
      </c>
      <c r="B129" s="193">
        <f>'Données projet'!D127</f>
        <v>53</v>
      </c>
      <c r="C129" s="204">
        <v>40</v>
      </c>
      <c r="D129" s="191">
        <f t="shared" si="8"/>
        <v>2120</v>
      </c>
      <c r="E129" s="206"/>
      <c r="F129" s="262"/>
      <c r="G129" s="222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100</v>
      </c>
      <c r="B130" s="193">
        <f>'Données projet'!D128</f>
        <v>49</v>
      </c>
      <c r="C130" s="204">
        <v>45</v>
      </c>
      <c r="D130" s="191">
        <f t="shared" si="8"/>
        <v>2205</v>
      </c>
      <c r="E130" s="206"/>
      <c r="F130" s="262"/>
      <c r="G130" s="222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110</v>
      </c>
      <c r="B131" s="193">
        <f>'Données projet'!D129</f>
        <v>45</v>
      </c>
      <c r="C131" s="204">
        <v>50</v>
      </c>
      <c r="D131" s="191">
        <f t="shared" si="8"/>
        <v>2250</v>
      </c>
      <c r="E131" s="206"/>
      <c r="F131" s="262"/>
      <c r="G131" s="222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120</v>
      </c>
      <c r="B132" s="193">
        <f>'Données projet'!D130</f>
        <v>43</v>
      </c>
      <c r="C132" s="204">
        <v>55</v>
      </c>
      <c r="D132" s="191">
        <f t="shared" si="8"/>
        <v>2365</v>
      </c>
      <c r="E132" s="206"/>
      <c r="F132" s="262"/>
      <c r="G132" s="222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130</v>
      </c>
      <c r="B133" s="193">
        <f>'Données projet'!D131</f>
        <v>41</v>
      </c>
      <c r="C133" s="204">
        <v>60</v>
      </c>
      <c r="D133" s="191">
        <f t="shared" si="8"/>
        <v>2460</v>
      </c>
      <c r="E133" s="206"/>
      <c r="F133" s="262"/>
      <c r="G133" s="222"/>
      <c r="H133" s="203"/>
      <c r="I133" s="204"/>
      <c r="J133" s="5"/>
      <c r="K133" s="183"/>
      <c r="Q133" s="26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140</v>
      </c>
      <c r="B134" s="193">
        <f>'Données projet'!D132</f>
        <v>39</v>
      </c>
      <c r="C134" s="204">
        <v>65</v>
      </c>
      <c r="D134" s="191">
        <f t="shared" si="8"/>
        <v>2535</v>
      </c>
      <c r="E134" s="206"/>
      <c r="F134" s="262"/>
      <c r="G134" s="222"/>
      <c r="H134" s="203"/>
      <c r="I134" s="204"/>
      <c r="J134" s="5"/>
      <c r="K134" s="183"/>
      <c r="Q134" s="26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150</v>
      </c>
      <c r="B135" s="193">
        <f>'Données projet'!D133</f>
        <v>467</v>
      </c>
      <c r="C135" s="204">
        <v>80</v>
      </c>
      <c r="D135" s="191">
        <f t="shared" si="8"/>
        <v>37360</v>
      </c>
      <c r="E135" s="206"/>
      <c r="F135" s="262"/>
      <c r="G135" s="222"/>
      <c r="H135" s="203"/>
      <c r="I135" s="204"/>
      <c r="J135" s="5"/>
      <c r="K135" s="183"/>
      <c r="Q135" s="26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0"/>
      <c r="G136" s="222"/>
      <c r="H136" s="203"/>
      <c r="I136" s="204"/>
      <c r="J136" s="5"/>
      <c r="K136" s="183"/>
      <c r="L136" s="5"/>
      <c r="M136" s="5"/>
      <c r="N136" s="5"/>
      <c r="Q136" s="26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0"/>
      <c r="G137" s="222"/>
      <c r="H137" s="203"/>
      <c r="I137" s="204"/>
      <c r="J137" s="5"/>
      <c r="K137" s="183"/>
      <c r="L137" s="5"/>
      <c r="M137" s="5"/>
      <c r="N137" s="5"/>
      <c r="Q137" s="26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>Merisier</v>
      </c>
      <c r="C138" s="5"/>
      <c r="D138" s="5"/>
      <c r="E138" s="5"/>
      <c r="F138" s="260"/>
      <c r="G138" s="222"/>
      <c r="H138" s="203"/>
      <c r="I138" s="204"/>
      <c r="J138" s="5"/>
      <c r="K138" s="183"/>
      <c r="L138" s="5"/>
      <c r="M138" s="5"/>
      <c r="N138" s="5"/>
      <c r="Q138" s="26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0"/>
      <c r="G139" s="222"/>
      <c r="H139" s="203"/>
      <c r="I139" s="204"/>
      <c r="J139" s="5"/>
      <c r="K139" s="183"/>
      <c r="L139" s="5"/>
      <c r="M139" s="5"/>
      <c r="N139" s="5"/>
      <c r="Q139" s="26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6" t="s">
        <v>180</v>
      </c>
      <c r="B140" s="51" t="s">
        <v>256</v>
      </c>
      <c r="C140" s="51" t="s">
        <v>255</v>
      </c>
      <c r="D140" s="256" t="s">
        <v>252</v>
      </c>
      <c r="E140" s="256" t="s">
        <v>320</v>
      </c>
      <c r="F140" s="261"/>
      <c r="G140" s="222"/>
      <c r="H140" s="203"/>
      <c r="I140" s="204"/>
      <c r="J140" s="5"/>
      <c r="K140" s="183"/>
      <c r="L140" s="5"/>
      <c r="M140" s="5"/>
      <c r="N140" s="5"/>
      <c r="Q140" s="26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09">
        <v>0</v>
      </c>
      <c r="B141" s="212" t="s">
        <v>132</v>
      </c>
      <c r="C141" s="211" t="s">
        <v>132</v>
      </c>
      <c r="D141" s="210" t="s">
        <v>132</v>
      </c>
      <c r="E141" s="206"/>
      <c r="F141" s="261"/>
      <c r="G141" s="222"/>
      <c r="H141" s="203"/>
      <c r="I141" s="204"/>
      <c r="J141" s="5"/>
      <c r="K141" s="183"/>
      <c r="L141" s="5"/>
      <c r="M141" s="5"/>
      <c r="N141" s="5"/>
      <c r="Q141" s="26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09">
        <v>1</v>
      </c>
      <c r="B142" s="212" t="s">
        <v>132</v>
      </c>
      <c r="C142" s="211" t="s">
        <v>132</v>
      </c>
      <c r="D142" s="210" t="s">
        <v>132</v>
      </c>
      <c r="E142" s="206"/>
      <c r="F142" s="261"/>
      <c r="G142" s="220"/>
      <c r="H142" s="203"/>
      <c r="I142" s="204"/>
      <c r="J142" s="5"/>
      <c r="K142" s="183"/>
      <c r="L142" s="5"/>
      <c r="M142" s="5"/>
      <c r="N142" s="5"/>
      <c r="Q142" s="26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09">
        <v>2</v>
      </c>
      <c r="B143" s="212" t="s">
        <v>132</v>
      </c>
      <c r="C143" s="211" t="s">
        <v>132</v>
      </c>
      <c r="D143" s="210" t="s">
        <v>132</v>
      </c>
      <c r="E143" s="206"/>
      <c r="F143" s="261"/>
      <c r="G143" s="220"/>
      <c r="H143" s="203"/>
      <c r="I143" s="204"/>
      <c r="J143" s="5"/>
      <c r="K143" s="183"/>
      <c r="L143" s="5"/>
      <c r="M143" s="5"/>
      <c r="N143" s="5"/>
      <c r="Q143" s="26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09">
        <v>3</v>
      </c>
      <c r="B144" s="212" t="s">
        <v>132</v>
      </c>
      <c r="C144" s="211" t="s">
        <v>132</v>
      </c>
      <c r="D144" s="210" t="s">
        <v>132</v>
      </c>
      <c r="E144" s="206"/>
      <c r="F144" s="261"/>
      <c r="G144" s="220"/>
      <c r="H144" s="203"/>
      <c r="I144" s="204"/>
      <c r="J144" s="5"/>
      <c r="K144" s="183"/>
      <c r="L144" s="5"/>
      <c r="M144" s="5"/>
      <c r="N144" s="5"/>
      <c r="Q144" s="26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09">
        <v>4</v>
      </c>
      <c r="B145" s="212" t="s">
        <v>132</v>
      </c>
      <c r="C145" s="211" t="s">
        <v>132</v>
      </c>
      <c r="D145" s="210" t="s">
        <v>132</v>
      </c>
      <c r="E145" s="206"/>
      <c r="F145" s="261"/>
      <c r="G145" s="220"/>
      <c r="H145" s="203"/>
      <c r="I145" s="204"/>
      <c r="J145" s="5"/>
      <c r="K145" s="183"/>
      <c r="L145" s="5"/>
      <c r="M145" s="5"/>
      <c r="N145" s="5"/>
      <c r="Q145" s="26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09">
        <v>5</v>
      </c>
      <c r="B146" s="212" t="s">
        <v>132</v>
      </c>
      <c r="C146" s="211" t="s">
        <v>132</v>
      </c>
      <c r="D146" s="210" t="s">
        <v>132</v>
      </c>
      <c r="E146" s="206"/>
      <c r="F146" s="261"/>
      <c r="G146" s="221"/>
      <c r="H146" s="203"/>
      <c r="I146" s="204"/>
      <c r="J146" s="5"/>
      <c r="K146" s="183"/>
      <c r="L146" s="5"/>
      <c r="M146" s="5"/>
      <c r="N146" s="5"/>
      <c r="Q146" s="26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15</v>
      </c>
      <c r="B147" s="187">
        <f>'Données projet'!D140</f>
        <v>0</v>
      </c>
      <c r="C147" s="204"/>
      <c r="D147" s="194">
        <f>B147*C147</f>
        <v>0</v>
      </c>
      <c r="E147" s="206"/>
      <c r="F147" s="263"/>
      <c r="G147" s="221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20</v>
      </c>
      <c r="B148" s="187">
        <f>'Données projet'!D141</f>
        <v>3</v>
      </c>
      <c r="C148" s="204">
        <v>10</v>
      </c>
      <c r="D148" s="194">
        <f t="shared" ref="D148:D166" si="10">B148*C148</f>
        <v>30</v>
      </c>
      <c r="E148" s="206"/>
      <c r="F148" s="263"/>
      <c r="G148" s="221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25</v>
      </c>
      <c r="B149" s="187">
        <f>'Données projet'!D142</f>
        <v>52</v>
      </c>
      <c r="C149" s="204">
        <v>10</v>
      </c>
      <c r="D149" s="194">
        <f t="shared" si="10"/>
        <v>520</v>
      </c>
      <c r="E149" s="206"/>
      <c r="F149" s="263"/>
      <c r="G149" s="221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31</v>
      </c>
      <c r="B150" s="187">
        <f>'Données projet'!D143</f>
        <v>36</v>
      </c>
      <c r="C150" s="204">
        <v>10</v>
      </c>
      <c r="D150" s="194">
        <f t="shared" si="10"/>
        <v>360</v>
      </c>
      <c r="E150" s="206"/>
      <c r="F150" s="263"/>
      <c r="G150" s="221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37</v>
      </c>
      <c r="B151" s="187">
        <f>'Données projet'!D144</f>
        <v>36</v>
      </c>
      <c r="C151" s="204">
        <v>15</v>
      </c>
      <c r="D151" s="194">
        <f t="shared" si="10"/>
        <v>540</v>
      </c>
      <c r="E151" s="206"/>
      <c r="F151" s="263"/>
      <c r="G151" s="221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44</v>
      </c>
      <c r="B152" s="187">
        <f>'Données projet'!D145</f>
        <v>43</v>
      </c>
      <c r="C152" s="204">
        <v>20</v>
      </c>
      <c r="D152" s="194">
        <f t="shared" si="10"/>
        <v>860</v>
      </c>
      <c r="E152" s="206"/>
      <c r="F152" s="263"/>
      <c r="G152" s="221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52</v>
      </c>
      <c r="B153" s="187">
        <f>'Données projet'!D146</f>
        <v>48</v>
      </c>
      <c r="C153" s="204">
        <v>30</v>
      </c>
      <c r="D153" s="194">
        <f t="shared" si="10"/>
        <v>1440</v>
      </c>
      <c r="E153" s="206"/>
      <c r="F153" s="263"/>
      <c r="G153" s="217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60</v>
      </c>
      <c r="B154" s="187">
        <f>'Données projet'!D147</f>
        <v>47</v>
      </c>
      <c r="C154" s="204">
        <v>50</v>
      </c>
      <c r="D154" s="194">
        <f t="shared" si="10"/>
        <v>2350</v>
      </c>
      <c r="E154" s="206"/>
      <c r="F154" s="263"/>
      <c r="G154" s="217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69</v>
      </c>
      <c r="B155" s="187">
        <f>'Données projet'!D148</f>
        <v>328</v>
      </c>
      <c r="C155" s="206">
        <v>100</v>
      </c>
      <c r="D155" s="194">
        <f t="shared" si="10"/>
        <v>32800</v>
      </c>
      <c r="E155" s="206"/>
      <c r="F155" s="263"/>
      <c r="G155" s="217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3"/>
      <c r="G156" s="217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3"/>
      <c r="G157" s="217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3"/>
      <c r="G158" s="217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3"/>
      <c r="G159" s="217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3"/>
      <c r="G160" s="217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3"/>
      <c r="G161" s="217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3"/>
      <c r="G162" s="217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3"/>
      <c r="G163" s="217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3"/>
      <c r="G164" s="217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3"/>
      <c r="G165" s="217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3"/>
      <c r="G166" s="217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0"/>
      <c r="G167" s="217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0"/>
      <c r="G168" s="217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>Charme</v>
      </c>
      <c r="C169" s="5"/>
      <c r="D169" s="5"/>
      <c r="E169" s="5"/>
      <c r="F169" s="260"/>
      <c r="G169" s="217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0"/>
      <c r="G170" s="217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6" t="s">
        <v>180</v>
      </c>
      <c r="B171" s="51" t="s">
        <v>256</v>
      </c>
      <c r="C171" s="51" t="s">
        <v>255</v>
      </c>
      <c r="D171" s="256" t="s">
        <v>252</v>
      </c>
      <c r="E171" s="256" t="s">
        <v>320</v>
      </c>
      <c r="F171" s="261"/>
      <c r="G171" s="217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09">
        <v>0</v>
      </c>
      <c r="B172" s="212" t="s">
        <v>132</v>
      </c>
      <c r="C172" s="211" t="s">
        <v>132</v>
      </c>
      <c r="D172" s="210" t="s">
        <v>132</v>
      </c>
      <c r="E172" s="206"/>
      <c r="F172" s="261"/>
      <c r="G172" s="217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09">
        <v>1</v>
      </c>
      <c r="B173" s="212" t="s">
        <v>132</v>
      </c>
      <c r="C173" s="211" t="s">
        <v>132</v>
      </c>
      <c r="D173" s="210" t="s">
        <v>132</v>
      </c>
      <c r="E173" s="206"/>
      <c r="F173" s="261"/>
      <c r="G173" s="220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09">
        <v>2</v>
      </c>
      <c r="B174" s="212" t="s">
        <v>132</v>
      </c>
      <c r="C174" s="211" t="s">
        <v>132</v>
      </c>
      <c r="D174" s="210" t="s">
        <v>132</v>
      </c>
      <c r="E174" s="206"/>
      <c r="F174" s="261"/>
      <c r="G174" s="220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09">
        <v>3</v>
      </c>
      <c r="B175" s="212" t="s">
        <v>132</v>
      </c>
      <c r="C175" s="211" t="s">
        <v>132</v>
      </c>
      <c r="D175" s="210" t="s">
        <v>132</v>
      </c>
      <c r="E175" s="206"/>
      <c r="F175" s="261"/>
      <c r="G175" s="220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09">
        <v>4</v>
      </c>
      <c r="B176" s="212" t="s">
        <v>132</v>
      </c>
      <c r="C176" s="211" t="s">
        <v>132</v>
      </c>
      <c r="D176" s="210" t="s">
        <v>132</v>
      </c>
      <c r="E176" s="206"/>
      <c r="F176" s="261"/>
      <c r="G176" s="220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09">
        <v>5</v>
      </c>
      <c r="B177" s="212" t="s">
        <v>132</v>
      </c>
      <c r="C177" s="211" t="s">
        <v>132</v>
      </c>
      <c r="D177" s="210" t="s">
        <v>132</v>
      </c>
      <c r="E177" s="206"/>
      <c r="F177" s="261"/>
      <c r="G177" s="221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10</v>
      </c>
      <c r="B178" s="193">
        <f>'Données projet'!D166</f>
        <v>0</v>
      </c>
      <c r="C178" s="206"/>
      <c r="D178" s="191">
        <f>B178*C178</f>
        <v>0</v>
      </c>
      <c r="E178" s="206"/>
      <c r="F178" s="262"/>
      <c r="G178" s="221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15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2"/>
      <c r="G179" s="221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20</v>
      </c>
      <c r="B180" s="193">
        <f>'Données projet'!D168</f>
        <v>28.846153846153847</v>
      </c>
      <c r="C180" s="204">
        <v>10</v>
      </c>
      <c r="D180" s="191">
        <f t="shared" si="11"/>
        <v>288.46153846153845</v>
      </c>
      <c r="E180" s="206"/>
      <c r="F180" s="262"/>
      <c r="G180" s="221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25</v>
      </c>
      <c r="B181" s="193">
        <f>'Données projet'!D169</f>
        <v>0</v>
      </c>
      <c r="C181" s="204"/>
      <c r="D181" s="191">
        <f t="shared" si="11"/>
        <v>0</v>
      </c>
      <c r="E181" s="206"/>
      <c r="F181" s="262"/>
      <c r="G181" s="221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30</v>
      </c>
      <c r="B182" s="193">
        <f>'Données projet'!D170</f>
        <v>33.974358974358971</v>
      </c>
      <c r="C182" s="204">
        <v>10</v>
      </c>
      <c r="D182" s="191">
        <f t="shared" si="11"/>
        <v>339.74358974358972</v>
      </c>
      <c r="E182" s="206"/>
      <c r="F182" s="262"/>
      <c r="G182" s="221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35</v>
      </c>
      <c r="B183" s="193">
        <f>'Données projet'!D171</f>
        <v>0</v>
      </c>
      <c r="C183" s="204"/>
      <c r="D183" s="191">
        <f t="shared" si="11"/>
        <v>0</v>
      </c>
      <c r="E183" s="206"/>
      <c r="F183" s="262"/>
      <c r="G183" s="221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40</v>
      </c>
      <c r="B184" s="193">
        <f>'Données projet'!D172</f>
        <v>37.179487179487175</v>
      </c>
      <c r="C184" s="204">
        <v>15</v>
      </c>
      <c r="D184" s="191">
        <f t="shared" si="11"/>
        <v>557.69230769230762</v>
      </c>
      <c r="E184" s="206"/>
      <c r="F184" s="262"/>
      <c r="G184" s="222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45</v>
      </c>
      <c r="B185" s="193">
        <f>'Données projet'!D173</f>
        <v>0</v>
      </c>
      <c r="C185" s="204"/>
      <c r="D185" s="191">
        <f t="shared" si="11"/>
        <v>0</v>
      </c>
      <c r="E185" s="206"/>
      <c r="F185" s="262"/>
      <c r="G185" s="222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50</v>
      </c>
      <c r="B186" s="193">
        <f>'Données projet'!D174</f>
        <v>37.179487179487175</v>
      </c>
      <c r="C186" s="204">
        <v>20</v>
      </c>
      <c r="D186" s="191">
        <f t="shared" si="11"/>
        <v>743.58974358974353</v>
      </c>
      <c r="E186" s="206"/>
      <c r="F186" s="262"/>
      <c r="G186" s="222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55</v>
      </c>
      <c r="B187" s="193">
        <f>'Données projet'!D175</f>
        <v>0</v>
      </c>
      <c r="C187" s="204"/>
      <c r="D187" s="191">
        <f t="shared" si="11"/>
        <v>0</v>
      </c>
      <c r="E187" s="206"/>
      <c r="F187" s="262"/>
      <c r="G187" s="222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60</v>
      </c>
      <c r="B188" s="193">
        <f>'Données projet'!D176</f>
        <v>35.256410256410255</v>
      </c>
      <c r="C188" s="204">
        <v>25</v>
      </c>
      <c r="D188" s="191">
        <f t="shared" si="11"/>
        <v>881.41025641025635</v>
      </c>
      <c r="E188" s="206"/>
      <c r="F188" s="262"/>
      <c r="G188" s="222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65</v>
      </c>
      <c r="B189" s="193">
        <f>'Données projet'!D177</f>
        <v>0</v>
      </c>
      <c r="C189" s="204"/>
      <c r="D189" s="191">
        <f t="shared" si="11"/>
        <v>0</v>
      </c>
      <c r="E189" s="206"/>
      <c r="F189" s="262"/>
      <c r="G189" s="222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70</v>
      </c>
      <c r="B190" s="193">
        <f>'Données projet'!D178</f>
        <v>33.974358974358971</v>
      </c>
      <c r="C190" s="204">
        <v>30</v>
      </c>
      <c r="D190" s="191">
        <f t="shared" si="11"/>
        <v>1019.2307692307692</v>
      </c>
      <c r="E190" s="206"/>
      <c r="F190" s="262"/>
      <c r="G190" s="222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75</v>
      </c>
      <c r="B191" s="193">
        <f>'Données projet'!D179</f>
        <v>0</v>
      </c>
      <c r="C191" s="204"/>
      <c r="D191" s="191">
        <f t="shared" si="11"/>
        <v>0</v>
      </c>
      <c r="E191" s="206"/>
      <c r="F191" s="262"/>
      <c r="G191" s="222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80</v>
      </c>
      <c r="B192" s="193">
        <f>'Données projet'!D180</f>
        <v>31.410256410256409</v>
      </c>
      <c r="C192" s="206">
        <v>35</v>
      </c>
      <c r="D192" s="191">
        <f t="shared" si="11"/>
        <v>1099.3589743589744</v>
      </c>
      <c r="E192" s="206"/>
      <c r="F192" s="262"/>
      <c r="G192" s="222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85</v>
      </c>
      <c r="B193" s="193">
        <f>'Données projet'!D181</f>
        <v>0</v>
      </c>
      <c r="C193" s="206"/>
      <c r="D193" s="191">
        <f t="shared" si="11"/>
        <v>0</v>
      </c>
      <c r="E193" s="206"/>
      <c r="F193" s="262"/>
      <c r="G193" s="222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90</v>
      </c>
      <c r="B194" s="193">
        <f>'Données projet'!D182</f>
        <v>30.128205128205128</v>
      </c>
      <c r="C194" s="206">
        <v>40</v>
      </c>
      <c r="D194" s="191">
        <f t="shared" si="11"/>
        <v>1205.1282051282051</v>
      </c>
      <c r="E194" s="206"/>
      <c r="F194" s="262"/>
      <c r="G194" s="222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100</v>
      </c>
      <c r="B195" s="193">
        <f>'Données projet'!D183</f>
        <v>28.205128205128204</v>
      </c>
      <c r="C195" s="206">
        <v>45</v>
      </c>
      <c r="D195" s="191">
        <f t="shared" si="11"/>
        <v>1269.2307692307693</v>
      </c>
      <c r="E195" s="206"/>
      <c r="F195" s="262"/>
      <c r="G195" s="222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110</v>
      </c>
      <c r="B196" s="193">
        <f>'Données projet'!D184</f>
        <v>26.282051282051281</v>
      </c>
      <c r="C196" s="206">
        <v>45</v>
      </c>
      <c r="D196" s="191">
        <f t="shared" si="11"/>
        <v>1182.6923076923076</v>
      </c>
      <c r="E196" s="206"/>
      <c r="F196" s="262"/>
      <c r="G196" s="222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120</v>
      </c>
      <c r="B197" s="193">
        <f>'Données projet'!D185</f>
        <v>300.64102564102564</v>
      </c>
      <c r="C197" s="206">
        <v>50</v>
      </c>
      <c r="D197" s="191">
        <f t="shared" si="11"/>
        <v>15032.051282051281</v>
      </c>
      <c r="E197" s="206"/>
      <c r="F197" s="262"/>
      <c r="G197" s="222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0"/>
      <c r="G198" s="222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0"/>
      <c r="G199" s="222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>Alisier torminal</v>
      </c>
      <c r="C200" s="5"/>
      <c r="D200" s="5"/>
      <c r="E200" s="5"/>
      <c r="F200" s="260"/>
      <c r="G200" s="222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0"/>
      <c r="G201" s="222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6" t="s">
        <v>180</v>
      </c>
      <c r="B202" s="51" t="s">
        <v>256</v>
      </c>
      <c r="C202" s="51" t="s">
        <v>255</v>
      </c>
      <c r="D202" s="256" t="s">
        <v>252</v>
      </c>
      <c r="E202" s="256" t="s">
        <v>320</v>
      </c>
      <c r="F202" s="261"/>
      <c r="G202" s="222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09">
        <v>0</v>
      </c>
      <c r="B203" s="212" t="s">
        <v>132</v>
      </c>
      <c r="C203" s="211" t="s">
        <v>132</v>
      </c>
      <c r="D203" s="210" t="s">
        <v>132</v>
      </c>
      <c r="E203" s="206"/>
      <c r="F203" s="261"/>
      <c r="G203" s="222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09">
        <v>1</v>
      </c>
      <c r="B204" s="212" t="s">
        <v>132</v>
      </c>
      <c r="C204" s="211" t="s">
        <v>132</v>
      </c>
      <c r="D204" s="210" t="s">
        <v>132</v>
      </c>
      <c r="E204" s="206"/>
      <c r="F204" s="261"/>
      <c r="G204" s="220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09">
        <v>2</v>
      </c>
      <c r="B205" s="212" t="s">
        <v>132</v>
      </c>
      <c r="C205" s="211" t="s">
        <v>132</v>
      </c>
      <c r="D205" s="210" t="s">
        <v>132</v>
      </c>
      <c r="E205" s="206"/>
      <c r="F205" s="261"/>
      <c r="G205" s="220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09">
        <v>3</v>
      </c>
      <c r="B206" s="212" t="s">
        <v>132</v>
      </c>
      <c r="C206" s="211" t="s">
        <v>132</v>
      </c>
      <c r="D206" s="210" t="s">
        <v>132</v>
      </c>
      <c r="E206" s="206"/>
      <c r="F206" s="261"/>
      <c r="G206" s="220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09">
        <v>4</v>
      </c>
      <c r="B207" s="212" t="s">
        <v>132</v>
      </c>
      <c r="C207" s="211" t="s">
        <v>132</v>
      </c>
      <c r="D207" s="210" t="s">
        <v>132</v>
      </c>
      <c r="E207" s="206"/>
      <c r="F207" s="261"/>
      <c r="G207" s="220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09">
        <v>5</v>
      </c>
      <c r="B208" s="212" t="s">
        <v>132</v>
      </c>
      <c r="C208" s="211" t="s">
        <v>132</v>
      </c>
      <c r="D208" s="210" t="s">
        <v>132</v>
      </c>
      <c r="E208" s="206"/>
      <c r="F208" s="261"/>
      <c r="G208" s="221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20</v>
      </c>
      <c r="B209" s="193">
        <f>'Données projet'!D192</f>
        <v>0</v>
      </c>
      <c r="C209" s="206"/>
      <c r="D209" s="191">
        <f>B209*C209</f>
        <v>0</v>
      </c>
      <c r="E209" s="206"/>
      <c r="F209" s="262"/>
      <c r="G209" s="221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25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2"/>
      <c r="G210" s="221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30</v>
      </c>
      <c r="B211" s="193">
        <f>'Données projet'!D194</f>
        <v>29</v>
      </c>
      <c r="C211" s="206">
        <v>10</v>
      </c>
      <c r="D211" s="191">
        <f t="shared" si="12"/>
        <v>290</v>
      </c>
      <c r="E211" s="206"/>
      <c r="F211" s="262"/>
      <c r="G211" s="221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35</v>
      </c>
      <c r="B212" s="193">
        <f>'Données projet'!D195</f>
        <v>0</v>
      </c>
      <c r="C212" s="206"/>
      <c r="D212" s="191">
        <f t="shared" si="12"/>
        <v>0</v>
      </c>
      <c r="E212" s="206"/>
      <c r="F212" s="262"/>
      <c r="G212" s="221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40</v>
      </c>
      <c r="B213" s="193">
        <f>'Données projet'!D196</f>
        <v>42</v>
      </c>
      <c r="C213" s="206">
        <v>15</v>
      </c>
      <c r="D213" s="191">
        <f t="shared" si="12"/>
        <v>630</v>
      </c>
      <c r="E213" s="206"/>
      <c r="F213" s="262"/>
      <c r="G213" s="221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45</v>
      </c>
      <c r="B214" s="193">
        <f>'Données projet'!D197</f>
        <v>0</v>
      </c>
      <c r="C214" s="206"/>
      <c r="D214" s="191">
        <f t="shared" si="12"/>
        <v>0</v>
      </c>
      <c r="E214" s="206"/>
      <c r="F214" s="262"/>
      <c r="G214" s="221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50</v>
      </c>
      <c r="B215" s="193">
        <f>'Données projet'!D198</f>
        <v>42</v>
      </c>
      <c r="C215" s="206">
        <v>20</v>
      </c>
      <c r="D215" s="191">
        <f t="shared" si="12"/>
        <v>840</v>
      </c>
      <c r="E215" s="206"/>
      <c r="F215" s="262"/>
      <c r="G215" s="222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55</v>
      </c>
      <c r="B216" s="193">
        <f>'Données projet'!D199</f>
        <v>0</v>
      </c>
      <c r="C216" s="206"/>
      <c r="D216" s="191">
        <f t="shared" si="12"/>
        <v>0</v>
      </c>
      <c r="E216" s="206"/>
      <c r="F216" s="262"/>
      <c r="G216" s="222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60</v>
      </c>
      <c r="B217" s="193">
        <f>'Données projet'!D200</f>
        <v>42</v>
      </c>
      <c r="C217" s="206">
        <v>25</v>
      </c>
      <c r="D217" s="191">
        <f t="shared" si="12"/>
        <v>1050</v>
      </c>
      <c r="E217" s="206"/>
      <c r="F217" s="262"/>
      <c r="G217" s="222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65</v>
      </c>
      <c r="B218" s="193">
        <f>'Données projet'!D201</f>
        <v>0</v>
      </c>
      <c r="C218" s="206"/>
      <c r="D218" s="191">
        <f t="shared" si="12"/>
        <v>0</v>
      </c>
      <c r="E218" s="206"/>
      <c r="F218" s="262"/>
      <c r="G218" s="222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70</v>
      </c>
      <c r="B219" s="193">
        <f>'Données projet'!D202</f>
        <v>42</v>
      </c>
      <c r="C219" s="206">
        <v>30</v>
      </c>
      <c r="D219" s="191">
        <f t="shared" si="12"/>
        <v>1260</v>
      </c>
      <c r="E219" s="206"/>
      <c r="F219" s="262"/>
      <c r="G219" s="222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75</v>
      </c>
      <c r="B220" s="193">
        <f>'Données projet'!D203</f>
        <v>0</v>
      </c>
      <c r="C220" s="206"/>
      <c r="D220" s="191">
        <f t="shared" si="12"/>
        <v>0</v>
      </c>
      <c r="E220" s="206"/>
      <c r="F220" s="262"/>
      <c r="G220" s="222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80</v>
      </c>
      <c r="B221" s="193">
        <f>'Données projet'!D204</f>
        <v>42</v>
      </c>
      <c r="C221" s="206">
        <v>40</v>
      </c>
      <c r="D221" s="191">
        <f t="shared" si="12"/>
        <v>1680</v>
      </c>
      <c r="E221" s="206"/>
      <c r="F221" s="262"/>
      <c r="G221" s="222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90</v>
      </c>
      <c r="B222" s="193">
        <f>'Données projet'!D205</f>
        <v>42</v>
      </c>
      <c r="C222" s="206">
        <v>50</v>
      </c>
      <c r="D222" s="191">
        <f t="shared" si="12"/>
        <v>2100</v>
      </c>
      <c r="E222" s="206"/>
      <c r="F222" s="262"/>
      <c r="G222" s="222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100</v>
      </c>
      <c r="B223" s="193">
        <f>'Données projet'!D206</f>
        <v>42</v>
      </c>
      <c r="C223" s="206">
        <v>60</v>
      </c>
      <c r="D223" s="191">
        <f t="shared" si="12"/>
        <v>2520</v>
      </c>
      <c r="E223" s="206"/>
      <c r="F223" s="262"/>
      <c r="G223" s="222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110</v>
      </c>
      <c r="B224" s="193">
        <f>'Données projet'!D207</f>
        <v>39</v>
      </c>
      <c r="C224" s="206">
        <v>70</v>
      </c>
      <c r="D224" s="191">
        <f t="shared" si="12"/>
        <v>2730</v>
      </c>
      <c r="E224" s="206"/>
      <c r="F224" s="262"/>
      <c r="G224" s="222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120</v>
      </c>
      <c r="B225" s="193">
        <f>'Données projet'!D208</f>
        <v>35</v>
      </c>
      <c r="C225" s="206">
        <v>80</v>
      </c>
      <c r="D225" s="191">
        <f t="shared" si="12"/>
        <v>2800</v>
      </c>
      <c r="E225" s="206"/>
      <c r="F225" s="262"/>
      <c r="G225" s="222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130</v>
      </c>
      <c r="B226" s="193">
        <f>'Données projet'!D209</f>
        <v>31</v>
      </c>
      <c r="C226" s="206">
        <v>90</v>
      </c>
      <c r="D226" s="191">
        <f t="shared" si="12"/>
        <v>2790</v>
      </c>
      <c r="E226" s="206"/>
      <c r="F226" s="262"/>
      <c r="G226" s="222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140</v>
      </c>
      <c r="B227" s="193">
        <f>'Données projet'!D210</f>
        <v>27</v>
      </c>
      <c r="C227" s="206">
        <v>120</v>
      </c>
      <c r="D227" s="191">
        <f t="shared" si="12"/>
        <v>3240</v>
      </c>
      <c r="E227" s="206"/>
      <c r="F227" s="262"/>
      <c r="G227" s="222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150</v>
      </c>
      <c r="B228" s="193">
        <f>'Données projet'!D211</f>
        <v>293</v>
      </c>
      <c r="C228" s="206">
        <v>200</v>
      </c>
      <c r="D228" s="191">
        <f t="shared" si="12"/>
        <v>58600</v>
      </c>
      <c r="E228" s="206"/>
      <c r="F228" s="262"/>
      <c r="G228" s="222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0"/>
      <c r="G229" s="222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0"/>
      <c r="G230" s="222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>Chêne rouge d'Amérique</v>
      </c>
      <c r="C231" s="5"/>
      <c r="D231" s="5"/>
      <c r="E231" s="5"/>
      <c r="F231" s="260"/>
      <c r="G231" s="222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0"/>
      <c r="G232" s="222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6" t="s">
        <v>180</v>
      </c>
      <c r="B233" s="51" t="s">
        <v>256</v>
      </c>
      <c r="C233" s="51" t="s">
        <v>255</v>
      </c>
      <c r="D233" s="256" t="s">
        <v>252</v>
      </c>
      <c r="E233" s="256" t="s">
        <v>320</v>
      </c>
      <c r="F233" s="261"/>
      <c r="G233" s="222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09">
        <v>0</v>
      </c>
      <c r="B234" s="212" t="s">
        <v>132</v>
      </c>
      <c r="C234" s="211" t="s">
        <v>132</v>
      </c>
      <c r="D234" s="210" t="s">
        <v>132</v>
      </c>
      <c r="E234" s="206"/>
      <c r="F234" s="261"/>
      <c r="G234" s="222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09">
        <v>1</v>
      </c>
      <c r="B235" s="212" t="s">
        <v>132</v>
      </c>
      <c r="C235" s="211" t="s">
        <v>132</v>
      </c>
      <c r="D235" s="210" t="s">
        <v>132</v>
      </c>
      <c r="E235" s="206"/>
      <c r="F235" s="261"/>
      <c r="G235" s="220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09">
        <v>2</v>
      </c>
      <c r="B236" s="212" t="s">
        <v>132</v>
      </c>
      <c r="C236" s="211" t="s">
        <v>132</v>
      </c>
      <c r="D236" s="210" t="s">
        <v>132</v>
      </c>
      <c r="E236" s="206"/>
      <c r="F236" s="261"/>
      <c r="G236" s="220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09">
        <v>3</v>
      </c>
      <c r="B237" s="212" t="s">
        <v>132</v>
      </c>
      <c r="C237" s="211" t="s">
        <v>132</v>
      </c>
      <c r="D237" s="210" t="s">
        <v>132</v>
      </c>
      <c r="E237" s="206"/>
      <c r="F237" s="261"/>
      <c r="G237" s="220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09">
        <v>4</v>
      </c>
      <c r="B238" s="212" t="s">
        <v>132</v>
      </c>
      <c r="C238" s="211" t="s">
        <v>132</v>
      </c>
      <c r="D238" s="210" t="s">
        <v>132</v>
      </c>
      <c r="E238" s="206"/>
      <c r="F238" s="261"/>
      <c r="G238" s="220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09">
        <v>5</v>
      </c>
      <c r="B239" s="212" t="s">
        <v>132</v>
      </c>
      <c r="C239" s="211" t="s">
        <v>132</v>
      </c>
      <c r="D239" s="210" t="s">
        <v>132</v>
      </c>
      <c r="E239" s="206"/>
      <c r="F239" s="261"/>
      <c r="G239" s="221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10</v>
      </c>
      <c r="B240" s="193">
        <f>'Données projet'!D218</f>
        <v>0</v>
      </c>
      <c r="C240" s="206"/>
      <c r="D240" s="191">
        <f>B240*C240</f>
        <v>0</v>
      </c>
      <c r="E240" s="206"/>
      <c r="F240" s="262"/>
      <c r="G240" s="221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15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2"/>
      <c r="G241" s="221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20</v>
      </c>
      <c r="B242" s="193">
        <f>'Données projet'!D220</f>
        <v>54</v>
      </c>
      <c r="C242" s="206">
        <v>10</v>
      </c>
      <c r="D242" s="191">
        <f t="shared" si="13"/>
        <v>540</v>
      </c>
      <c r="E242" s="206"/>
      <c r="F242" s="262"/>
      <c r="G242" s="221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25</v>
      </c>
      <c r="B243" s="193">
        <f>'Données projet'!D221</f>
        <v>0</v>
      </c>
      <c r="C243" s="206"/>
      <c r="D243" s="191">
        <f t="shared" si="13"/>
        <v>0</v>
      </c>
      <c r="E243" s="206"/>
      <c r="F243" s="262"/>
      <c r="G243" s="221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30</v>
      </c>
      <c r="B244" s="193">
        <f>'Données projet'!D222</f>
        <v>53</v>
      </c>
      <c r="C244" s="206">
        <v>10</v>
      </c>
      <c r="D244" s="191">
        <f t="shared" si="13"/>
        <v>530</v>
      </c>
      <c r="E244" s="206"/>
      <c r="F244" s="262"/>
      <c r="G244" s="221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35</v>
      </c>
      <c r="B245" s="193">
        <f>'Données projet'!D223</f>
        <v>0</v>
      </c>
      <c r="C245" s="206"/>
      <c r="D245" s="191">
        <f t="shared" si="13"/>
        <v>0</v>
      </c>
      <c r="E245" s="206"/>
      <c r="F245" s="262"/>
      <c r="G245" s="221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40</v>
      </c>
      <c r="B246" s="193">
        <f>'Données projet'!D224</f>
        <v>54</v>
      </c>
      <c r="C246" s="206">
        <v>15</v>
      </c>
      <c r="D246" s="191">
        <f t="shared" si="13"/>
        <v>810</v>
      </c>
      <c r="E246" s="206"/>
      <c r="F246" s="262"/>
      <c r="G246" s="222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45</v>
      </c>
      <c r="B247" s="193">
        <f>'Données projet'!D225</f>
        <v>0</v>
      </c>
      <c r="C247" s="206"/>
      <c r="D247" s="191">
        <f t="shared" si="13"/>
        <v>0</v>
      </c>
      <c r="E247" s="206"/>
      <c r="F247" s="262"/>
      <c r="G247" s="222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50</v>
      </c>
      <c r="B248" s="193">
        <f>'Données projet'!D226</f>
        <v>50</v>
      </c>
      <c r="C248" s="206">
        <v>20</v>
      </c>
      <c r="D248" s="191">
        <f t="shared" si="13"/>
        <v>1000</v>
      </c>
      <c r="E248" s="206"/>
      <c r="F248" s="262"/>
      <c r="G248" s="222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55</v>
      </c>
      <c r="B249" s="193">
        <f>'Données projet'!D227</f>
        <v>0</v>
      </c>
      <c r="C249" s="206"/>
      <c r="D249" s="191">
        <f t="shared" si="13"/>
        <v>0</v>
      </c>
      <c r="E249" s="206"/>
      <c r="F249" s="262"/>
      <c r="G249" s="222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60</v>
      </c>
      <c r="B250" s="193">
        <f>'Données projet'!D228</f>
        <v>44</v>
      </c>
      <c r="C250" s="206">
        <v>25</v>
      </c>
      <c r="D250" s="191">
        <f t="shared" si="13"/>
        <v>1100</v>
      </c>
      <c r="E250" s="206"/>
      <c r="F250" s="262"/>
      <c r="G250" s="222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65</v>
      </c>
      <c r="B251" s="193">
        <f>'Données projet'!D229</f>
        <v>0</v>
      </c>
      <c r="C251" s="206"/>
      <c r="D251" s="191">
        <f t="shared" si="13"/>
        <v>0</v>
      </c>
      <c r="E251" s="206"/>
      <c r="F251" s="262"/>
      <c r="G251" s="222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70</v>
      </c>
      <c r="B252" s="193">
        <f>'Données projet'!D230</f>
        <v>38</v>
      </c>
      <c r="C252" s="206">
        <v>30</v>
      </c>
      <c r="D252" s="191">
        <f t="shared" si="13"/>
        <v>1140</v>
      </c>
      <c r="E252" s="206"/>
      <c r="F252" s="262"/>
      <c r="G252" s="222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75</v>
      </c>
      <c r="B253" s="193">
        <f>'Données projet'!D231</f>
        <v>0</v>
      </c>
      <c r="C253" s="206">
        <v>35</v>
      </c>
      <c r="D253" s="191">
        <f t="shared" si="13"/>
        <v>0</v>
      </c>
      <c r="E253" s="206"/>
      <c r="F253" s="262"/>
      <c r="G253" s="222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80</v>
      </c>
      <c r="B254" s="193">
        <f>'Données projet'!D232</f>
        <v>31</v>
      </c>
      <c r="C254" s="206">
        <v>40</v>
      </c>
      <c r="D254" s="191">
        <f t="shared" si="13"/>
        <v>1240</v>
      </c>
      <c r="E254" s="206"/>
      <c r="F254" s="262"/>
      <c r="G254" s="222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85</v>
      </c>
      <c r="B255" s="193">
        <f>'Données projet'!D233</f>
        <v>0</v>
      </c>
      <c r="C255" s="206">
        <v>50</v>
      </c>
      <c r="D255" s="191">
        <f t="shared" si="13"/>
        <v>0</v>
      </c>
      <c r="E255" s="206"/>
      <c r="F255" s="262"/>
      <c r="G255" s="222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90</v>
      </c>
      <c r="B256" s="193">
        <f>'Données projet'!D234</f>
        <v>26</v>
      </c>
      <c r="C256" s="206">
        <v>60</v>
      </c>
      <c r="D256" s="191">
        <f t="shared" si="13"/>
        <v>1560</v>
      </c>
      <c r="E256" s="206"/>
      <c r="F256" s="262"/>
      <c r="G256" s="222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95</v>
      </c>
      <c r="B257" s="193">
        <f>'Données projet'!D235</f>
        <v>0</v>
      </c>
      <c r="C257" s="206">
        <v>70</v>
      </c>
      <c r="D257" s="191">
        <f t="shared" si="13"/>
        <v>0</v>
      </c>
      <c r="E257" s="206"/>
      <c r="F257" s="262"/>
      <c r="G257" s="222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100</v>
      </c>
      <c r="B258" s="193">
        <f>'Données projet'!D236</f>
        <v>24</v>
      </c>
      <c r="C258" s="206">
        <v>80</v>
      </c>
      <c r="D258" s="191">
        <f t="shared" si="13"/>
        <v>1920</v>
      </c>
      <c r="E258" s="206"/>
      <c r="F258" s="262"/>
      <c r="G258" s="222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2"/>
      <c r="G259" s="222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0"/>
      <c r="G260" s="222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0"/>
      <c r="G261" s="222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>Robinier faux-acacia</v>
      </c>
      <c r="C262" s="5"/>
      <c r="D262" s="5"/>
      <c r="E262" s="5"/>
      <c r="F262" s="260"/>
      <c r="G262" s="222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0"/>
      <c r="G263" s="222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6" t="s">
        <v>180</v>
      </c>
      <c r="B264" s="51" t="s">
        <v>256</v>
      </c>
      <c r="C264" s="51" t="s">
        <v>255</v>
      </c>
      <c r="D264" s="256" t="s">
        <v>252</v>
      </c>
      <c r="E264" s="256" t="s">
        <v>320</v>
      </c>
      <c r="F264" s="261"/>
      <c r="G264" s="222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09">
        <v>0</v>
      </c>
      <c r="B265" s="212" t="s">
        <v>132</v>
      </c>
      <c r="C265" s="211" t="s">
        <v>132</v>
      </c>
      <c r="D265" s="210" t="s">
        <v>132</v>
      </c>
      <c r="E265" s="206"/>
      <c r="F265" s="261"/>
      <c r="G265" s="222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09">
        <v>1</v>
      </c>
      <c r="B266" s="212" t="s">
        <v>132</v>
      </c>
      <c r="C266" s="211" t="s">
        <v>132</v>
      </c>
      <c r="D266" s="210" t="s">
        <v>132</v>
      </c>
      <c r="E266" s="206"/>
      <c r="F266" s="261"/>
      <c r="G266" s="220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09">
        <v>2</v>
      </c>
      <c r="B267" s="212" t="s">
        <v>132</v>
      </c>
      <c r="C267" s="211" t="s">
        <v>132</v>
      </c>
      <c r="D267" s="210" t="s">
        <v>132</v>
      </c>
      <c r="E267" s="206"/>
      <c r="F267" s="261"/>
      <c r="G267" s="220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09">
        <v>3</v>
      </c>
      <c r="B268" s="212" t="s">
        <v>132</v>
      </c>
      <c r="C268" s="211" t="s">
        <v>132</v>
      </c>
      <c r="D268" s="210" t="s">
        <v>132</v>
      </c>
      <c r="E268" s="206"/>
      <c r="F268" s="261"/>
      <c r="G268" s="220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09">
        <v>4</v>
      </c>
      <c r="B269" s="212" t="s">
        <v>132</v>
      </c>
      <c r="C269" s="211" t="s">
        <v>132</v>
      </c>
      <c r="D269" s="210" t="s">
        <v>132</v>
      </c>
      <c r="E269" s="206"/>
      <c r="F269" s="261"/>
      <c r="G269" s="220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09">
        <v>5</v>
      </c>
      <c r="B270" s="212" t="s">
        <v>132</v>
      </c>
      <c r="C270" s="211" t="s">
        <v>132</v>
      </c>
      <c r="D270" s="210" t="s">
        <v>132</v>
      </c>
      <c r="E270" s="206"/>
      <c r="F270" s="261"/>
      <c r="G270" s="221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5</v>
      </c>
      <c r="B271" s="193">
        <f>'Données projet'!D244</f>
        <v>0</v>
      </c>
      <c r="C271" s="206"/>
      <c r="D271" s="191">
        <f>B271*C271</f>
        <v>0</v>
      </c>
      <c r="E271" s="206"/>
      <c r="F271" s="262"/>
      <c r="G271" s="221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10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2"/>
      <c r="G272" s="221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15</v>
      </c>
      <c r="B273" s="193">
        <f>'Données projet'!D246</f>
        <v>0</v>
      </c>
      <c r="C273" s="206"/>
      <c r="D273" s="191">
        <f t="shared" si="14"/>
        <v>0</v>
      </c>
      <c r="E273" s="206"/>
      <c r="F273" s="262"/>
      <c r="G273" s="221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20</v>
      </c>
      <c r="B274" s="193">
        <f>'Données projet'!D247</f>
        <v>56</v>
      </c>
      <c r="C274" s="204">
        <v>10</v>
      </c>
      <c r="D274" s="191">
        <f t="shared" si="14"/>
        <v>560</v>
      </c>
      <c r="E274" s="206"/>
      <c r="F274" s="262"/>
      <c r="G274" s="221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25</v>
      </c>
      <c r="B275" s="193">
        <f>'Données projet'!D248</f>
        <v>0</v>
      </c>
      <c r="C275" s="204"/>
      <c r="D275" s="191">
        <f t="shared" si="14"/>
        <v>0</v>
      </c>
      <c r="E275" s="206"/>
      <c r="F275" s="262"/>
      <c r="G275" s="221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30</v>
      </c>
      <c r="B276" s="193">
        <f>'Données projet'!D249</f>
        <v>20</v>
      </c>
      <c r="C276" s="204">
        <v>15</v>
      </c>
      <c r="D276" s="191">
        <f t="shared" si="14"/>
        <v>300</v>
      </c>
      <c r="E276" s="206"/>
      <c r="F276" s="262"/>
      <c r="G276" s="221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35</v>
      </c>
      <c r="B277" s="193">
        <f>'Données projet'!D250</f>
        <v>0</v>
      </c>
      <c r="C277" s="204"/>
      <c r="D277" s="191">
        <f t="shared" si="14"/>
        <v>0</v>
      </c>
      <c r="E277" s="206"/>
      <c r="F277" s="262"/>
      <c r="G277" s="222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40</v>
      </c>
      <c r="B278" s="193">
        <f>'Données projet'!D251</f>
        <v>0</v>
      </c>
      <c r="C278" s="204"/>
      <c r="D278" s="191">
        <f t="shared" si="14"/>
        <v>0</v>
      </c>
      <c r="E278" s="206"/>
      <c r="F278" s="262"/>
      <c r="G278" s="222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45</v>
      </c>
      <c r="B279" s="193">
        <f>'Données projet'!D252</f>
        <v>266</v>
      </c>
      <c r="C279" s="204">
        <v>40</v>
      </c>
      <c r="D279" s="191">
        <f t="shared" si="14"/>
        <v>10640</v>
      </c>
      <c r="E279" s="206"/>
      <c r="F279" s="262"/>
      <c r="G279" s="222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2"/>
      <c r="G280" s="222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2"/>
      <c r="G281" s="222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2"/>
      <c r="G282" s="222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2"/>
      <c r="G283" s="222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2"/>
      <c r="G284" s="222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2"/>
      <c r="G285" s="222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2"/>
      <c r="G286" s="222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2"/>
      <c r="G287" s="222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2"/>
      <c r="G288" s="222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2"/>
      <c r="G289" s="222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2"/>
      <c r="G290" s="222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0"/>
      <c r="G291" s="222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0"/>
      <c r="G292" s="222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>Tilleul</v>
      </c>
      <c r="C293" s="5"/>
      <c r="D293" s="5"/>
      <c r="E293" s="5"/>
      <c r="F293" s="260"/>
      <c r="G293" s="222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0"/>
      <c r="G294" s="222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6" t="s">
        <v>180</v>
      </c>
      <c r="B295" s="51" t="s">
        <v>256</v>
      </c>
      <c r="C295" s="51" t="s">
        <v>255</v>
      </c>
      <c r="D295" s="256" t="s">
        <v>252</v>
      </c>
      <c r="E295" s="256" t="s">
        <v>320</v>
      </c>
      <c r="F295" s="261"/>
      <c r="G295" s="222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09">
        <v>0</v>
      </c>
      <c r="B296" s="212" t="s">
        <v>132</v>
      </c>
      <c r="C296" s="211" t="s">
        <v>132</v>
      </c>
      <c r="D296" s="210" t="s">
        <v>132</v>
      </c>
      <c r="E296" s="206"/>
      <c r="F296" s="261"/>
      <c r="G296" s="222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09">
        <v>1</v>
      </c>
      <c r="B297" s="212" t="s">
        <v>132</v>
      </c>
      <c r="C297" s="211" t="s">
        <v>132</v>
      </c>
      <c r="D297" s="210" t="s">
        <v>132</v>
      </c>
      <c r="E297" s="206"/>
      <c r="F297" s="261"/>
      <c r="G297" s="220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09">
        <v>2</v>
      </c>
      <c r="B298" s="212" t="s">
        <v>132</v>
      </c>
      <c r="C298" s="211" t="s">
        <v>132</v>
      </c>
      <c r="D298" s="210" t="s">
        <v>132</v>
      </c>
      <c r="E298" s="206"/>
      <c r="F298" s="261"/>
      <c r="G298" s="220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09">
        <v>3</v>
      </c>
      <c r="B299" s="212" t="s">
        <v>132</v>
      </c>
      <c r="C299" s="211" t="s">
        <v>132</v>
      </c>
      <c r="D299" s="210" t="s">
        <v>132</v>
      </c>
      <c r="E299" s="206"/>
      <c r="F299" s="261"/>
      <c r="G299" s="220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09">
        <v>4</v>
      </c>
      <c r="B300" s="212" t="s">
        <v>132</v>
      </c>
      <c r="C300" s="211" t="s">
        <v>132</v>
      </c>
      <c r="D300" s="210" t="s">
        <v>132</v>
      </c>
      <c r="E300" s="206"/>
      <c r="F300" s="261"/>
      <c r="G300" s="220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09">
        <v>5</v>
      </c>
      <c r="B301" s="212" t="s">
        <v>132</v>
      </c>
      <c r="C301" s="211" t="s">
        <v>132</v>
      </c>
      <c r="D301" s="210" t="s">
        <v>132</v>
      </c>
      <c r="E301" s="206"/>
      <c r="F301" s="261"/>
      <c r="G301" s="221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15</v>
      </c>
      <c r="B302" s="193">
        <f>'Données projet'!D270</f>
        <v>0</v>
      </c>
      <c r="C302" s="204"/>
      <c r="D302" s="194">
        <f>B302*C302</f>
        <v>0</v>
      </c>
      <c r="E302" s="206"/>
      <c r="F302" s="263"/>
      <c r="G302" s="221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20</v>
      </c>
      <c r="B303" s="193">
        <f>'Données projet'!D271</f>
        <v>24.358974358974358</v>
      </c>
      <c r="C303" s="204">
        <v>10</v>
      </c>
      <c r="D303" s="194">
        <f t="shared" ref="D303:D321" si="15">B303*C303</f>
        <v>243.58974358974359</v>
      </c>
      <c r="E303" s="206"/>
      <c r="F303" s="263"/>
      <c r="G303" s="221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25</v>
      </c>
      <c r="B304" s="193">
        <f>'Données projet'!D272</f>
        <v>0</v>
      </c>
      <c r="C304" s="204"/>
      <c r="D304" s="194">
        <f t="shared" si="15"/>
        <v>0</v>
      </c>
      <c r="E304" s="206"/>
      <c r="F304" s="263"/>
      <c r="G304" s="221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30</v>
      </c>
      <c r="B305" s="193">
        <f>'Données projet'!D273</f>
        <v>32.692307692307693</v>
      </c>
      <c r="C305" s="204">
        <v>10</v>
      </c>
      <c r="D305" s="194">
        <f t="shared" si="15"/>
        <v>326.92307692307691</v>
      </c>
      <c r="E305" s="206"/>
      <c r="F305" s="263"/>
      <c r="G305" s="221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35</v>
      </c>
      <c r="B306" s="193">
        <f>'Données projet'!D274</f>
        <v>0</v>
      </c>
      <c r="C306" s="204"/>
      <c r="D306" s="194">
        <f t="shared" si="15"/>
        <v>0</v>
      </c>
      <c r="E306" s="206"/>
      <c r="F306" s="263"/>
      <c r="G306" s="221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40</v>
      </c>
      <c r="B307" s="193">
        <f>'Données projet'!D275</f>
        <v>34.615384615384613</v>
      </c>
      <c r="C307" s="204">
        <v>10</v>
      </c>
      <c r="D307" s="194">
        <f t="shared" si="15"/>
        <v>346.15384615384613</v>
      </c>
      <c r="E307" s="206"/>
      <c r="F307" s="263"/>
      <c r="G307" s="221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45</v>
      </c>
      <c r="B308" s="193">
        <f>'Données projet'!D276</f>
        <v>0</v>
      </c>
      <c r="C308" s="204"/>
      <c r="D308" s="194">
        <f t="shared" si="15"/>
        <v>0</v>
      </c>
      <c r="E308" s="206"/>
      <c r="F308" s="263"/>
      <c r="G308" s="217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50</v>
      </c>
      <c r="B309" s="193">
        <f>'Données projet'!D277</f>
        <v>32.692307692307693</v>
      </c>
      <c r="C309" s="204">
        <v>15</v>
      </c>
      <c r="D309" s="194">
        <f t="shared" si="15"/>
        <v>490.38461538461542</v>
      </c>
      <c r="E309" s="206"/>
      <c r="F309" s="263"/>
      <c r="G309" s="217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55</v>
      </c>
      <c r="B310" s="193">
        <f>'Données projet'!D278</f>
        <v>0</v>
      </c>
      <c r="C310" s="204"/>
      <c r="D310" s="194">
        <f t="shared" si="15"/>
        <v>0</v>
      </c>
      <c r="E310" s="206"/>
      <c r="F310" s="263"/>
      <c r="G310" s="217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60</v>
      </c>
      <c r="B311" s="193">
        <f>'Données projet'!D279</f>
        <v>30.128205128205128</v>
      </c>
      <c r="C311" s="204">
        <v>20</v>
      </c>
      <c r="D311" s="194">
        <f t="shared" si="15"/>
        <v>602.56410256410254</v>
      </c>
      <c r="E311" s="206"/>
      <c r="F311" s="263"/>
      <c r="G311" s="217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65</v>
      </c>
      <c r="B312" s="193">
        <f>'Données projet'!D280</f>
        <v>0</v>
      </c>
      <c r="C312" s="204"/>
      <c r="D312" s="194">
        <f t="shared" si="15"/>
        <v>0</v>
      </c>
      <c r="E312" s="206"/>
      <c r="F312" s="263"/>
      <c r="G312" s="217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70</v>
      </c>
      <c r="B313" s="193">
        <f>'Données projet'!D281</f>
        <v>27.564102564102562</v>
      </c>
      <c r="C313" s="204">
        <v>30</v>
      </c>
      <c r="D313" s="194">
        <f t="shared" si="15"/>
        <v>826.92307692307691</v>
      </c>
      <c r="E313" s="206"/>
      <c r="F313" s="263"/>
      <c r="G313" s="217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75</v>
      </c>
      <c r="B314" s="193">
        <f>'Données projet'!D282</f>
        <v>0</v>
      </c>
      <c r="C314" s="204"/>
      <c r="D314" s="194">
        <f t="shared" si="15"/>
        <v>0</v>
      </c>
      <c r="E314" s="206"/>
      <c r="F314" s="263"/>
      <c r="G314" s="217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80</v>
      </c>
      <c r="B315" s="193">
        <f>'Données projet'!D283</f>
        <v>26.282051282051281</v>
      </c>
      <c r="C315" s="204">
        <v>30</v>
      </c>
      <c r="D315" s="194">
        <f t="shared" si="15"/>
        <v>788.46153846153845</v>
      </c>
      <c r="E315" s="206"/>
      <c r="F315" s="263"/>
      <c r="G315" s="217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85</v>
      </c>
      <c r="B316" s="193">
        <f>'Données projet'!D284</f>
        <v>0</v>
      </c>
      <c r="C316" s="204"/>
      <c r="D316" s="194">
        <f t="shared" si="15"/>
        <v>0</v>
      </c>
      <c r="E316" s="206"/>
      <c r="F316" s="263"/>
      <c r="G316" s="217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90</v>
      </c>
      <c r="B317" s="193">
        <f>'Données projet'!D285</f>
        <v>24.358974358974358</v>
      </c>
      <c r="C317" s="204">
        <v>40</v>
      </c>
      <c r="D317" s="194">
        <f t="shared" si="15"/>
        <v>974.35897435897436</v>
      </c>
      <c r="E317" s="206"/>
      <c r="F317" s="263"/>
      <c r="G317" s="217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95</v>
      </c>
      <c r="B318" s="193">
        <f>'Données projet'!D286</f>
        <v>0</v>
      </c>
      <c r="C318" s="204"/>
      <c r="D318" s="194">
        <f t="shared" si="15"/>
        <v>0</v>
      </c>
      <c r="E318" s="206"/>
      <c r="F318" s="263"/>
      <c r="G318" s="217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100</v>
      </c>
      <c r="B319" s="193">
        <f>'Données projet'!D287</f>
        <v>22.435897435897434</v>
      </c>
      <c r="C319" s="204">
        <v>40</v>
      </c>
      <c r="D319" s="194">
        <f t="shared" si="15"/>
        <v>897.43589743589735</v>
      </c>
      <c r="E319" s="206"/>
      <c r="F319" s="263"/>
      <c r="G319" s="217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105</v>
      </c>
      <c r="B320" s="193">
        <f>'Données projet'!D288</f>
        <v>0</v>
      </c>
      <c r="C320" s="204"/>
      <c r="D320" s="194">
        <f t="shared" si="15"/>
        <v>0</v>
      </c>
      <c r="E320" s="206"/>
      <c r="F320" s="263"/>
      <c r="G320" s="217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110</v>
      </c>
      <c r="B321" s="193">
        <f>'Données projet'!D289</f>
        <v>317.94871794871796</v>
      </c>
      <c r="C321" s="204">
        <v>60</v>
      </c>
      <c r="D321" s="194">
        <f t="shared" si="15"/>
        <v>19076.923076923078</v>
      </c>
      <c r="E321" s="206"/>
      <c r="F321" s="263"/>
      <c r="G321" s="217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7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7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7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7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7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7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0"/>
      <c r="G328" s="230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0"/>
      <c r="G329" s="230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0"/>
      <c r="G330" s="230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0"/>
      <c r="G331" s="230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0"/>
      <c r="G332" s="230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0"/>
      <c r="G333" s="230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0"/>
      <c r="G334" s="230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0"/>
      <c r="G335" s="230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0"/>
      <c r="G336" s="230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0"/>
      <c r="G337" s="230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0"/>
      <c r="G338" s="230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0"/>
      <c r="G339" s="230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0"/>
      <c r="G340" s="230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0"/>
      <c r="G341" s="230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0"/>
      <c r="G342" s="230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0"/>
      <c r="G343" s="230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0"/>
      <c r="G344" s="230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0"/>
      <c r="G345" s="230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0"/>
      <c r="G346" s="230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0"/>
      <c r="G347" s="230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0"/>
      <c r="G348" s="230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0"/>
      <c r="G349" s="230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0"/>
      <c r="G350" s="230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0"/>
      <c r="G351" s="230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0"/>
      <c r="G352" s="230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0"/>
      <c r="G353" s="230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0"/>
      <c r="G354" s="230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0"/>
      <c r="G355" s="230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0"/>
      <c r="G356" s="230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0"/>
      <c r="G357" s="230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0"/>
      <c r="G358" s="230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0"/>
      <c r="G359" s="230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0"/>
      <c r="G360" s="230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0"/>
      <c r="G361" s="230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0"/>
      <c r="G362" s="230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0"/>
      <c r="G363" s="230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0"/>
      <c r="G364" s="230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0"/>
      <c r="G365" s="230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0"/>
      <c r="G366" s="230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0"/>
      <c r="G367" s="230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0"/>
      <c r="G368" s="230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0"/>
      <c r="G369" s="230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0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0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0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0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0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0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0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0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0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0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0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0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0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0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0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0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0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0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0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0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0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0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0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0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0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0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Olivier GLEIZES</cp:lastModifiedBy>
  <dcterms:created xsi:type="dcterms:W3CDTF">2021-02-01T08:22:39Z</dcterms:created>
  <dcterms:modified xsi:type="dcterms:W3CDTF">2025-09-08T20:35:08Z</dcterms:modified>
</cp:coreProperties>
</file>